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s" sheetId="1" r:id="rId4"/>
    <sheet state="visible" name="Cas 1a" sheetId="2" r:id="rId5"/>
    <sheet state="visible" name="Cas 2a" sheetId="3" r:id="rId6"/>
    <sheet state="visible" name="Cas 3a" sheetId="4" r:id="rId7"/>
    <sheet state="visible" name="Cas 4a" sheetId="5" r:id="rId8"/>
    <sheet state="visible" name="Cas 1b" sheetId="6" r:id="rId9"/>
    <sheet state="visible" name="Cas 2b" sheetId="7" r:id="rId10"/>
    <sheet state="visible" name="Cas 3b" sheetId="8" r:id="rId11"/>
    <sheet state="visible" name="Cas 4b" sheetId="9" r:id="rId12"/>
    <sheet state="visible" name="Cas 1c" sheetId="10" r:id="rId13"/>
    <sheet state="visible" name="Cas 2c" sheetId="11" r:id="rId14"/>
    <sheet state="visible" name="Cas 1g" sheetId="12" r:id="rId15"/>
    <sheet state="visible" name="Cas 3c" sheetId="13" r:id="rId16"/>
    <sheet state="visible" name="Cas 4c" sheetId="14" r:id="rId17"/>
    <sheet state="visible" name="Cas 1d" sheetId="15" r:id="rId18"/>
    <sheet state="visible" name="Cas 1e" sheetId="16" r:id="rId19"/>
    <sheet state="visible" name="Cas 2e" sheetId="17" r:id="rId20"/>
    <sheet state="visible" name="Cas 3e" sheetId="18" r:id="rId21"/>
    <sheet state="visible" name="Cas 4e" sheetId="19" r:id="rId22"/>
    <sheet state="visible" name="Cas 1f" sheetId="20" r:id="rId23"/>
  </sheets>
  <definedNames>
    <definedName hidden="1" localSheetId="11" name="Z_F8C7C7B3_905C_440C_A9B4_7FEE12006CB5_.wvu.FilterData">'Cas 1g'!$A$1:$O$1006</definedName>
  </definedNames>
  <calcPr/>
  <customWorkbookViews>
    <customWorkbookView activeSheetId="0" maximized="1" tabRatio="600" windowHeight="0" windowWidth="0" guid="{F8C7C7B3-905C-440C-A9B4-7FEE12006CB5}" name="avec aphia_id"/>
  </customWorkbookViews>
</workbook>
</file>

<file path=xl/comments1.xml><?xml version="1.0" encoding="utf-8"?>
<comments xmlns:r="http://schemas.openxmlformats.org/officeDocument/2006/relationships" xmlns="http://schemas.openxmlformats.org/spreadsheetml/2006/main">
  <authors>
    <author/>
  </authors>
  <commentList>
    <comment authorId="0" ref="A43">
      <text>
        <t xml:space="preserve">Doublon supprimé #640
	-Laurent Salinas</t>
      </text>
    </comment>
    <comment authorId="0" ref="A39">
      <text>
        <t xml:space="preserve">Doublon supprimé #640
	-Laurent Salinas</t>
      </text>
    </comment>
  </commentList>
</comments>
</file>

<file path=xl/comments2.xml><?xml version="1.0" encoding="utf-8"?>
<comments xmlns:r="http://schemas.openxmlformats.org/officeDocument/2006/relationships" xmlns="http://schemas.openxmlformats.org/spreadsheetml/2006/main">
  <authors>
    <author/>
  </authors>
  <commentList>
    <comment authorId="0" ref="E4">
      <text>
        <t xml:space="preserve">Parent inexistant
	-Laurent Salinas</t>
      </text>
    </comment>
  </commentList>
</comments>
</file>

<file path=xl/comments3.xml><?xml version="1.0" encoding="utf-8"?>
<comments xmlns:r="http://schemas.openxmlformats.org/officeDocument/2006/relationships" xmlns="http://schemas.openxmlformats.org/spreadsheetml/2006/main">
  <authors>
    <author/>
  </authors>
  <commentList>
    <comment authorId="0" ref="L27">
      <text>
        <t xml:space="preserve">Final dans 1c
	-Laurent Salinas</t>
      </text>
    </comment>
  </commentList>
</comments>
</file>

<file path=xl/comments4.xml><?xml version="1.0" encoding="utf-8"?>
<comments xmlns:r="http://schemas.openxmlformats.org/officeDocument/2006/relationships" xmlns="http://schemas.openxmlformats.org/spreadsheetml/2006/main">
  <authors>
    <author/>
  </authors>
  <commentList>
    <comment authorId="0" ref="L9">
      <text>
        <t xml:space="preserve">Déjà dans 1b
	-Laurent Salinas</t>
      </text>
    </comment>
  </commentList>
</comments>
</file>

<file path=xl/comments5.xml><?xml version="1.0" encoding="utf-8"?>
<comments xmlns:r="http://schemas.openxmlformats.org/officeDocument/2006/relationships" xmlns="http://schemas.openxmlformats.org/spreadsheetml/2006/main">
  <authors>
    <author/>
  </authors>
  <commentList>
    <comment authorId="0" ref="E3">
      <text>
        <t xml:space="preserve">Quel souk!
	-Laurent Salinas</t>
      </text>
    </comment>
  </commentList>
</comments>
</file>

<file path=xl/comments6.xml><?xml version="1.0" encoding="utf-8"?>
<comments xmlns:r="http://schemas.openxmlformats.org/officeDocument/2006/relationships" xmlns="http://schemas.openxmlformats.org/spreadsheetml/2006/main">
  <authors>
    <author/>
  </authors>
  <commentList>
    <comment authorId="0" ref="N252">
      <text>
        <t xml:space="preserve">D'après Fabien: Malv = Marine ALVeolates et il ajoute 'ça pourrait tout etre mis sous Alveolata'
	-Laurent Salinas</t>
      </text>
    </comment>
    <comment authorId="0" ref="N2">
      <text>
        <t xml:space="preserve">On va pas entrer dans des dialogues avec les managers de projet. Yapa correspondance on fait rien.
	-Laurent Salinas</t>
      </text>
    </comment>
    <comment authorId="0" ref="D309">
      <text>
        <t xml:space="preserve">N'est pas un Phylo
	-Laurent Salinas</t>
      </text>
    </comment>
    <comment authorId="0" ref="M1">
      <text>
        <t xml:space="preserve">MAJ faite sur la base.
	-Laurent Salinas</t>
      </text>
    </comment>
    <comment authorId="0" ref="J138">
      <text>
        <t xml:space="preserve">http://www.marinespecies.org/aphia.php?p=taxdetails&amp;id=711979 ?
	-Laurent Salinas</t>
      </text>
    </comment>
    <comment authorId="0" ref="L70">
      <text>
        <t xml:space="preserve">Je crois que c'est les stades C1, C2, C3, C4 plutôt
	-Jean-Olivier Irisson
la lettre C est pour désigner "copepodite". il est vrai que dans la litterature il est écrit C1, C2 (stade 1 du copepodite et stade 2 du copepodite) ou N1, N2 (stade 1 de la larve nauplius du copepode et stade 2 de la larve nauplius du copepode). Et c'est N1, N2...N6 puis C1, C2...C6 (6 stades chacun). Mais si je garde notre logique de mettre nauplius larvae avec les stades pour les autres espèces, je dois  garder copepodit larvae avec les stades. On peut faire une exception pour les copépodes en mettant N1, N2... enfant de nauplius larvae relié à Copepoda et C1, C2... enfant de copepodit larvae relié à Copepoda
	-Laëtitia Jalabert</t>
      </text>
    </comment>
    <comment authorId="0" ref="N78">
      <text>
        <t xml:space="preserve">La question c'est est-ce que Coccolitho = Prymnesiophyceae ou enfant de Prymnesiophyceae. J'ai impression que c'est enfant de non?
	-Jean-Olivier Irisson
non, ça m'a pris un peu de temps mais c'est vérifié. Ils sont synonymes
	-Laëtitia Jalabert</t>
      </text>
    </comment>
    <comment authorId="0" ref="A76">
      <text>
        <t xml:space="preserve">OK worms local
	-Laurent Salinas</t>
      </text>
    </comment>
    <comment authorId="0" ref="A389">
      <text>
        <t xml:space="preserve">Corrigé sur ecotaxoserver
	-Laurent Salinas</t>
      </text>
    </comment>
    <comment authorId="0" ref="N7">
      <text>
        <t xml:space="preserve">Sauf que Amphilithidae n'existe pas dans worms...
	-Jean-Olivier Irisson
si : http://www.marinespecies.org/aphia.php?p=taxdetails&amp;id=367349
	-Laëtitia Jalabert</t>
      </text>
    </comment>
  </commentList>
</comments>
</file>

<file path=xl/comments7.xml><?xml version="1.0" encoding="utf-8"?>
<comments xmlns:r="http://schemas.openxmlformats.org/officeDocument/2006/relationships" xmlns="http://schemas.openxmlformats.org/spreadsheetml/2006/main">
  <authors>
    <author/>
  </authors>
  <commentList>
    <comment authorId="0" ref="A23">
      <text>
        <t xml:space="preserve">Doublon supprimé #640
	-Laurent Salinas</t>
      </text>
    </comment>
  </commentList>
</comments>
</file>

<file path=xl/comments8.xml><?xml version="1.0" encoding="utf-8"?>
<comments xmlns:r="http://schemas.openxmlformats.org/officeDocument/2006/relationships" xmlns="http://schemas.openxmlformats.org/spreadsheetml/2006/main">
  <authors>
    <author/>
  </authors>
  <commentList>
    <comment authorId="0" ref="N5">
      <text>
        <t xml:space="preserve">Final dans cas 1e
	-Laurent Salinas</t>
      </text>
    </comment>
  </commentList>
</comments>
</file>

<file path=xl/sharedStrings.xml><?xml version="1.0" encoding="utf-8"?>
<sst xmlns="http://schemas.openxmlformats.org/spreadsheetml/2006/main" count="11433" uniqueCount="3020">
  <si>
    <t>Le but est d'arriver à un tableau avec
- eco_id : id EcoTaxa actuel,
- deprecate : cocher pour marquer comme "deprecated", laisser vide pour continuer à utiliser
- final_aphia_id : identifiant WoRMS
et parfois: rename_as, set_morpho, et d'autres actions</t>
  </si>
  <si>
    <t>EcoTaxa va _lire_ une copie de ce document. Ne pas en changer la structure sans m'en avertir. Laurent.</t>
  </si>
  <si>
    <t>Nb de taxa phylo actuellement utilisé dans Ecotaxa</t>
  </si>
  <si>
    <t>Cas</t>
  </si>
  <si>
    <t>Description</t>
  </si>
  <si>
    <t>Nb eco_id</t>
  </si>
  <si>
    <t>Action Amanda+Laeti</t>
  </si>
  <si>
    <t>Action Laurent</t>
  </si>
  <si>
    <t>Notes Laurent</t>
  </si>
  <si>
    <t>1a</t>
  </si>
  <si>
    <t>Un et un seul taxon EcoTaxa correspond à un et un seul taxon WoRMS accepté</t>
  </si>
  <si>
    <t>rien</t>
  </si>
  <si>
    <t>Associer l'aphia_id et l'eco_id, définir le statut comme "usable", redéfinir le parent_id à partir de WoRMS</t>
  </si>
  <si>
    <t>Redéfinir parent + le créer au besoin, récursivement jusqu'à Biota.</t>
  </si>
  <si>
    <t>2a</t>
  </si>
  <si>
    <r>
      <rPr>
        <rFont val="Arial"/>
        <b/>
        <color theme="1"/>
      </rPr>
      <t xml:space="preserve">Plusieurs taxa EcoTaxa </t>
    </r>
    <r>
      <rPr>
        <rFont val="Arial"/>
        <b val="0"/>
        <color theme="1"/>
      </rPr>
      <t>du même nom correspondent à un seul taxon WoRMS accepté de ce nom</t>
    </r>
  </si>
  <si>
    <t>Utiliser le parent pour déterminer lequel des taxa WoRMS est approprié, pour le/les autres, les marquer comme deprecated et les pointer vers un aphia_id approprié ou les marquer comme problématique</t>
  </si>
  <si>
    <t>Cas 1a pour les matchs 1:1 avec un aphia_id
Déprécier les autres taxa en donnant une alternative
Discuter des cas qui pourraient rester problématiques</t>
  </si>
  <si>
    <r>
      <rPr>
        <rFont val="Arial"/>
        <color theme="1"/>
      </rPr>
      <t xml:space="preserve">Pourquoi est-ce que </t>
    </r>
    <r>
      <rPr>
        <rFont val="Arial"/>
        <b/>
        <color theme="1"/>
      </rPr>
      <t>toutes</t>
    </r>
    <r>
      <rPr>
        <rFont val="Arial"/>
        <color theme="1"/>
      </rPr>
      <t xml:space="preserve"> les alternatives de Chaetoceros (et autres) sont deprecated???
Correspond à un merge pour EMODnet</t>
    </r>
  </si>
  <si>
    <t>3a</t>
  </si>
  <si>
    <r>
      <rPr>
        <rFont val="Arial"/>
        <color theme="1"/>
      </rPr>
      <t xml:space="preserve">Un taxon EcoTaxa correspond à </t>
    </r>
    <r>
      <rPr>
        <rFont val="Arial"/>
        <b/>
        <color theme="1"/>
      </rPr>
      <t>plusieurs taxa WoRMS</t>
    </r>
    <r>
      <rPr>
        <rFont val="Arial"/>
        <color theme="1"/>
      </rPr>
      <t xml:space="preserve"> acceptés portant le même nom</t>
    </r>
  </si>
  <si>
    <t>Utiliser le parent pour déterminer quel taxon WoRMS est approprié, ne rien mettre pour l'autre</t>
  </si>
  <si>
    <t>Sera réduit au Cas 1a
Eliminer les noms sans final_aphia_id</t>
  </si>
  <si>
    <t>Ca veut dire quoi 'éliminer'???</t>
  </si>
  <si>
    <t>4a</t>
  </si>
  <si>
    <r>
      <rPr>
        <rFont val="Arial"/>
        <b/>
        <color theme="1"/>
      </rPr>
      <t xml:space="preserve">Plusieurs taxa EcoTaxa </t>
    </r>
    <r>
      <rPr>
        <rFont val="Arial"/>
        <b val="0"/>
        <color theme="1"/>
      </rPr>
      <t xml:space="preserve">du même nom correspondent à </t>
    </r>
    <r>
      <rPr>
        <rFont val="Arial"/>
        <b/>
        <color theme="1"/>
      </rPr>
      <t xml:space="preserve">plusieurs taxa WoRMS </t>
    </r>
    <r>
      <rPr>
        <rFont val="Arial"/>
        <b val="0"/>
        <color theme="1"/>
      </rPr>
      <t>acceptés portant ce même nom</t>
    </r>
  </si>
  <si>
    <t>Utiliser le parent pour déterminer quel taxon WoRMS est approprié, ne rien mettre pour le/les autres</t>
  </si>
  <si>
    <t>Rien à éliminer</t>
  </si>
  <si>
    <t>1b</t>
  </si>
  <si>
    <r>
      <rPr>
        <rFont val="Arial"/>
        <color theme="1"/>
      </rPr>
      <t xml:space="preserve">Un et un seul taxon EcoTaxa correspond à un et un seul taxon WoRMS </t>
    </r>
    <r>
      <rPr>
        <rFont val="Arial"/>
        <b/>
        <color rgb="FFCC0000"/>
      </rPr>
      <t>non-accepté</t>
    </r>
    <r>
      <rPr>
        <rFont val="Arial"/>
        <color theme="1"/>
      </rPr>
      <t xml:space="preserve"> mais dont l'</t>
    </r>
    <r>
      <rPr>
        <rFont val="Arial"/>
        <b/>
        <color rgb="FFCC0000"/>
      </rPr>
      <t>alternative est le taxon lui-même</t>
    </r>
    <r>
      <rPr>
        <rFont val="Arial"/>
        <color theme="1"/>
      </rPr>
      <t xml:space="preserve"> (oui, c'est bizarre; cela correspond souvent à des unassessed)</t>
    </r>
  </si>
  <si>
    <t>Associer l'ecotaxa_id avec le valid_aphia_id, définir le statut comme "usable" (ben oui, on doit bien pouvoir l'utiliser, même s'il est pas accepted dans WoRMS), redéfinir le parent_id à partir de WoRMS</t>
  </si>
  <si>
    <t>Idem 1a pour les parents.</t>
  </si>
  <si>
    <t>2b</t>
  </si>
  <si>
    <r>
      <rPr>
        <rFont val="Arial"/>
        <b/>
        <color theme="1"/>
      </rPr>
      <t>Plusieurs taxa EcoTaxa</t>
    </r>
    <r>
      <rPr>
        <rFont val="Arial"/>
        <color theme="1"/>
      </rPr>
      <t xml:space="preserve"> du même nom correspondent à un seul taxon WoRMS ...</t>
    </r>
  </si>
  <si>
    <t>Utiliser le parent pour déterminer lequel des taxa WoRMS est approprié, pour le/les autres, les marquer comme deprecated et les pointer vers un aphia_id approprié</t>
  </si>
  <si>
    <t>Sera réduit au Cas 1b
Eliminer les noms sans final_aphia_id</t>
  </si>
  <si>
    <t>OK</t>
  </si>
  <si>
    <t>3b</t>
  </si>
  <si>
    <r>
      <rPr>
        <rFont val="Arial"/>
        <color theme="1"/>
      </rPr>
      <t xml:space="preserve">Un taxon EcoTaxa correspond à </t>
    </r>
    <r>
      <rPr>
        <rFont val="Arial"/>
        <b/>
        <color theme="1"/>
      </rPr>
      <t>plusieurs taxa WoRMS</t>
    </r>
    <r>
      <rPr>
        <rFont val="Arial"/>
        <color theme="1"/>
      </rPr>
      <t>...</t>
    </r>
  </si>
  <si>
    <t>4b</t>
  </si>
  <si>
    <r>
      <rPr>
        <rFont val="Arial"/>
        <b/>
        <color theme="1"/>
      </rPr>
      <t>Plusieurs taxa EcoTaxa</t>
    </r>
    <r>
      <rPr>
        <rFont val="Arial"/>
        <color theme="1"/>
      </rPr>
      <t xml:space="preserve"> correspondent à </t>
    </r>
    <r>
      <rPr>
        <rFont val="Arial"/>
        <b/>
        <color theme="1"/>
      </rPr>
      <t>plusieurs taxa WoRMS</t>
    </r>
    <r>
      <rPr>
        <rFont val="Arial"/>
        <color theme="1"/>
      </rPr>
      <t xml:space="preserve"> ...</t>
    </r>
  </si>
  <si>
    <t>ben rien du coup!</t>
  </si>
  <si>
    <t>zlot, nada, nothing</t>
  </si>
  <si>
    <t>1c</t>
  </si>
  <si>
    <r>
      <rPr>
        <rFont val="Arial"/>
        <color theme="1"/>
      </rPr>
      <t xml:space="preserve">Un et un seul taxon EcoTaxa correspond à un et un seul taxon WoRMS </t>
    </r>
    <r>
      <rPr>
        <rFont val="Arial"/>
        <b/>
        <color rgb="FFCC0000"/>
      </rPr>
      <t xml:space="preserve">non-accepté </t>
    </r>
    <r>
      <rPr>
        <rFont val="Arial"/>
        <color theme="1"/>
      </rPr>
      <t>mais avec une</t>
    </r>
    <r>
      <rPr>
        <rFont val="Arial"/>
        <b/>
        <color rgb="FFCC0000"/>
      </rPr>
      <t xml:space="preserve"> alternative valide</t>
    </r>
  </si>
  <si>
    <t>Associer l'ecotaxa_id avec le valid_aphia_id, définir le statut comme "usable", remplacer le nom actuel par le valid_aphia_name, redéfinir le parent_id à partir de WoRMS</t>
  </si>
  <si>
    <t>Idem 1a pour les parents</t>
  </si>
  <si>
    <t>2c</t>
  </si>
  <si>
    <r>
      <rPr>
        <rFont val="Arial"/>
        <b/>
        <color theme="1"/>
      </rPr>
      <t>Plusieurs taxa EcoTaxa</t>
    </r>
    <r>
      <rPr>
        <rFont val="Arial"/>
        <color theme="1"/>
      </rPr>
      <t xml:space="preserve"> du même nom correspondent à un seul taxon WoRMS ...</t>
    </r>
  </si>
  <si>
    <t>Utiliser le parent pour déterminer lequel des taxa WoRMS est approprié, pour le/les autres: les marquer comme deprecated et les pointer vers un aphia_id approprié ou les marquer comme problématique</t>
  </si>
  <si>
    <t>Cas 1c pour les matchs 1:1 avec un aphia_id
Déprécier les autres taxa en donnant une alternative
Discuter des cas qui pourraient rester problématiques</t>
  </si>
  <si>
    <t>3c</t>
  </si>
  <si>
    <r>
      <rPr>
        <rFont val="Arial"/>
        <color theme="1"/>
      </rPr>
      <t xml:space="preserve">Un taxon EcoTaxa correspond à </t>
    </r>
    <r>
      <rPr>
        <rFont val="Arial"/>
        <b/>
        <color theme="1"/>
      </rPr>
      <t>plusieurs taxa WoRMS</t>
    </r>
    <r>
      <rPr>
        <rFont val="Arial"/>
        <color theme="1"/>
      </rPr>
      <t>...</t>
    </r>
  </si>
  <si>
    <t>4c</t>
  </si>
  <si>
    <r>
      <rPr>
        <rFont val="Arial"/>
        <b/>
        <color theme="1"/>
      </rPr>
      <t>Plusieurs taxa EcoTaxa</t>
    </r>
    <r>
      <rPr>
        <rFont val="Arial"/>
        <color theme="1"/>
      </rPr>
      <t xml:space="preserve"> correspondent à </t>
    </r>
    <r>
      <rPr>
        <rFont val="Arial"/>
        <b/>
        <color theme="1"/>
      </rPr>
      <t>plusieurs taxa WoRMS</t>
    </r>
    <r>
      <rPr>
        <rFont val="Arial"/>
        <color theme="1"/>
      </rPr>
      <t xml:space="preserve"> ...</t>
    </r>
  </si>
  <si>
    <t>1d</t>
  </si>
  <si>
    <r>
      <rPr>
        <rFont val="Arial"/>
        <color theme="1"/>
      </rPr>
      <t xml:space="preserve">Un et un seul taxon EcoTaxa correspond à un et un seul taxon WoRMS </t>
    </r>
    <r>
      <rPr>
        <rFont val="Arial"/>
        <b/>
        <color rgb="FFCC0000"/>
      </rPr>
      <t>non-accepté</t>
    </r>
    <r>
      <rPr>
        <rFont val="Arial"/>
        <color theme="1"/>
      </rPr>
      <t xml:space="preserve"> mais </t>
    </r>
    <r>
      <rPr>
        <rFont val="Arial"/>
        <b/>
        <color rgb="FFCC0000"/>
      </rPr>
      <t>sans alternative</t>
    </r>
    <r>
      <rPr>
        <rFont val="Arial"/>
        <color theme="1"/>
      </rPr>
      <t xml:space="preserve"> fournie</t>
    </r>
  </si>
  <si>
    <t>Chercher une alternative possible dans WoRMS; cela demande une recherche sur ce que le concept de ces taxa représentait</t>
  </si>
  <si>
    <t>Déprécier les taxa et les pointer vers l'alternative trouvée</t>
  </si>
  <si>
    <t>1e</t>
  </si>
  <si>
    <r>
      <rPr>
        <rFont val="Arial"/>
        <color theme="1"/>
      </rPr>
      <t xml:space="preserve">Un et un seul taxon EcoTaxa </t>
    </r>
    <r>
      <rPr>
        <rFont val="Arial"/>
        <b/>
        <color rgb="FFCC0000"/>
      </rPr>
      <t>ayant sp. ou X</t>
    </r>
    <r>
      <rPr>
        <rFont val="Arial"/>
        <color rgb="FFCC0000"/>
      </rPr>
      <t xml:space="preserve"> </t>
    </r>
    <r>
      <rPr>
        <rFont val="Arial"/>
        <color theme="1"/>
      </rPr>
      <t>dans son nom correspond à un et un seul taxon WoRMS accepté après avoir enlevé le suffixe</t>
    </r>
  </si>
  <si>
    <t>Déprécier le taxon et pointer vers le aphia_id</t>
  </si>
  <si>
    <t>2e</t>
  </si>
  <si>
    <r>
      <rPr>
        <rFont val="Arial"/>
        <b/>
        <color theme="1"/>
      </rPr>
      <t>Plusieurs taxa EcoTaxa</t>
    </r>
    <r>
      <rPr>
        <rFont val="Arial"/>
        <color theme="1"/>
      </rPr>
      <t xml:space="preserve"> du même nom correspondent à un seul taxon WoRMS ...</t>
    </r>
  </si>
  <si>
    <t>3e</t>
  </si>
  <si>
    <r>
      <rPr>
        <rFont val="Arial"/>
        <color theme="1"/>
      </rPr>
      <t xml:space="preserve">Un taxon EcoTaxa correspond à </t>
    </r>
    <r>
      <rPr>
        <rFont val="Arial"/>
        <b/>
        <color theme="1"/>
      </rPr>
      <t>plusieurs taxa WoRMS</t>
    </r>
    <r>
      <rPr>
        <rFont val="Arial"/>
        <color theme="1"/>
      </rPr>
      <t>...</t>
    </r>
  </si>
  <si>
    <t>Sera réduit au Cas 1e
Eliminer les noms sans final_aphia_id</t>
  </si>
  <si>
    <t>4e</t>
  </si>
  <si>
    <r>
      <rPr>
        <rFont val="Arial"/>
        <b/>
        <color theme="1"/>
      </rPr>
      <t>Plusieurs taxa EcoTaxa</t>
    </r>
    <r>
      <rPr>
        <rFont val="Arial"/>
        <color theme="1"/>
      </rPr>
      <t xml:space="preserve"> correspondent à </t>
    </r>
    <r>
      <rPr>
        <rFont val="Arial"/>
        <b/>
        <color theme="1"/>
      </rPr>
      <t>plusieurs taxa WoRMS</t>
    </r>
    <r>
      <rPr>
        <rFont val="Arial"/>
        <color theme="1"/>
      </rPr>
      <t xml:space="preserve"> ...</t>
    </r>
  </si>
  <si>
    <t>1f</t>
  </si>
  <si>
    <r>
      <rPr>
        <rFont val="Arial"/>
        <color theme="1"/>
      </rPr>
      <t xml:space="preserve">Un et un seul taxon EcoTaxa </t>
    </r>
    <r>
      <rPr>
        <rFont val="Arial"/>
        <b/>
        <color theme="1"/>
      </rPr>
      <t xml:space="preserve">ayant sp. ou X </t>
    </r>
    <r>
      <rPr>
        <rFont val="Arial"/>
        <color theme="1"/>
      </rPr>
      <t xml:space="preserve">dans son nom correspond à un et un seul taxon WoRMS </t>
    </r>
    <r>
      <rPr>
        <rFont val="Arial"/>
        <b/>
        <color rgb="FFCC0000"/>
      </rPr>
      <t>non-accepté mais avec une alternative</t>
    </r>
    <r>
      <rPr>
        <rFont val="Arial"/>
        <color theme="1"/>
      </rPr>
      <t xml:space="preserve"> valide</t>
    </r>
  </si>
  <si>
    <t>Déprécier le taxon et pointer vers le valid_aphia_id</t>
  </si>
  <si>
    <t>1g</t>
  </si>
  <si>
    <t>Taxon sans aucun match :-(</t>
  </si>
  <si>
    <t>Marquer les taxa morpho comme tels, les renommer le cas échéant, pour ne pas répéter le parent
Checher des solutions de matchs pour ceux qui ne sont pas morpho (comme 1d)</t>
  </si>
  <si>
    <t>Pour ceux qui ont un aphia_id, associer l'ecotaxa_id avec le valid_aphia_id, définir le statut comme "usable", remplacer le nom actuel par le valid_aphia_name, redéfinir le parent_id à partir de WoRMS
Pour les autres, effectuer les actions de changement de statut, de nature et de renommage indiquées</t>
  </si>
  <si>
    <t>TOTAL</t>
  </si>
  <si>
    <t>NB: des eco_id sont visiblement dupliqués, mais seulement 5 et c'est explicable</t>
  </si>
  <si>
    <t>name</t>
  </si>
  <si>
    <t>n</t>
  </si>
  <si>
    <t>eco_id</t>
  </si>
  <si>
    <t>aphia_id</t>
  </si>
  <si>
    <t>parent_eco_name</t>
  </si>
  <si>
    <t>parent_aphia_name</t>
  </si>
  <si>
    <t>deprecate</t>
  </si>
  <si>
    <t>final_aphia_id</t>
  </si>
  <si>
    <t>done</t>
  </si>
  <si>
    <t>diff_parent</t>
  </si>
  <si>
    <t>Abralia</t>
  </si>
  <si>
    <t>Decapodiformes</t>
  </si>
  <si>
    <t>Enoploteuthidae</t>
  </si>
  <si>
    <t>JO</t>
  </si>
  <si>
    <t>Abyla</t>
  </si>
  <si>
    <t>Abylinae</t>
  </si>
  <si>
    <t/>
  </si>
  <si>
    <t>Abylidae</t>
  </si>
  <si>
    <t>Calycophorae</t>
  </si>
  <si>
    <t>Abylopsis tetragona</t>
  </si>
  <si>
    <t>Abylopsis</t>
  </si>
  <si>
    <t>Acantharia</t>
  </si>
  <si>
    <t>Rhizaria</t>
  </si>
  <si>
    <t>Radiozoa</t>
  </si>
  <si>
    <t>Acanthocybium solandri</t>
  </si>
  <si>
    <t>Acanthocybium</t>
  </si>
  <si>
    <t>Acanthostaurus</t>
  </si>
  <si>
    <t>Arthracanthida F2</t>
  </si>
  <si>
    <t>Arthracanthida</t>
  </si>
  <si>
    <t>Acanthurus</t>
  </si>
  <si>
    <t>Acanthuridae</t>
  </si>
  <si>
    <t>Acartia</t>
  </si>
  <si>
    <t>Acartiidae</t>
  </si>
  <si>
    <t>Calanoida</t>
  </si>
  <si>
    <t>Achelata</t>
  </si>
  <si>
    <t>Pleocyemata</t>
  </si>
  <si>
    <t>Achelous gibbesii</t>
  </si>
  <si>
    <t>Achelous</t>
  </si>
  <si>
    <t>Achiridae</t>
  </si>
  <si>
    <t>Pleuronectiformes</t>
  </si>
  <si>
    <t>Achnanthes</t>
  </si>
  <si>
    <t>Bacillariophyceae</t>
  </si>
  <si>
    <t>Achnanthaceae</t>
  </si>
  <si>
    <t>Acrocalanus</t>
  </si>
  <si>
    <t>Paracalanidae</t>
  </si>
  <si>
    <t>Acroperus</t>
  </si>
  <si>
    <t>Chydoridae</t>
  </si>
  <si>
    <t>Actiniaria</t>
  </si>
  <si>
    <t>Hexacorallia</t>
  </si>
  <si>
    <t>Actiniscus pentasterias</t>
  </si>
  <si>
    <t>temporary</t>
  </si>
  <si>
    <t>Actiniscus</t>
  </si>
  <si>
    <t>Actinocyclus subtilis</t>
  </si>
  <si>
    <t>Actinocyclus</t>
  </si>
  <si>
    <t>Actinopterygii</t>
  </si>
  <si>
    <t>Gnathostomata</t>
  </si>
  <si>
    <t>Pisces</t>
  </si>
  <si>
    <t>Aegina</t>
  </si>
  <si>
    <t>Aeginidae</t>
  </si>
  <si>
    <t>Narcomedusae</t>
  </si>
  <si>
    <t>Aeolidiidae</t>
  </si>
  <si>
    <t>Nudibranchia</t>
  </si>
  <si>
    <t>Aeolidioidea</t>
  </si>
  <si>
    <t>Aequorea</t>
  </si>
  <si>
    <t>Aequoreidae</t>
  </si>
  <si>
    <t>Leptothecata</t>
  </si>
  <si>
    <t>Aetideidae</t>
  </si>
  <si>
    <t>Aetideopsis</t>
  </si>
  <si>
    <t>Aetideopsis rostrata</t>
  </si>
  <si>
    <t>Aetideus</t>
  </si>
  <si>
    <t>Agalma</t>
  </si>
  <si>
    <t>Agalmatidae</t>
  </si>
  <si>
    <t>Agalma clausi</t>
  </si>
  <si>
    <t>Aggregata</t>
  </si>
  <si>
    <t>Adeleorida</t>
  </si>
  <si>
    <t>Aggregatidae</t>
  </si>
  <si>
    <t>Aglantha</t>
  </si>
  <si>
    <t>Rhopalonematidae</t>
  </si>
  <si>
    <t>Aglantha digitale</t>
  </si>
  <si>
    <t>Aglaura</t>
  </si>
  <si>
    <t>Aglaura hemistoma</t>
  </si>
  <si>
    <t>Aidanosagitta regularis</t>
  </si>
  <si>
    <t>Aidanosagitta</t>
  </si>
  <si>
    <t>Akashiwo sanguinea</t>
  </si>
  <si>
    <t>Akashiwo</t>
  </si>
  <si>
    <t>Alatina alata</t>
  </si>
  <si>
    <t>Alatina</t>
  </si>
  <si>
    <t>Alectis ciliaris</t>
  </si>
  <si>
    <t>Alectis</t>
  </si>
  <si>
    <t>Alexandrium</t>
  </si>
  <si>
    <t>Gonyaulacaceae</t>
  </si>
  <si>
    <t>Ostreopsidaceae</t>
  </si>
  <si>
    <t>Alexandrium ostenfeldii</t>
  </si>
  <si>
    <t>Alexandrium 01</t>
  </si>
  <si>
    <t>Alona</t>
  </si>
  <si>
    <t>Aluterus heudelotii</t>
  </si>
  <si>
    <t>Aluterus</t>
  </si>
  <si>
    <t>Aluterus schoepfii</t>
  </si>
  <si>
    <t>Amarsipus carlsbergi</t>
  </si>
  <si>
    <t>Amarsipus</t>
  </si>
  <si>
    <t>Amoeba</t>
  </si>
  <si>
    <t>Amoebidae</t>
  </si>
  <si>
    <t>Amoebozoa</t>
  </si>
  <si>
    <t>Eukaryota</t>
  </si>
  <si>
    <t>Sarcomastigota</t>
  </si>
  <si>
    <t>Amphidiniella</t>
  </si>
  <si>
    <t>Oxytoxaceae</t>
  </si>
  <si>
    <t>Peridiniida incertae sedis</t>
  </si>
  <si>
    <t>Amphidinium</t>
  </si>
  <si>
    <t>Gymnodiniaceae</t>
  </si>
  <si>
    <t>Amphidiniaceae</t>
  </si>
  <si>
    <t>Amphidinium carterae</t>
  </si>
  <si>
    <t>Amphidinium sphenoides</t>
  </si>
  <si>
    <t>Amphinema</t>
  </si>
  <si>
    <t>Pandeidae</t>
  </si>
  <si>
    <t>Amphinema rugosum</t>
  </si>
  <si>
    <t>Amphinema turrida</t>
  </si>
  <si>
    <t>Amphioctopus</t>
  </si>
  <si>
    <t>Octopodidae</t>
  </si>
  <si>
    <t>Amphipoda</t>
  </si>
  <si>
    <t>Eumalacostraca</t>
  </si>
  <si>
    <t>Peracarida</t>
  </si>
  <si>
    <t>Amphiprora</t>
  </si>
  <si>
    <t>Amphipleuraceae</t>
  </si>
  <si>
    <t>Amphisolenia</t>
  </si>
  <si>
    <t>Amphisoleniaceae</t>
  </si>
  <si>
    <t>Amphisolenia bidentata</t>
  </si>
  <si>
    <t>Amphisolenia globifera</t>
  </si>
  <si>
    <t>Amphora</t>
  </si>
  <si>
    <t>Catenulaceae</t>
  </si>
  <si>
    <t>Amphorellopsis</t>
  </si>
  <si>
    <t>Tintinnidiidae</t>
  </si>
  <si>
    <t>Tintinnidae</t>
  </si>
  <si>
    <t>Ampithoe</t>
  </si>
  <si>
    <t>Ampithoidae</t>
  </si>
  <si>
    <t>Amylax</t>
  </si>
  <si>
    <t>Anabaena</t>
  </si>
  <si>
    <t>Cyanophyceae</t>
  </si>
  <si>
    <t>Nostocaceae</t>
  </si>
  <si>
    <t>Ancinus</t>
  </si>
  <si>
    <t>Sphaeromatidea</t>
  </si>
  <si>
    <t>Ancinidae</t>
  </si>
  <si>
    <t>Anguilliformes</t>
  </si>
  <si>
    <t>Elopomorpha</t>
  </si>
  <si>
    <t>Annelida</t>
  </si>
  <si>
    <t>Metazoa</t>
  </si>
  <si>
    <t>Animalia</t>
  </si>
  <si>
    <t>Anomura</t>
  </si>
  <si>
    <t>Anthoathecata</t>
  </si>
  <si>
    <t>Hydroidolina</t>
  </si>
  <si>
    <t>Anthozoa</t>
  </si>
  <si>
    <t>Cnidaria</t>
  </si>
  <si>
    <t>Antigonia</t>
  </si>
  <si>
    <t>Caproidae</t>
  </si>
  <si>
    <t>Apedinella</t>
  </si>
  <si>
    <t>Pedinellales</t>
  </si>
  <si>
    <t>Pedinellaceae</t>
  </si>
  <si>
    <t>Aphanizomenon</t>
  </si>
  <si>
    <t>Apherusa glacialis</t>
  </si>
  <si>
    <t>Apherusa</t>
  </si>
  <si>
    <t>Aphroditidae</t>
  </si>
  <si>
    <t>Errantia</t>
  </si>
  <si>
    <t>Aphroditiformia</t>
  </si>
  <si>
    <t>Apogonidae</t>
  </si>
  <si>
    <t>Percoidei</t>
  </si>
  <si>
    <t>Arachnactidae</t>
  </si>
  <si>
    <t>Ceriantharia</t>
  </si>
  <si>
    <t>Penicillaria</t>
  </si>
  <si>
    <t>Arachnida</t>
  </si>
  <si>
    <t>Chelicerata</t>
  </si>
  <si>
    <t>Arctapodema</t>
  </si>
  <si>
    <t>Trachymedusae</t>
  </si>
  <si>
    <t>Arietellus</t>
  </si>
  <si>
    <t>Arietellidae</t>
  </si>
  <si>
    <t>Arthropoda</t>
  </si>
  <si>
    <t>Ascidiacea</t>
  </si>
  <si>
    <t>Tunicata</t>
  </si>
  <si>
    <t>Asplanchna</t>
  </si>
  <si>
    <t>Asplanchnidae</t>
  </si>
  <si>
    <t>Asterionella</t>
  </si>
  <si>
    <t>Fragilariaceae</t>
  </si>
  <si>
    <t>Asterionella formosa</t>
  </si>
  <si>
    <t>Asterionellopsis</t>
  </si>
  <si>
    <t>Asterolampra</t>
  </si>
  <si>
    <t>Asterolamprales</t>
  </si>
  <si>
    <t>Asterolampraceae</t>
  </si>
  <si>
    <t>Asterolampra grevillei</t>
  </si>
  <si>
    <t>Asterolampra marylandica</t>
  </si>
  <si>
    <t>Coscinodiscophycidae</t>
  </si>
  <si>
    <t>Coscinodiscanae</t>
  </si>
  <si>
    <t>Asteromphalus</t>
  </si>
  <si>
    <t>Coscinodiscids</t>
  </si>
  <si>
    <t>Asteromphalus flabellatus</t>
  </si>
  <si>
    <t>Asteroplanus</t>
  </si>
  <si>
    <t>Athorybia rosacea</t>
  </si>
  <si>
    <t>Athorybia</t>
  </si>
  <si>
    <t>Atlanta</t>
  </si>
  <si>
    <t>Gastropoda</t>
  </si>
  <si>
    <t>Atlantidae</t>
  </si>
  <si>
    <t>Atolla</t>
  </si>
  <si>
    <t>Atollidae</t>
  </si>
  <si>
    <t>Atolla tenella</t>
  </si>
  <si>
    <t>Attheya</t>
  </si>
  <si>
    <t>Mediophyceae</t>
  </si>
  <si>
    <t>Attheyaceae</t>
  </si>
  <si>
    <t>Alveolata</t>
  </si>
  <si>
    <t>Augaptilidae</t>
  </si>
  <si>
    <t>Augaptilus glacialis</t>
  </si>
  <si>
    <t>Augaptilus</t>
  </si>
  <si>
    <t>Aulacantha</t>
  </si>
  <si>
    <t>Aulacanthidae</t>
  </si>
  <si>
    <t>Aulacantha scolymantha</t>
  </si>
  <si>
    <t>Phaeocystida</t>
  </si>
  <si>
    <t>Aulacoseira</t>
  </si>
  <si>
    <t>Melosirids</t>
  </si>
  <si>
    <t>Aulacoseiraceae</t>
  </si>
  <si>
    <t>Aulacoseira granulata</t>
  </si>
  <si>
    <t>Aulographis</t>
  </si>
  <si>
    <t>Aulosphaeridae</t>
  </si>
  <si>
    <t>Phaeosphaerida</t>
  </si>
  <si>
    <t>Axiidea</t>
  </si>
  <si>
    <t>Azadinium</t>
  </si>
  <si>
    <t>Dinophyceae X</t>
  </si>
  <si>
    <t>Amphidomataceae</t>
  </si>
  <si>
    <t>Azadinium caudatum</t>
  </si>
  <si>
    <t>Azpeitia</t>
  </si>
  <si>
    <t>Coscinodiscales</t>
  </si>
  <si>
    <t>Hemidiscaceae</t>
  </si>
  <si>
    <t>Bacillaria</t>
  </si>
  <si>
    <t>Bacillariaceae</t>
  </si>
  <si>
    <t>Bacillariophytina</t>
  </si>
  <si>
    <t>Khakista</t>
  </si>
  <si>
    <t>Bacteriastrum delicatulum</t>
  </si>
  <si>
    <t>Bacteriastrum</t>
  </si>
  <si>
    <t>Bacteriastrum elongatum</t>
  </si>
  <si>
    <t>Bacteriastrum hyalinum</t>
  </si>
  <si>
    <t>Bacterosira</t>
  </si>
  <si>
    <t>Bacillariophyceae incertae sedis</t>
  </si>
  <si>
    <t>Bacterosira constricta</t>
  </si>
  <si>
    <t>Bairdia</t>
  </si>
  <si>
    <t>Podocopa</t>
  </si>
  <si>
    <t>Bairdiidae</t>
  </si>
  <si>
    <t>Balanus</t>
  </si>
  <si>
    <t>Cirripedia</t>
  </si>
  <si>
    <t>Balaninae</t>
  </si>
  <si>
    <t>Balistes</t>
  </si>
  <si>
    <t>balistidae</t>
  </si>
  <si>
    <t>Balistidae</t>
  </si>
  <si>
    <t>Bassia</t>
  </si>
  <si>
    <t>Abylopsinae</t>
  </si>
  <si>
    <t>Bassia bassensis</t>
  </si>
  <si>
    <t>Bathochordaeus</t>
  </si>
  <si>
    <t>Bathochordaeinae</t>
  </si>
  <si>
    <t>Bathophilus</t>
  </si>
  <si>
    <t>Melanostomiinae</t>
  </si>
  <si>
    <t>Bathyphysa</t>
  </si>
  <si>
    <t>Rhizophysidae</t>
  </si>
  <si>
    <t>Bathypterois</t>
  </si>
  <si>
    <t>Ipnopidae</t>
  </si>
  <si>
    <t>Belzebub faxoni</t>
  </si>
  <si>
    <t>Belzebub</t>
  </si>
  <si>
    <t>Benthesicymidae</t>
  </si>
  <si>
    <t>Penaeoidea</t>
  </si>
  <si>
    <t>Beroe</t>
  </si>
  <si>
    <t>Beroidae</t>
  </si>
  <si>
    <t>Beroe cucumis</t>
  </si>
  <si>
    <t>Beroe forskalii</t>
  </si>
  <si>
    <t>Beroe ovata</t>
  </si>
  <si>
    <t>Bleakeleya</t>
  </si>
  <si>
    <t>araphid pennates</t>
  </si>
  <si>
    <t>Blenniidae</t>
  </si>
  <si>
    <t>Blennioidei</t>
  </si>
  <si>
    <t>Blepharocysta</t>
  </si>
  <si>
    <t>Podolampadaceae</t>
  </si>
  <si>
    <t>Blepharocysta splendor-maris</t>
  </si>
  <si>
    <t>Bolinopsis vitrea</t>
  </si>
  <si>
    <t>Bolinopsis</t>
  </si>
  <si>
    <t>Bosmina</t>
  </si>
  <si>
    <t>Bosminidae</t>
  </si>
  <si>
    <t>Cladocera</t>
  </si>
  <si>
    <t>Anomopoda</t>
  </si>
  <si>
    <t>Bothidae</t>
  </si>
  <si>
    <t>Bothus ocellatus</t>
  </si>
  <si>
    <t>Bothus</t>
  </si>
  <si>
    <t>Botrynema</t>
  </si>
  <si>
    <t>Halicreatidae</t>
  </si>
  <si>
    <t>Botrynema ellinorae</t>
  </si>
  <si>
    <t>Bougainvilliidae</t>
  </si>
  <si>
    <t>Filifera</t>
  </si>
  <si>
    <t>Brachionidae</t>
  </si>
  <si>
    <t>Ploimida</t>
  </si>
  <si>
    <t>Ploima</t>
  </si>
  <si>
    <t>Brachiopoda</t>
  </si>
  <si>
    <t>Brachyura</t>
  </si>
  <si>
    <t>Bramidae</t>
  </si>
  <si>
    <t>Branchiostoma</t>
  </si>
  <si>
    <t>Branchiostomidae</t>
  </si>
  <si>
    <t>Branchiostomatidae</t>
  </si>
  <si>
    <t>Branchiostoma lanceolatum</t>
  </si>
  <si>
    <t>Bryozoa</t>
  </si>
  <si>
    <t>Bulla</t>
  </si>
  <si>
    <t>Bullidae</t>
  </si>
  <si>
    <t>Bythotiaridae</t>
  </si>
  <si>
    <t>Caenogastropoda</t>
  </si>
  <si>
    <t>Calanidae</t>
  </si>
  <si>
    <t>Copepoda</t>
  </si>
  <si>
    <t>Gymnoplea</t>
  </si>
  <si>
    <t>Calanoides</t>
  </si>
  <si>
    <t>Calanus</t>
  </si>
  <si>
    <t>Calanus glacialis</t>
  </si>
  <si>
    <t>Calanus hyperboreus</t>
  </si>
  <si>
    <t>Calanus sinicus</t>
  </si>
  <si>
    <t>Calcidiscus leptoporus</t>
  </si>
  <si>
    <t>Calcidiscus</t>
  </si>
  <si>
    <t>Caligus</t>
  </si>
  <si>
    <t>Siphonostomatoida</t>
  </si>
  <si>
    <t>Caligidae</t>
  </si>
  <si>
    <t>Caligus elongatus</t>
  </si>
  <si>
    <t>Callianira bialata</t>
  </si>
  <si>
    <t>Callianira</t>
  </si>
  <si>
    <t>Callionymidae</t>
  </si>
  <si>
    <t>Callionymoidei</t>
  </si>
  <si>
    <t>Calocalanus</t>
  </si>
  <si>
    <t>Calocalanus pavo</t>
  </si>
  <si>
    <t>Calocalanus plumulosus</t>
  </si>
  <si>
    <t>Calocalanus tenuis</t>
  </si>
  <si>
    <t>Siphonophorae</t>
  </si>
  <si>
    <t>Calyptrosphaeraceae</t>
  </si>
  <si>
    <t>Coccolithales</t>
  </si>
  <si>
    <t>Campylosira</t>
  </si>
  <si>
    <t>Cymatosiraceae</t>
  </si>
  <si>
    <t>Candacia</t>
  </si>
  <si>
    <t>Candaciidae</t>
  </si>
  <si>
    <t>Candacia pachydactyla</t>
  </si>
  <si>
    <t>Cannosphaeridae</t>
  </si>
  <si>
    <t>Canthigaster rostrata</t>
  </si>
  <si>
    <t>Canthigaster</t>
  </si>
  <si>
    <t>Caprellidae</t>
  </si>
  <si>
    <t>Caprelloidea</t>
  </si>
  <si>
    <t>Carangidae</t>
  </si>
  <si>
    <t>Caranx crysos</t>
  </si>
  <si>
    <t>Caranx</t>
  </si>
  <si>
    <t>Carapidae</t>
  </si>
  <si>
    <t>Ophidiiformes</t>
  </si>
  <si>
    <t>Cardiapoda placenta</t>
  </si>
  <si>
    <t>Cardiapoda</t>
  </si>
  <si>
    <t>Caridea</t>
  </si>
  <si>
    <t>Castanellidae</t>
  </si>
  <si>
    <t>Phaeodaria</t>
  </si>
  <si>
    <t>Phaeocalpida</t>
  </si>
  <si>
    <t>Cavolinia</t>
  </si>
  <si>
    <t>Cavoliniidae</t>
  </si>
  <si>
    <t>Cavolinia inflexa</t>
  </si>
  <si>
    <t>Cavolinia tridentata</t>
  </si>
  <si>
    <t>Thecosomata</t>
  </si>
  <si>
    <t>Cavolinioidea</t>
  </si>
  <si>
    <t>Centropages</t>
  </si>
  <si>
    <t>Centropagidae</t>
  </si>
  <si>
    <t>Centropages abdominalis</t>
  </si>
  <si>
    <t>Centropages hamatus</t>
  </si>
  <si>
    <t>Centropages typicus</t>
  </si>
  <si>
    <t>Centropages violaceus</t>
  </si>
  <si>
    <t>Centropyge argi</t>
  </si>
  <si>
    <t>Centropyge</t>
  </si>
  <si>
    <t>Cephalochordata</t>
  </si>
  <si>
    <t>Chordata</t>
  </si>
  <si>
    <t>Cephalopoda</t>
  </si>
  <si>
    <t>Mollusca</t>
  </si>
  <si>
    <t>Cephalopyge trematoides</t>
  </si>
  <si>
    <t>Cephalopyge</t>
  </si>
  <si>
    <t>Cerataspis</t>
  </si>
  <si>
    <t>Aristeidae</t>
  </si>
  <si>
    <t>Cerataulina</t>
  </si>
  <si>
    <t>Hemiaulaceae</t>
  </si>
  <si>
    <t>Ceratiaceae</t>
  </si>
  <si>
    <t>Gonyaulacales</t>
  </si>
  <si>
    <t>Ceratium</t>
  </si>
  <si>
    <t>Ceratocorys</t>
  </si>
  <si>
    <t>Ceratocoryaceae</t>
  </si>
  <si>
    <t>Ceratocorys gourretii</t>
  </si>
  <si>
    <t>Ceratocorys horrida</t>
  </si>
  <si>
    <t>Ceratocymba</t>
  </si>
  <si>
    <t>Ceriodaphnia</t>
  </si>
  <si>
    <t>Daphniidae</t>
  </si>
  <si>
    <t>Cestidae</t>
  </si>
  <si>
    <t>Cestida</t>
  </si>
  <si>
    <t>Cestum veneris</t>
  </si>
  <si>
    <t>Cestum</t>
  </si>
  <si>
    <t>Chaetoceros affinis</t>
  </si>
  <si>
    <t>Chaetoceros</t>
  </si>
  <si>
    <t>Chaetoceros atlanticus</t>
  </si>
  <si>
    <t>Chaetoceros atlanticus var. neapolitanus</t>
  </si>
  <si>
    <t>Chaetoceros brevis</t>
  </si>
  <si>
    <t>Chaetoceros convolutus</t>
  </si>
  <si>
    <t>Chaetoceros criophilus</t>
  </si>
  <si>
    <t>Chaetoceros dadayi</t>
  </si>
  <si>
    <t>Chaetoceros decipiens</t>
  </si>
  <si>
    <t>Chaetoceros dichaeta</t>
  </si>
  <si>
    <t>Chaetoceros didymus</t>
  </si>
  <si>
    <t>Chaetoceros gelidus</t>
  </si>
  <si>
    <t>Chaetoceros laciniosus</t>
  </si>
  <si>
    <t>Chaetoceros lorenzianus</t>
  </si>
  <si>
    <t>Chaetoceros pelagicus</t>
  </si>
  <si>
    <t>Chaetoceros peruvianus</t>
  </si>
  <si>
    <t>Chaetoceros simplex</t>
  </si>
  <si>
    <t>Chaetoceros socialis</t>
  </si>
  <si>
    <t>Chaetoceros subtilis</t>
  </si>
  <si>
    <t>Chaetoceros tenuissimus</t>
  </si>
  <si>
    <t>Chaetoceros teres</t>
  </si>
  <si>
    <t>Chaetognatha</t>
  </si>
  <si>
    <t>Chaetopterus</t>
  </si>
  <si>
    <t>Spionida</t>
  </si>
  <si>
    <t>Chaetopteridae</t>
  </si>
  <si>
    <t>Challengeridae</t>
  </si>
  <si>
    <t>Phaeogromida</t>
  </si>
  <si>
    <t>Challengeron</t>
  </si>
  <si>
    <t>Chelophyes</t>
  </si>
  <si>
    <t>Diphyidae</t>
  </si>
  <si>
    <t>Diphyinae</t>
  </si>
  <si>
    <t>Chelophyes appendiculata</t>
  </si>
  <si>
    <t>Chironomidae</t>
  </si>
  <si>
    <t>Pterygota</t>
  </si>
  <si>
    <t>Culicomorpha</t>
  </si>
  <si>
    <t>Chlorophyceae</t>
  </si>
  <si>
    <t>Chlorophyta</t>
  </si>
  <si>
    <t>Chlorophytina</t>
  </si>
  <si>
    <t>Viridiplantae</t>
  </si>
  <si>
    <t>Choanoflagellatea</t>
  </si>
  <si>
    <t>Choanozoa</t>
  </si>
  <si>
    <t>Choanofila</t>
  </si>
  <si>
    <t>Choreotrichia</t>
  </si>
  <si>
    <t>Spirotrichea</t>
  </si>
  <si>
    <t>Chroococcales</t>
  </si>
  <si>
    <t>Bacteria</t>
  </si>
  <si>
    <t>Oscillatoriophycideae</t>
  </si>
  <si>
    <t>Chroomonas</t>
  </si>
  <si>
    <t>Cryptomonadales</t>
  </si>
  <si>
    <t>Hemiselmidaceae</t>
  </si>
  <si>
    <t>Chrysaora hysoscella</t>
  </si>
  <si>
    <t>Chrysaora</t>
  </si>
  <si>
    <t>Chrysochromulina</t>
  </si>
  <si>
    <t>Chrysochromulinaceae</t>
  </si>
  <si>
    <t>Chrysophyceae</t>
  </si>
  <si>
    <t>Ochrophyta</t>
  </si>
  <si>
    <t>Limnista</t>
  </si>
  <si>
    <t>Chuniphyes moserae</t>
  </si>
  <si>
    <t>Chuniphyes</t>
  </si>
  <si>
    <t>Chydorus</t>
  </si>
  <si>
    <t>Ciliophora</t>
  </si>
  <si>
    <t>Cirrhitiara superba</t>
  </si>
  <si>
    <t>Cirrhitiara</t>
  </si>
  <si>
    <t>Thecostraca</t>
  </si>
  <si>
    <t>Citharistes regius</t>
  </si>
  <si>
    <t>Citharistes</t>
  </si>
  <si>
    <t>Diplostraca</t>
  </si>
  <si>
    <t>Cladoceromorpha</t>
  </si>
  <si>
    <t>Cladopyxis</t>
  </si>
  <si>
    <t>Cladopyxidaceae</t>
  </si>
  <si>
    <t>Cladopyxis brachiolata</t>
  </si>
  <si>
    <t>Cladopyxis caryophyllum</t>
  </si>
  <si>
    <t>Clausocalanidae</t>
  </si>
  <si>
    <t>Clausocalanus</t>
  </si>
  <si>
    <t>Clausocalanus furcatus</t>
  </si>
  <si>
    <t>Cliidae</t>
  </si>
  <si>
    <t>Climacodium</t>
  </si>
  <si>
    <t>Hemiaulales</t>
  </si>
  <si>
    <t>Climacodium frauenfeldianum</t>
  </si>
  <si>
    <t>Clio</t>
  </si>
  <si>
    <t>Clio pyramidata</t>
  </si>
  <si>
    <t>Clione</t>
  </si>
  <si>
    <t>Clionidae</t>
  </si>
  <si>
    <t>Clione limacina</t>
  </si>
  <si>
    <t>Gymnosomata</t>
  </si>
  <si>
    <t>Clionoidea</t>
  </si>
  <si>
    <t>Clupea harengus</t>
  </si>
  <si>
    <t>Clupea</t>
  </si>
  <si>
    <t>Clupeidae</t>
  </si>
  <si>
    <t>Clupeiformes</t>
  </si>
  <si>
    <t>Clytia</t>
  </si>
  <si>
    <t>Campanulariidae</t>
  </si>
  <si>
    <t>Clytia hemisphaerica</t>
  </si>
  <si>
    <t>Coccolithaceae</t>
  </si>
  <si>
    <t>Prymnesiophyceae</t>
  </si>
  <si>
    <t>Cocconeis</t>
  </si>
  <si>
    <t>Cocconeidaceae</t>
  </si>
  <si>
    <t>Cochlodinium</t>
  </si>
  <si>
    <t>Codonaria</t>
  </si>
  <si>
    <t>Dictyocystidae</t>
  </si>
  <si>
    <t>Codonellidae</t>
  </si>
  <si>
    <t>Codonella</t>
  </si>
  <si>
    <t>Tintinnina</t>
  </si>
  <si>
    <t>Codonellopsis orthoceras</t>
  </si>
  <si>
    <t>Codonellopsis</t>
  </si>
  <si>
    <t>Coelodendridae</t>
  </si>
  <si>
    <t>Phaeodendrida</t>
  </si>
  <si>
    <t>Coelodendrum</t>
  </si>
  <si>
    <t>Collodaria</t>
  </si>
  <si>
    <t>Polycystinea</t>
  </si>
  <si>
    <t>Polycystina</t>
  </si>
  <si>
    <t>Collozoum</t>
  </si>
  <si>
    <t>Sphaerozoidae</t>
  </si>
  <si>
    <t>Congridae</t>
  </si>
  <si>
    <t>Maxillopoda</t>
  </si>
  <si>
    <t>Hexanauplia</t>
  </si>
  <si>
    <t>Copilia</t>
  </si>
  <si>
    <t>Sapphirinidae</t>
  </si>
  <si>
    <t>Copula</t>
  </si>
  <si>
    <t>Tripedaliidae</t>
  </si>
  <si>
    <t>Corethron</t>
  </si>
  <si>
    <t>Corethrids</t>
  </si>
  <si>
    <t>Corethraceae</t>
  </si>
  <si>
    <t>Corethron pennatum</t>
  </si>
  <si>
    <t>Corolla</t>
  </si>
  <si>
    <t>Glebinae</t>
  </si>
  <si>
    <t>Corolla spectabilis</t>
  </si>
  <si>
    <t>Coronatae</t>
  </si>
  <si>
    <t>Scyphozoa</t>
  </si>
  <si>
    <t>Coronamedusae</t>
  </si>
  <si>
    <t>Coronosphaera</t>
  </si>
  <si>
    <t>Syracosphaeraceae</t>
  </si>
  <si>
    <t>Corycaeidae</t>
  </si>
  <si>
    <t>Poecilostomatoida</t>
  </si>
  <si>
    <t>Ergasilida</t>
  </si>
  <si>
    <t>Corycaeus</t>
  </si>
  <si>
    <t>Corycaeus speciosus</t>
  </si>
  <si>
    <t>Corymorpha</t>
  </si>
  <si>
    <t>Corymorphidae</t>
  </si>
  <si>
    <t>Corymorpha verrucosa</t>
  </si>
  <si>
    <t>Corynidae</t>
  </si>
  <si>
    <t>Capitata</t>
  </si>
  <si>
    <t>Coryphaena hippurus</t>
  </si>
  <si>
    <t>Coryphaena</t>
  </si>
  <si>
    <t>Corythodinium constrictum</t>
  </si>
  <si>
    <t>Corythodinium</t>
  </si>
  <si>
    <t>Corythodinium tesselatum</t>
  </si>
  <si>
    <t>Coscinodiscus</t>
  </si>
  <si>
    <t>Coscinodiscaceae</t>
  </si>
  <si>
    <t>Cotylorhiza tuberculata</t>
  </si>
  <si>
    <t>Cotylorhiza</t>
  </si>
  <si>
    <t>Cranchiidae</t>
  </si>
  <si>
    <t>Oegopsida</t>
  </si>
  <si>
    <t>Cranchioidea</t>
  </si>
  <si>
    <t>Crella</t>
  </si>
  <si>
    <t>Poecilosclerida</t>
  </si>
  <si>
    <t>Crellidae</t>
  </si>
  <si>
    <t>Creseidae</t>
  </si>
  <si>
    <t>Creseis</t>
  </si>
  <si>
    <t>Creseis acicula</t>
  </si>
  <si>
    <t>Creseis conica</t>
  </si>
  <si>
    <t>Creseis virgula</t>
  </si>
  <si>
    <t>Crossota rufobrunnea</t>
  </si>
  <si>
    <t>Crossota</t>
  </si>
  <si>
    <t>Crustacea</t>
  </si>
  <si>
    <t>Cryptomonas</t>
  </si>
  <si>
    <t>Cryptomonadaceae</t>
  </si>
  <si>
    <t>Cryptoniscoidea</t>
  </si>
  <si>
    <t>Epicaridea</t>
  </si>
  <si>
    <t>Cryptophyta</t>
  </si>
  <si>
    <t>Orphans</t>
  </si>
  <si>
    <t>Hacrobia</t>
  </si>
  <si>
    <t>Ctenocalanus</t>
  </si>
  <si>
    <t>Cubozoa</t>
  </si>
  <si>
    <t>Culex</t>
  </si>
  <si>
    <t>Culicini</t>
  </si>
  <si>
    <t>Cumacea</t>
  </si>
  <si>
    <t>Cumella</t>
  </si>
  <si>
    <t>Nannastacidae</t>
  </si>
  <si>
    <t>Cunina</t>
  </si>
  <si>
    <t>Cuninidae</t>
  </si>
  <si>
    <t>Cuvierina</t>
  </si>
  <si>
    <t>Cuvierinidae</t>
  </si>
  <si>
    <t>Cuvierina columnella</t>
  </si>
  <si>
    <t>Cyanobacteria</t>
  </si>
  <si>
    <t>Cyclocaris guilelmi</t>
  </si>
  <si>
    <t>Cyclocaris</t>
  </si>
  <si>
    <t>Cyclopidae</t>
  </si>
  <si>
    <t>Cyclopoida</t>
  </si>
  <si>
    <t>Cyclopida</t>
  </si>
  <si>
    <t>Podoplea</t>
  </si>
  <si>
    <t>Cyclopsetta fimbriata</t>
  </si>
  <si>
    <t>Cyclopsetta</t>
  </si>
  <si>
    <t>Cyclosalpa</t>
  </si>
  <si>
    <t>Salpida</t>
  </si>
  <si>
    <t>Cyclosalpinae</t>
  </si>
  <si>
    <t>Cyclotella</t>
  </si>
  <si>
    <t>Stephanodiscaceae</t>
  </si>
  <si>
    <t>Cyclothone</t>
  </si>
  <si>
    <t>Gonostomatidae</t>
  </si>
  <si>
    <t>Cydippida</t>
  </si>
  <si>
    <t>Typhlocoela</t>
  </si>
  <si>
    <t>Tentaculata</t>
  </si>
  <si>
    <t>Cyerce bourbonica</t>
  </si>
  <si>
    <t>Cyerce</t>
  </si>
  <si>
    <t>Cyerce elegans</t>
  </si>
  <si>
    <t>Cylindrotheca</t>
  </si>
  <si>
    <t>Cymodoce</t>
  </si>
  <si>
    <t>Sphaeromatidae</t>
  </si>
  <si>
    <t>Cymothoida</t>
  </si>
  <si>
    <t>Isopoda</t>
  </si>
  <si>
    <t>Cynoglossidae</t>
  </si>
  <si>
    <t>Cyprididae</t>
  </si>
  <si>
    <t>Cypridoidea</t>
  </si>
  <si>
    <t>Cypselurus naresii</t>
  </si>
  <si>
    <t>Cypselurus</t>
  </si>
  <si>
    <t>Cystonectae</t>
  </si>
  <si>
    <t>Cytaeis tetrastyla</t>
  </si>
  <si>
    <t>Cytaeis</t>
  </si>
  <si>
    <t>Cyttarocylis</t>
  </si>
  <si>
    <t>Cyttarocylididae</t>
  </si>
  <si>
    <t>Dactyliosolen</t>
  </si>
  <si>
    <t>Rhizosolenids</t>
  </si>
  <si>
    <t>Rhizosoleniaceae</t>
  </si>
  <si>
    <t>Dactyloptena orientalis</t>
  </si>
  <si>
    <t>Dactyloptena</t>
  </si>
  <si>
    <t>Dactylopteridae</t>
  </si>
  <si>
    <t>Dactylopteroidei</t>
  </si>
  <si>
    <t>Dactylopterus volitans</t>
  </si>
  <si>
    <t>Dactylopterus</t>
  </si>
  <si>
    <t>Dactyloscopidae</t>
  </si>
  <si>
    <t>Dadayiella</t>
  </si>
  <si>
    <t>Xystonellidae</t>
  </si>
  <si>
    <t>Dadayiella ganymedes</t>
  </si>
  <si>
    <t>Daphnia</t>
  </si>
  <si>
    <t>Decapoda</t>
  </si>
  <si>
    <t>Eucarida</t>
  </si>
  <si>
    <t>Coleoidea</t>
  </si>
  <si>
    <t>Delibus</t>
  </si>
  <si>
    <t>Delphineis</t>
  </si>
  <si>
    <t>Rhaphoneidaceae</t>
  </si>
  <si>
    <t>Dendrobranchiata</t>
  </si>
  <si>
    <t>Diacavolinia</t>
  </si>
  <si>
    <t>Diacavolinia angulata</t>
  </si>
  <si>
    <t>Diacria</t>
  </si>
  <si>
    <t>Diacria trispinosa</t>
  </si>
  <si>
    <t>Diaphanosoma</t>
  </si>
  <si>
    <t>Sididae</t>
  </si>
  <si>
    <t>Diaptomidae</t>
  </si>
  <si>
    <t>Diatoma</t>
  </si>
  <si>
    <t>Diatoma tenuis</t>
  </si>
  <si>
    <t>Dictyocha</t>
  </si>
  <si>
    <t>Dictyochales</t>
  </si>
  <si>
    <t>Dictyochaceae</t>
  </si>
  <si>
    <t>Dictyocha fibula</t>
  </si>
  <si>
    <t>Dictyochophyceae</t>
  </si>
  <si>
    <t>Hypogyristia</t>
  </si>
  <si>
    <t>Dictyocoryne</t>
  </si>
  <si>
    <t>Spongodiscidae-Coccodiscidae</t>
  </si>
  <si>
    <t>Spongodiscidae</t>
  </si>
  <si>
    <t>Dictyocysta</t>
  </si>
  <si>
    <t>Dictyota</t>
  </si>
  <si>
    <t>Dictyotales</t>
  </si>
  <si>
    <t>Dictyoteae</t>
  </si>
  <si>
    <t>Phaeophyceae</t>
  </si>
  <si>
    <t>Dictyotophycidae</t>
  </si>
  <si>
    <t>Dileptus</t>
  </si>
  <si>
    <t>Tracheliidae</t>
  </si>
  <si>
    <t>Dimophyes arctica</t>
  </si>
  <si>
    <t>Dimophyes</t>
  </si>
  <si>
    <t>Dinobryon</t>
  </si>
  <si>
    <t>Chryso clade C</t>
  </si>
  <si>
    <t>Dinobryaceae</t>
  </si>
  <si>
    <t>Dinobryon balticum</t>
  </si>
  <si>
    <t>Dinophyceae</t>
  </si>
  <si>
    <t>Holodinophyta</t>
  </si>
  <si>
    <t>Dinoflagellata</t>
  </si>
  <si>
    <t>Dinophysiales</t>
  </si>
  <si>
    <t>Dinophysis</t>
  </si>
  <si>
    <t>Dinophysaceae Oxyphysaceae</t>
  </si>
  <si>
    <t>Dinophysaceae</t>
  </si>
  <si>
    <t>Dinophysis acuminata</t>
  </si>
  <si>
    <t>Dinophysis 07</t>
  </si>
  <si>
    <t>Dinophysis acuta</t>
  </si>
  <si>
    <t>Dinophysis norvegica</t>
  </si>
  <si>
    <t>Chloroplast</t>
  </si>
  <si>
    <t>Dinophysis ovum</t>
  </si>
  <si>
    <t>Dinophysis pusilla</t>
  </si>
  <si>
    <t>Dinophysis sacculus</t>
  </si>
  <si>
    <t>Dinophysis schuettii</t>
  </si>
  <si>
    <t>Dinophysis tripos</t>
  </si>
  <si>
    <t>Diploneis</t>
  </si>
  <si>
    <t>Diploneidaceae</t>
  </si>
  <si>
    <t>Diplopsalis</t>
  </si>
  <si>
    <t>Protoperidiniaceae</t>
  </si>
  <si>
    <t>Disco</t>
  </si>
  <si>
    <t>Discoidae</t>
  </si>
  <si>
    <t>Ditylum</t>
  </si>
  <si>
    <t>Lithodesmiaceae</t>
  </si>
  <si>
    <t>Dolichospermum</t>
  </si>
  <si>
    <t>Doliolida</t>
  </si>
  <si>
    <t>Thaliacea</t>
  </si>
  <si>
    <t>Doliolum</t>
  </si>
  <si>
    <t>Doliolidae</t>
  </si>
  <si>
    <t>Drymonema larsoni</t>
  </si>
  <si>
    <t>Drymonema</t>
  </si>
  <si>
    <t>Dunaliella</t>
  </si>
  <si>
    <t>Chlamydomonadales</t>
  </si>
  <si>
    <t>Dunaliellaceae</t>
  </si>
  <si>
    <t>Duplicaria</t>
  </si>
  <si>
    <t>Hypsogastropoda</t>
  </si>
  <si>
    <t>Pervicaciinae</t>
  </si>
  <si>
    <t>Dytiscidae</t>
  </si>
  <si>
    <t>Coleoptera</t>
  </si>
  <si>
    <t>Ebria tripartita</t>
  </si>
  <si>
    <t>Ebria</t>
  </si>
  <si>
    <t>Echeneis</t>
  </si>
  <si>
    <t>Echeneidae</t>
  </si>
  <si>
    <t>Echinoderes</t>
  </si>
  <si>
    <t>Echinoderidae</t>
  </si>
  <si>
    <t>Echinodermata</t>
  </si>
  <si>
    <t>Echinoidea</t>
  </si>
  <si>
    <t>Echinozoa</t>
  </si>
  <si>
    <t>Eleotridae</t>
  </si>
  <si>
    <t>Gobioidei</t>
  </si>
  <si>
    <t>Teleostei</t>
  </si>
  <si>
    <t>Emiliania huxleyi</t>
  </si>
  <si>
    <t>Emiliania</t>
  </si>
  <si>
    <t>Ensiculifera</t>
  </si>
  <si>
    <t>Peridiniales-X</t>
  </si>
  <si>
    <t>Calciodinelloideae</t>
  </si>
  <si>
    <t>Entomoneis</t>
  </si>
  <si>
    <t>Entomoneidaceae</t>
  </si>
  <si>
    <t>Epicancella nervosa</t>
  </si>
  <si>
    <t>Epicancella</t>
  </si>
  <si>
    <t>Epiplocylis</t>
  </si>
  <si>
    <t>Epiplocylididae</t>
  </si>
  <si>
    <t>Epiplocylis acuminata</t>
  </si>
  <si>
    <t>Ergasilidae</t>
  </si>
  <si>
    <t>Polychaeta</t>
  </si>
  <si>
    <t>Etrema</t>
  </si>
  <si>
    <t>Clathurellidae</t>
  </si>
  <si>
    <t>Etropus crossotus</t>
  </si>
  <si>
    <t>Etropus</t>
  </si>
  <si>
    <t>Eucalanidae</t>
  </si>
  <si>
    <t>Eucalanus</t>
  </si>
  <si>
    <t>Eucampia</t>
  </si>
  <si>
    <t>Euchaeta</t>
  </si>
  <si>
    <t>Euchaetidae</t>
  </si>
  <si>
    <t>Euchirella</t>
  </si>
  <si>
    <t>Eudoxoides spiralis</t>
  </si>
  <si>
    <t>Eudoxoides</t>
  </si>
  <si>
    <t>Euglena</t>
  </si>
  <si>
    <t>Euglenales</t>
  </si>
  <si>
    <t>Euglenaceae</t>
  </si>
  <si>
    <t>Euglenida</t>
  </si>
  <si>
    <t>Euglenozoa</t>
  </si>
  <si>
    <t>Euglenia</t>
  </si>
  <si>
    <t>Eukrohnia hamata</t>
  </si>
  <si>
    <t>Eukrohnia</t>
  </si>
  <si>
    <t>Malacostraca</t>
  </si>
  <si>
    <t>Euphausia</t>
  </si>
  <si>
    <t>Euphausiacea</t>
  </si>
  <si>
    <t>Euphausiidae</t>
  </si>
  <si>
    <t>Euphausia pacifica</t>
  </si>
  <si>
    <t>Euphysa</t>
  </si>
  <si>
    <t>Euprymna berryi</t>
  </si>
  <si>
    <t>Euprymna</t>
  </si>
  <si>
    <t>Eurydice</t>
  </si>
  <si>
    <t>Cirolanidae</t>
  </si>
  <si>
    <t>Eurypegasus draconis</t>
  </si>
  <si>
    <t>Eurypegasus</t>
  </si>
  <si>
    <t>Eurytemora</t>
  </si>
  <si>
    <t>Temoridae</t>
  </si>
  <si>
    <t>Eustomias</t>
  </si>
  <si>
    <t>Euterpina</t>
  </si>
  <si>
    <t>Harpacticoida</t>
  </si>
  <si>
    <t>Tachidiidae</t>
  </si>
  <si>
    <t>Euterpina acutifrons</t>
  </si>
  <si>
    <t>Euthecosomata</t>
  </si>
  <si>
    <t>Pteropoda</t>
  </si>
  <si>
    <t>Eutintinnus</t>
  </si>
  <si>
    <t>Eutintinnus apertus</t>
  </si>
  <si>
    <t>Eutreptiella</t>
  </si>
  <si>
    <t>Eutreptiales</t>
  </si>
  <si>
    <t>Eutreptiaceae</t>
  </si>
  <si>
    <t>Evadne</t>
  </si>
  <si>
    <t>Podonidae</t>
  </si>
  <si>
    <t>Evadne anonyx</t>
  </si>
  <si>
    <t>Evadne nordmanni</t>
  </si>
  <si>
    <t>Evadne prolongata</t>
  </si>
  <si>
    <t>Evadne spinifera</t>
  </si>
  <si>
    <t>Excavata</t>
  </si>
  <si>
    <t>Exocoetidae</t>
  </si>
  <si>
    <t>Beloniformes</t>
  </si>
  <si>
    <t>Farranula</t>
  </si>
  <si>
    <t>Ferosagitta</t>
  </si>
  <si>
    <t>Sagittidae</t>
  </si>
  <si>
    <t>Firoloida desmarestia</t>
  </si>
  <si>
    <t>Firoloida</t>
  </si>
  <si>
    <t>Flaccisagitta</t>
  </si>
  <si>
    <t>Flaccisagitta enflata</t>
  </si>
  <si>
    <t>Foraminifera</t>
  </si>
  <si>
    <t>Retaria</t>
  </si>
  <si>
    <t>Forskalia formosa</t>
  </si>
  <si>
    <t>Forskalia</t>
  </si>
  <si>
    <t>Fossula arctica</t>
  </si>
  <si>
    <t>Fossula</t>
  </si>
  <si>
    <t>Fragilaria</t>
  </si>
  <si>
    <t>Fragilariopsis</t>
  </si>
  <si>
    <t>Fritillaria</t>
  </si>
  <si>
    <t>Fritillariidae</t>
  </si>
  <si>
    <t>Fritillariinae</t>
  </si>
  <si>
    <t>Fritillaria pellucida</t>
  </si>
  <si>
    <t>Appendicularia</t>
  </si>
  <si>
    <t>Copelata</t>
  </si>
  <si>
    <t>Gadus</t>
  </si>
  <si>
    <t>Gadidae</t>
  </si>
  <si>
    <t>Gaetanus</t>
  </si>
  <si>
    <t>Gaetanus brevispinus</t>
  </si>
  <si>
    <t>Gaetanus tenuispinus</t>
  </si>
  <si>
    <t>Galatheidae</t>
  </si>
  <si>
    <t>Galatheoidea</t>
  </si>
  <si>
    <t>Gastrosaccus</t>
  </si>
  <si>
    <t>Mysida</t>
  </si>
  <si>
    <t>Gastrosaccini</t>
  </si>
  <si>
    <t>Gastrosaccus spinifer</t>
  </si>
  <si>
    <t>Gempylidae</t>
  </si>
  <si>
    <t>Scombroidei</t>
  </si>
  <si>
    <t>Gephyrocapsa oceanica</t>
  </si>
  <si>
    <t>Gephyrocapsa</t>
  </si>
  <si>
    <t>Gerreidae</t>
  </si>
  <si>
    <t>Gerridae</t>
  </si>
  <si>
    <t>Gerromorpha</t>
  </si>
  <si>
    <t>Geryonia proboscidalis</t>
  </si>
  <si>
    <t>Geryonia</t>
  </si>
  <si>
    <t>Geryoniidae</t>
  </si>
  <si>
    <t>Limnomedusae</t>
  </si>
  <si>
    <t>Globigerina</t>
  </si>
  <si>
    <t>Globigerinacea</t>
  </si>
  <si>
    <t>Globigerininae</t>
  </si>
  <si>
    <t>Globigerinella siphonifera</t>
  </si>
  <si>
    <t>Globigerinella</t>
  </si>
  <si>
    <t>Globigerinita</t>
  </si>
  <si>
    <t>Globigerinitinae</t>
  </si>
  <si>
    <t>Globigerinoides</t>
  </si>
  <si>
    <t>Globorotalia</t>
  </si>
  <si>
    <t>Globorotaliidae</t>
  </si>
  <si>
    <t>Globorotalioidea</t>
  </si>
  <si>
    <t>Glyceridae</t>
  </si>
  <si>
    <t>Glyceriformia</t>
  </si>
  <si>
    <t>Vertebrata</t>
  </si>
  <si>
    <t>Gobiidae</t>
  </si>
  <si>
    <t>Goniodomataceae</t>
  </si>
  <si>
    <t>Goniopsyllus</t>
  </si>
  <si>
    <t>Clytemnestrinae</t>
  </si>
  <si>
    <t>Gonyaulax</t>
  </si>
  <si>
    <t>Gonyaulax birostris</t>
  </si>
  <si>
    <t>Gonyaulax cochlea</t>
  </si>
  <si>
    <t>Gonyaulax 06</t>
  </si>
  <si>
    <t>Gonyaulax fusiformis</t>
  </si>
  <si>
    <t>Gonyaulax monacantha</t>
  </si>
  <si>
    <t>Gonyaulax polygramma</t>
  </si>
  <si>
    <t>Gonyaulax sphaeroidea</t>
  </si>
  <si>
    <t>Gonyaulax spinifera</t>
  </si>
  <si>
    <t>Gossleriella</t>
  </si>
  <si>
    <t>Gossleriellaceae</t>
  </si>
  <si>
    <t>Grammatophora</t>
  </si>
  <si>
    <t>Striatellaceae</t>
  </si>
  <si>
    <t>Guinardia</t>
  </si>
  <si>
    <t>Gymnapogon</t>
  </si>
  <si>
    <t>Pseudamiinae</t>
  </si>
  <si>
    <t>Gymnodiniales</t>
  </si>
  <si>
    <t>Gymnodinium</t>
  </si>
  <si>
    <t>Euopisthobranchia</t>
  </si>
  <si>
    <t>Gyrodinium</t>
  </si>
  <si>
    <t>Gyrodinium spirale</t>
  </si>
  <si>
    <t>Gyrosigma</t>
  </si>
  <si>
    <t>Pleurosigmataceae</t>
  </si>
  <si>
    <t>Haeckelia rubra</t>
  </si>
  <si>
    <t>Haeckelia</t>
  </si>
  <si>
    <t>Haemulidae</t>
  </si>
  <si>
    <t>Halobates</t>
  </si>
  <si>
    <t>Insecta</t>
  </si>
  <si>
    <t>Halobatini</t>
  </si>
  <si>
    <t>Halocyprididae</t>
  </si>
  <si>
    <t>Myodocopa</t>
  </si>
  <si>
    <t>Halocypridoidea</t>
  </si>
  <si>
    <t>Haloptilus</t>
  </si>
  <si>
    <t>Haloptilus acutifrons</t>
  </si>
  <si>
    <t>Halosphaera</t>
  </si>
  <si>
    <t>Pyramimonadales</t>
  </si>
  <si>
    <t>Pyramimonadaceae</t>
  </si>
  <si>
    <t>Hapalochlaena</t>
  </si>
  <si>
    <t>Haptophyta</t>
  </si>
  <si>
    <t>Harosa</t>
  </si>
  <si>
    <t>Chromista</t>
  </si>
  <si>
    <t>Haslea</t>
  </si>
  <si>
    <t>Naviculaceae</t>
  </si>
  <si>
    <t>Hastigerina</t>
  </si>
  <si>
    <t>Hastigerinidae</t>
  </si>
  <si>
    <t>Helicosphaera carteri</t>
  </si>
  <si>
    <t>Helicosphaera</t>
  </si>
  <si>
    <t>Hemiaclis</t>
  </si>
  <si>
    <t>Eulimidae</t>
  </si>
  <si>
    <t>Biddulphianae</t>
  </si>
  <si>
    <t>Hemiaulus</t>
  </si>
  <si>
    <t>Hemichordata</t>
  </si>
  <si>
    <t>Hemicyclops</t>
  </si>
  <si>
    <t>Clausidiidae</t>
  </si>
  <si>
    <t>Hemidiscus cuneiformis</t>
  </si>
  <si>
    <t>Hemidiscus</t>
  </si>
  <si>
    <t>Hemiramphidae</t>
  </si>
  <si>
    <t>Hemiramphus</t>
  </si>
  <si>
    <t>Heptagenia</t>
  </si>
  <si>
    <t>Heptageniidae</t>
  </si>
  <si>
    <t>Heterobranchia</t>
  </si>
  <si>
    <t>Heterocapsa</t>
  </si>
  <si>
    <t>Heterocapsaceae</t>
  </si>
  <si>
    <t>Heterocapsa pygmaea</t>
  </si>
  <si>
    <t>Heterocapsa 02</t>
  </si>
  <si>
    <t>Heterocapsa rotundata</t>
  </si>
  <si>
    <t>Heterodinium</t>
  </si>
  <si>
    <t>Heterodiniaceae</t>
  </si>
  <si>
    <t>Heterorhabdidae</t>
  </si>
  <si>
    <t>Heterorhabdus</t>
  </si>
  <si>
    <t>Heterorhabdus norvegicus</t>
  </si>
  <si>
    <t>Hexapoda</t>
  </si>
  <si>
    <t>Hippocampus erectus</t>
  </si>
  <si>
    <t>Hippocampus</t>
  </si>
  <si>
    <t>Hippolytidae</t>
  </si>
  <si>
    <t>Alpheoidea</t>
  </si>
  <si>
    <t>Hippopodiidae</t>
  </si>
  <si>
    <t>Hippopodius hippopus</t>
  </si>
  <si>
    <t>Hippopodius</t>
  </si>
  <si>
    <t>Histioneis</t>
  </si>
  <si>
    <t>Histioneis elongata</t>
  </si>
  <si>
    <t>Histioneis longicollis</t>
  </si>
  <si>
    <t>Histioneis mediterranea</t>
  </si>
  <si>
    <t>Histioneis variabilis</t>
  </si>
  <si>
    <t>Holocentrus</t>
  </si>
  <si>
    <t>holocentridae</t>
  </si>
  <si>
    <t>Holocentrinae</t>
  </si>
  <si>
    <t>Holopediidae</t>
  </si>
  <si>
    <t>Ctenopoda</t>
  </si>
  <si>
    <t>Holothuria</t>
  </si>
  <si>
    <t>Holothuriidae</t>
  </si>
  <si>
    <t>Holothuroidea</t>
  </si>
  <si>
    <t>Homarus</t>
  </si>
  <si>
    <t>Astacidea</t>
  </si>
  <si>
    <t>Nephropidae</t>
  </si>
  <si>
    <t>Hyalocylis striata</t>
  </si>
  <si>
    <t>Hyalocylis</t>
  </si>
  <si>
    <t>Hydrozoa</t>
  </si>
  <si>
    <t>Hydromyles globulosus</t>
  </si>
  <si>
    <t>Hydromyles</t>
  </si>
  <si>
    <t>Hydropsyche</t>
  </si>
  <si>
    <t>Hydropsychidae</t>
  </si>
  <si>
    <t>Hyperia</t>
  </si>
  <si>
    <t>Hyperiidae</t>
  </si>
  <si>
    <t>Hyperiidea</t>
  </si>
  <si>
    <t>Phronimoidea</t>
  </si>
  <si>
    <t>Iasis</t>
  </si>
  <si>
    <t>Salpinae</t>
  </si>
  <si>
    <t>Idiosepius</t>
  </si>
  <si>
    <t>Idiosepiidae</t>
  </si>
  <si>
    <t>Idotea</t>
  </si>
  <si>
    <t>Valvifera</t>
  </si>
  <si>
    <t>Idoteidae</t>
  </si>
  <si>
    <t>Ilyocryptus</t>
  </si>
  <si>
    <t>Ilyocryptidae</t>
  </si>
  <si>
    <t>Isias</t>
  </si>
  <si>
    <t>Isias clavipes</t>
  </si>
  <si>
    <t>Isochrysidales</t>
  </si>
  <si>
    <t>Istiophoridae</t>
  </si>
  <si>
    <t>Xiphioidei</t>
  </si>
  <si>
    <t>Karenia</t>
  </si>
  <si>
    <t>Kareniaceae</t>
  </si>
  <si>
    <t>Brachidiniaceae</t>
  </si>
  <si>
    <t>Karenia mikimotoi</t>
  </si>
  <si>
    <t>Katagnymene spiralis</t>
  </si>
  <si>
    <t>Katagnymene</t>
  </si>
  <si>
    <t>Katodinium</t>
  </si>
  <si>
    <t>Tovelliaceae</t>
  </si>
  <si>
    <t>Keratella</t>
  </si>
  <si>
    <t>Labidocera</t>
  </si>
  <si>
    <t>Pontellidae</t>
  </si>
  <si>
    <t>Labidocera euchaeta</t>
  </si>
  <si>
    <t>Laboea strobila</t>
  </si>
  <si>
    <t>Laboea</t>
  </si>
  <si>
    <t>Lachnolaimus maximus</t>
  </si>
  <si>
    <t>Lachnolaimus</t>
  </si>
  <si>
    <t>Lacrymaria</t>
  </si>
  <si>
    <t>Lacrymariidae</t>
  </si>
  <si>
    <t>Lactoria fornasini</t>
  </si>
  <si>
    <t>Lactoria</t>
  </si>
  <si>
    <t>Lampea</t>
  </si>
  <si>
    <t>Lampeidae</t>
  </si>
  <si>
    <t>Lanceola</t>
  </si>
  <si>
    <t>Lanceolidae</t>
  </si>
  <si>
    <t>Larsonia pterophylla</t>
  </si>
  <si>
    <t>Larsonia</t>
  </si>
  <si>
    <t>Latreutes</t>
  </si>
  <si>
    <t>Lauderia</t>
  </si>
  <si>
    <t>Lauderiaceae</t>
  </si>
  <si>
    <t>Leander</t>
  </si>
  <si>
    <t>Palaemonidae</t>
  </si>
  <si>
    <t>Leander tenuicornis</t>
  </si>
  <si>
    <t>Lensia</t>
  </si>
  <si>
    <t>Lensia subtilis</t>
  </si>
  <si>
    <t>Leptochela</t>
  </si>
  <si>
    <t>Pasiphaeidae</t>
  </si>
  <si>
    <t>Leptocylindrales</t>
  </si>
  <si>
    <t>Coscinodiscophyceae</t>
  </si>
  <si>
    <t>Chaetocerotanae</t>
  </si>
  <si>
    <t>Leptocylindrus</t>
  </si>
  <si>
    <t>Leptocylindraceae</t>
  </si>
  <si>
    <t>Leptocylindrus convexus</t>
  </si>
  <si>
    <t>Leptodora</t>
  </si>
  <si>
    <t>Leptodoridae</t>
  </si>
  <si>
    <t>Leptodora kindtii</t>
  </si>
  <si>
    <t>Lessardia</t>
  </si>
  <si>
    <t>Lessardiaceae</t>
  </si>
  <si>
    <t>Lessardia elongata</t>
  </si>
  <si>
    <t>Lestrigonus</t>
  </si>
  <si>
    <t>Lestrigonidae</t>
  </si>
  <si>
    <t>Leuckartiara gardineri</t>
  </si>
  <si>
    <t>Leuckartiara</t>
  </si>
  <si>
    <t>Leuckartiara octonema</t>
  </si>
  <si>
    <t>Leucothea multicornis</t>
  </si>
  <si>
    <t>Leucothea</t>
  </si>
  <si>
    <t>Leucotheidae</t>
  </si>
  <si>
    <t>Lobata</t>
  </si>
  <si>
    <t>Libellula</t>
  </si>
  <si>
    <t>Libellulidae</t>
  </si>
  <si>
    <t>Licmophora</t>
  </si>
  <si>
    <t>Licmophoraceae</t>
  </si>
  <si>
    <t>Licmophora gracilis</t>
  </si>
  <si>
    <t>Lima</t>
  </si>
  <si>
    <t>Limoida</t>
  </si>
  <si>
    <t>Limidae</t>
  </si>
  <si>
    <t>Limacia</t>
  </si>
  <si>
    <t>Polyceridae</t>
  </si>
  <si>
    <t>Triophinae</t>
  </si>
  <si>
    <t>Limacina</t>
  </si>
  <si>
    <t>Limacinidae</t>
  </si>
  <si>
    <t>Limacina bulimoides</t>
  </si>
  <si>
    <t>Limacina helicina</t>
  </si>
  <si>
    <t>Limacina retroversa</t>
  </si>
  <si>
    <t>Limacina trochiformis</t>
  </si>
  <si>
    <t>Limacinoidea</t>
  </si>
  <si>
    <t>Linuche unguiculata</t>
  </si>
  <si>
    <t>Linuche</t>
  </si>
  <si>
    <t>Lioloma</t>
  </si>
  <si>
    <t>Thalassionemataceae</t>
  </si>
  <si>
    <t>Liopropoma</t>
  </si>
  <si>
    <t>Epinephelinae</t>
  </si>
  <si>
    <t>Liriope</t>
  </si>
  <si>
    <t>Liriope tetraphylla</t>
  </si>
  <si>
    <t>Lithodesmioides</t>
  </si>
  <si>
    <t>Cyclocoela</t>
  </si>
  <si>
    <t>Lopadorrhynchidae</t>
  </si>
  <si>
    <t>Phyllodociformia</t>
  </si>
  <si>
    <t>Lophiiformes</t>
  </si>
  <si>
    <t>Lubbockia</t>
  </si>
  <si>
    <t>Lubbockiidae</t>
  </si>
  <si>
    <t>Lucicutia</t>
  </si>
  <si>
    <t>Lucicutiidae</t>
  </si>
  <si>
    <t>Luciferidae</t>
  </si>
  <si>
    <t>Sergestoidea</t>
  </si>
  <si>
    <t>Luidia</t>
  </si>
  <si>
    <t>Luidiidae</t>
  </si>
  <si>
    <t>Luidia sarsii</t>
  </si>
  <si>
    <t>Lutjanidae</t>
  </si>
  <si>
    <t>Lysmata</t>
  </si>
  <si>
    <t>Lysmatidae</t>
  </si>
  <si>
    <t>Macrosetella gracilis</t>
  </si>
  <si>
    <t>Macrosetella</t>
  </si>
  <si>
    <t>Macrotritopus</t>
  </si>
  <si>
    <t>Macrotritopus defilippi</t>
  </si>
  <si>
    <t>Malacanthus plumieri</t>
  </si>
  <si>
    <t>Malacanthus</t>
  </si>
  <si>
    <t>Malacosteinae</t>
  </si>
  <si>
    <t>Stomiidae</t>
  </si>
  <si>
    <t>Multicrustacea</t>
  </si>
  <si>
    <t>Mastigias</t>
  </si>
  <si>
    <t>Mastigiidae</t>
  </si>
  <si>
    <t>Mastogloia</t>
  </si>
  <si>
    <t>raphid pennates</t>
  </si>
  <si>
    <t>Mastogloiaceae</t>
  </si>
  <si>
    <t>Mecynocera</t>
  </si>
  <si>
    <t>Mecynocera clausi</t>
  </si>
  <si>
    <t>Medusettidae</t>
  </si>
  <si>
    <t>Megalocercus abyssorum</t>
  </si>
  <si>
    <t>Megalocercus</t>
  </si>
  <si>
    <t>Megalops atlanticus</t>
  </si>
  <si>
    <t>Megalops</t>
  </si>
  <si>
    <t>Melanocetidae</t>
  </si>
  <si>
    <t>Melibe engeli</t>
  </si>
  <si>
    <t>Melibe</t>
  </si>
  <si>
    <t>Melosira</t>
  </si>
  <si>
    <t>Melosiraceae</t>
  </si>
  <si>
    <t>Melosirales</t>
  </si>
  <si>
    <t>Membraneis</t>
  </si>
  <si>
    <t>Mene maculata</t>
  </si>
  <si>
    <t>Mene</t>
  </si>
  <si>
    <t>Merga violacea</t>
  </si>
  <si>
    <t>Merga</t>
  </si>
  <si>
    <t>Merismopedia</t>
  </si>
  <si>
    <t>Merismopedioideae</t>
  </si>
  <si>
    <t>Mertensia ovum</t>
  </si>
  <si>
    <t>Mertensia</t>
  </si>
  <si>
    <t>Mesocalanus</t>
  </si>
  <si>
    <t>Mesodinium</t>
  </si>
  <si>
    <t>Mesodiniidae</t>
  </si>
  <si>
    <t>Mesodinium rubrum</t>
  </si>
  <si>
    <t>Mesoporos perforatus</t>
  </si>
  <si>
    <t>Mesoporos</t>
  </si>
  <si>
    <t>Mesosagitta minima</t>
  </si>
  <si>
    <t>Mesosagitta</t>
  </si>
  <si>
    <t>Metacylis</t>
  </si>
  <si>
    <t>Metacylididae</t>
  </si>
  <si>
    <t>Metridia</t>
  </si>
  <si>
    <t>Metridinidae</t>
  </si>
  <si>
    <t>Metridia curticauda</t>
  </si>
  <si>
    <t>Metridia gerlachei</t>
  </si>
  <si>
    <t>Metridia longa</t>
  </si>
  <si>
    <t>Metridia pacifica</t>
  </si>
  <si>
    <t>Meuniera</t>
  </si>
  <si>
    <t>Microcalanus</t>
  </si>
  <si>
    <t>Microsetella</t>
  </si>
  <si>
    <t>Ectinosomatidae</t>
  </si>
  <si>
    <t>Microsetella norvegica</t>
  </si>
  <si>
    <t>Millepora</t>
  </si>
  <si>
    <t>Milleporidae</t>
  </si>
  <si>
    <t>Miracia</t>
  </si>
  <si>
    <t>Miraciinae</t>
  </si>
  <si>
    <t>Miraciidae</t>
  </si>
  <si>
    <t>Mnemiopsis leidyi</t>
  </si>
  <si>
    <t>Mnemiopsis</t>
  </si>
  <si>
    <t>Monolene sessilicauda</t>
  </si>
  <si>
    <t>Monolene</t>
  </si>
  <si>
    <t>Monstrilla</t>
  </si>
  <si>
    <t>Monstrilloida</t>
  </si>
  <si>
    <t>Monstrillidae</t>
  </si>
  <si>
    <t>Mormonilla</t>
  </si>
  <si>
    <t>Mormonillidae</t>
  </si>
  <si>
    <t>Muggiaea</t>
  </si>
  <si>
    <t>Muggiaea atlantica</t>
  </si>
  <si>
    <t>Mugilidae</t>
  </si>
  <si>
    <t>Mugiloidei</t>
  </si>
  <si>
    <t>Mullidae</t>
  </si>
  <si>
    <t>Munididae</t>
  </si>
  <si>
    <t>Munnopsis</t>
  </si>
  <si>
    <t>Asellota</t>
  </si>
  <si>
    <t>Munnopsinae</t>
  </si>
  <si>
    <t>Myctophidae</t>
  </si>
  <si>
    <t>Myctophiformes</t>
  </si>
  <si>
    <t>Myctophum</t>
  </si>
  <si>
    <t>Myzozoa</t>
  </si>
  <si>
    <t>Nannocalanus minor</t>
  </si>
  <si>
    <t>Nannocalanus</t>
  </si>
  <si>
    <t>Nanomia bijuga</t>
  </si>
  <si>
    <t>Nanomia</t>
  </si>
  <si>
    <t>Nanoneis</t>
  </si>
  <si>
    <t>Trachylina</t>
  </si>
  <si>
    <t>Trachylinae</t>
  </si>
  <si>
    <t>Nassaria</t>
  </si>
  <si>
    <t>Cylleninae</t>
  </si>
  <si>
    <t>Nausithoe maculata</t>
  </si>
  <si>
    <t>Nausithoe</t>
  </si>
  <si>
    <t>Navicula</t>
  </si>
  <si>
    <t>Naviculales</t>
  </si>
  <si>
    <t>Bacillariophycanae</t>
  </si>
  <si>
    <t>Nematoda</t>
  </si>
  <si>
    <t>Nematopsides vigilans</t>
  </si>
  <si>
    <t>Nematopsides</t>
  </si>
  <si>
    <t>Nemertea</t>
  </si>
  <si>
    <t>Neobythitinae</t>
  </si>
  <si>
    <t>Ophidiidae</t>
  </si>
  <si>
    <t>Neocalanus</t>
  </si>
  <si>
    <t>Neocalanus cristatus</t>
  </si>
  <si>
    <t>Neocalanus flemingeri</t>
  </si>
  <si>
    <t>Neocalanus plumchrus</t>
  </si>
  <si>
    <t>Neoceratium</t>
  </si>
  <si>
    <t>Neoceratium hexacanthum</t>
  </si>
  <si>
    <t>Neoscopelus microchir</t>
  </si>
  <si>
    <t>Neoscopelus</t>
  </si>
  <si>
    <t>Neoturris pileata</t>
  </si>
  <si>
    <t>Neoturris</t>
  </si>
  <si>
    <t>Nephrops norvegicus</t>
  </si>
  <si>
    <t>Nephrops</t>
  </si>
  <si>
    <t>Nereididae</t>
  </si>
  <si>
    <t>Nereidiformia</t>
  </si>
  <si>
    <t>Nereiphylla</t>
  </si>
  <si>
    <t>Phyllodocidae</t>
  </si>
  <si>
    <t>Notophyllinae</t>
  </si>
  <si>
    <t>Netocertoides brachiatum</t>
  </si>
  <si>
    <t>Netocertoides</t>
  </si>
  <si>
    <t>Nitokra</t>
  </si>
  <si>
    <t>Ameiridae</t>
  </si>
  <si>
    <t>Nitzschia frustulum</t>
  </si>
  <si>
    <t>Nitzschia</t>
  </si>
  <si>
    <t>Nitzschia longissima</t>
  </si>
  <si>
    <t>Noctilucales</t>
  </si>
  <si>
    <t>Nodularia</t>
  </si>
  <si>
    <t>Nomeidae</t>
  </si>
  <si>
    <t>Stromateoidei</t>
  </si>
  <si>
    <t>Nostocales</t>
  </si>
  <si>
    <t>Nostocophycideae</t>
  </si>
  <si>
    <t>Notarchus punctatus</t>
  </si>
  <si>
    <t>Notarchus</t>
  </si>
  <si>
    <t>Nudipleura</t>
  </si>
  <si>
    <t>Nullosetigera</t>
  </si>
  <si>
    <t>Nullosetigeridae</t>
  </si>
  <si>
    <t>Obelia</t>
  </si>
  <si>
    <t>Obelia geniculata</t>
  </si>
  <si>
    <t>Oceania armata</t>
  </si>
  <si>
    <t>Oceania</t>
  </si>
  <si>
    <t>Octactis octonaria</t>
  </si>
  <si>
    <t>Octactis</t>
  </si>
  <si>
    <t>Octophialucium</t>
  </si>
  <si>
    <t>Malagazziidae</t>
  </si>
  <si>
    <t>Octopus</t>
  </si>
  <si>
    <t>Ocyropsis maculata immaculata</t>
  </si>
  <si>
    <t>Ocyropsis maculata</t>
  </si>
  <si>
    <t>Odontella</t>
  </si>
  <si>
    <t>Triceratiaceae</t>
  </si>
  <si>
    <t>Oikopleura</t>
  </si>
  <si>
    <t>Oikopleuridae</t>
  </si>
  <si>
    <t>Labiata</t>
  </si>
  <si>
    <t>Oithona</t>
  </si>
  <si>
    <t>Oithonidae</t>
  </si>
  <si>
    <t>Oithona atlantica</t>
  </si>
  <si>
    <t>Oithona nana</t>
  </si>
  <si>
    <t>Oithona plumifera</t>
  </si>
  <si>
    <t>Oithona similis</t>
  </si>
  <si>
    <t>Oithonida</t>
  </si>
  <si>
    <t>Oligochaeta</t>
  </si>
  <si>
    <t>Clitellata</t>
  </si>
  <si>
    <t>Oligotrichia</t>
  </si>
  <si>
    <t>Oligotrichea</t>
  </si>
  <si>
    <t>Olindias malayensis</t>
  </si>
  <si>
    <t>Olindias</t>
  </si>
  <si>
    <t>Ommastrephidae</t>
  </si>
  <si>
    <t>Ommastrephoidea</t>
  </si>
  <si>
    <t>Oncaea</t>
  </si>
  <si>
    <t>Oncaeidae</t>
  </si>
  <si>
    <t>Onychoteuthis</t>
  </si>
  <si>
    <t>Onychoteuthidae</t>
  </si>
  <si>
    <t>Ophichthidae</t>
  </si>
  <si>
    <t>Ophiura</t>
  </si>
  <si>
    <t>Ophiuridae</t>
  </si>
  <si>
    <t>Ophiurinae</t>
  </si>
  <si>
    <t>Ophiurida</t>
  </si>
  <si>
    <t>Ophiuroidea</t>
  </si>
  <si>
    <t>Euryophiurida</t>
  </si>
  <si>
    <t>Ophiurina</t>
  </si>
  <si>
    <t>Asterozoa</t>
  </si>
  <si>
    <t>Orbulina</t>
  </si>
  <si>
    <t>Orbulininae</t>
  </si>
  <si>
    <t>Orbulina universa</t>
  </si>
  <si>
    <t>Orchistoma</t>
  </si>
  <si>
    <t>Orchistomatidae</t>
  </si>
  <si>
    <t>Orchistoma collapsum</t>
  </si>
  <si>
    <t>Ornithocercus</t>
  </si>
  <si>
    <t>Ornithocercus heteroporus</t>
  </si>
  <si>
    <t>Ornithocercus splendidus</t>
  </si>
  <si>
    <t>Ornithocercus steinii</t>
  </si>
  <si>
    <t>Oscillatoria</t>
  </si>
  <si>
    <t>Oscillatoriaceae</t>
  </si>
  <si>
    <t>Ostraciidae</t>
  </si>
  <si>
    <t>Tetraodontiformes</t>
  </si>
  <si>
    <t>Ostracoda</t>
  </si>
  <si>
    <t>Oligostraca</t>
  </si>
  <si>
    <t>Oxycephalidae</t>
  </si>
  <si>
    <t>Platysceloidea</t>
  </si>
  <si>
    <t>Oxycephalus</t>
  </si>
  <si>
    <t>Oxyphysaceae</t>
  </si>
  <si>
    <t>Oxytoxum</t>
  </si>
  <si>
    <t>Oxytoxum crassum</t>
  </si>
  <si>
    <t>Oxytoxum curvatum</t>
  </si>
  <si>
    <t>Oxytoxum obliquum</t>
  </si>
  <si>
    <t>Oxytoxum punctulatum</t>
  </si>
  <si>
    <t>Oxytoxum sceptrum</t>
  </si>
  <si>
    <t>Oxytoxum scolopax</t>
  </si>
  <si>
    <t>Oxytoxum variabile</t>
  </si>
  <si>
    <t>Palaemonoidea</t>
  </si>
  <si>
    <t>Palaeophalacroma unicinctum</t>
  </si>
  <si>
    <t>Palaeophalacroma</t>
  </si>
  <si>
    <t>Palinuridae</t>
  </si>
  <si>
    <t>Palinurus</t>
  </si>
  <si>
    <t>Palythoa</t>
  </si>
  <si>
    <t>Sphenopidae</t>
  </si>
  <si>
    <t>Pantopoda</t>
  </si>
  <si>
    <t>Pycnogonida</t>
  </si>
  <si>
    <t>Paracaesio</t>
  </si>
  <si>
    <t>Paracalanus</t>
  </si>
  <si>
    <t>Paracalanus quasimodo</t>
  </si>
  <si>
    <t>Paradoliopsis</t>
  </si>
  <si>
    <t>Paradoliopsidae</t>
  </si>
  <si>
    <t>Paraeuchaeta</t>
  </si>
  <si>
    <t>Paraeuchaeta glacialis</t>
  </si>
  <si>
    <t>Paraeuchaeta norvegica</t>
  </si>
  <si>
    <t>Paraheterorhabdus compactus</t>
  </si>
  <si>
    <t>Paraheterorhabdus</t>
  </si>
  <si>
    <t>Paralia</t>
  </si>
  <si>
    <t>Paralids</t>
  </si>
  <si>
    <t>Paraliaceae</t>
  </si>
  <si>
    <t>Paralia sulcata</t>
  </si>
  <si>
    <t>Paralichthyidae</t>
  </si>
  <si>
    <t>Paraphronimidae</t>
  </si>
  <si>
    <t>Vibilioidea</t>
  </si>
  <si>
    <t>Paraplagusia</t>
  </si>
  <si>
    <t>Cynoglossinae</t>
  </si>
  <si>
    <t>Parasagitta</t>
  </si>
  <si>
    <t>Parasagitta elegans</t>
  </si>
  <si>
    <t>Parundella</t>
  </si>
  <si>
    <t>Parvocalanus crassirostris</t>
  </si>
  <si>
    <t>Parvocalanus</t>
  </si>
  <si>
    <t>Pegantha martagon</t>
  </si>
  <si>
    <t>Pegantha</t>
  </si>
  <si>
    <t>Pegea confoederata</t>
  </si>
  <si>
    <t>Pegea</t>
  </si>
  <si>
    <t>Pelagia</t>
  </si>
  <si>
    <t>Pelagiidae</t>
  </si>
  <si>
    <t>Pelagia noctiluca</t>
  </si>
  <si>
    <t>Pelagobia longicirrata</t>
  </si>
  <si>
    <t>Pelagobia</t>
  </si>
  <si>
    <t>Penaeidae</t>
  </si>
  <si>
    <t>Penilia</t>
  </si>
  <si>
    <t>Penilia avirostris</t>
  </si>
  <si>
    <t>Peridiniaceae</t>
  </si>
  <si>
    <t>Peridiniales</t>
  </si>
  <si>
    <t>Peridiniella catenata</t>
  </si>
  <si>
    <t>Peridiniella</t>
  </si>
  <si>
    <t>Phaennidae</t>
  </si>
  <si>
    <t>Phaeocystales</t>
  </si>
  <si>
    <t>Phaeocystis</t>
  </si>
  <si>
    <t>Phaeocystaceae</t>
  </si>
  <si>
    <t>Phaeocystis antarctica</t>
  </si>
  <si>
    <t>Phaeocystis pouchetii</t>
  </si>
  <si>
    <t>Thecofilosea</t>
  </si>
  <si>
    <t>Phalacroma</t>
  </si>
  <si>
    <t>Phalacroma cuneus</t>
  </si>
  <si>
    <t>Phalacroma doryphorum</t>
  </si>
  <si>
    <t>Phalacroma favus</t>
  </si>
  <si>
    <t>Phalacroma rotundatum</t>
  </si>
  <si>
    <t>Phormidium</t>
  </si>
  <si>
    <t>Phoronida</t>
  </si>
  <si>
    <t>Phoronis</t>
  </si>
  <si>
    <t>Phoronidae</t>
  </si>
  <si>
    <t>Phronima</t>
  </si>
  <si>
    <t>Phronimidae</t>
  </si>
  <si>
    <t>Phrosinidae</t>
  </si>
  <si>
    <t>Phtheirichthys lineatus</t>
  </si>
  <si>
    <t>Phtheirichthys</t>
  </si>
  <si>
    <t>Phylliroe</t>
  </si>
  <si>
    <t>Phylliroidae</t>
  </si>
  <si>
    <t>Phylliroe bucephala</t>
  </si>
  <si>
    <t>Cladobranchia</t>
  </si>
  <si>
    <t>Dendronotoidea</t>
  </si>
  <si>
    <t>Physalia</t>
  </si>
  <si>
    <t>Physaliidae</t>
  </si>
  <si>
    <t>Physonectae</t>
  </si>
  <si>
    <t>Physophora hydrostatica</t>
  </si>
  <si>
    <t>Physophora</t>
  </si>
  <si>
    <t>Plagiogrammopsis</t>
  </si>
  <si>
    <t>Plagiotremus rhinorhynchos</t>
  </si>
  <si>
    <t>Plagiotremus</t>
  </si>
  <si>
    <t>Planktoniella</t>
  </si>
  <si>
    <t>Thalassiosiraceae</t>
  </si>
  <si>
    <t>Platyctenida</t>
  </si>
  <si>
    <t>Platyhelminthes</t>
  </si>
  <si>
    <t>Platyophryida</t>
  </si>
  <si>
    <t>Pleurobrachiidae</t>
  </si>
  <si>
    <t>Pleurobranchaea brockii</t>
  </si>
  <si>
    <t>Pleurobranchaea</t>
  </si>
  <si>
    <t>Pleuromamma</t>
  </si>
  <si>
    <t>Pleuromamma xiphias</t>
  </si>
  <si>
    <t>Pleuroncodes</t>
  </si>
  <si>
    <t>Pleurosigma</t>
  </si>
  <si>
    <t>Pneumodermatidae</t>
  </si>
  <si>
    <t>Pocillopora</t>
  </si>
  <si>
    <t>Pocilloporidae</t>
  </si>
  <si>
    <t>Podolampas bipes</t>
  </si>
  <si>
    <t>Podolampas</t>
  </si>
  <si>
    <t>Podolampas palmipes</t>
  </si>
  <si>
    <t>Podolampas spinifera</t>
  </si>
  <si>
    <t>Podon</t>
  </si>
  <si>
    <t>Podon intermedius</t>
  </si>
  <si>
    <t>Podon leuckartii</t>
  </si>
  <si>
    <t>Onychopoda</t>
  </si>
  <si>
    <t>Polydactylus</t>
  </si>
  <si>
    <t>Polynemidae</t>
  </si>
  <si>
    <t>Polydora</t>
  </si>
  <si>
    <t>Spionidae</t>
  </si>
  <si>
    <t>Polykrikaceae</t>
  </si>
  <si>
    <t>Polykrikos</t>
  </si>
  <si>
    <t>Polynoidae</t>
  </si>
  <si>
    <t>Polyphemus</t>
  </si>
  <si>
    <t>Polyphemidae</t>
  </si>
  <si>
    <t>Pomacanthidae</t>
  </si>
  <si>
    <t>Pomacentridae</t>
  </si>
  <si>
    <t>Labroidei</t>
  </si>
  <si>
    <t>Pomatomidae</t>
  </si>
  <si>
    <t>Pontella</t>
  </si>
  <si>
    <t>Pontellina</t>
  </si>
  <si>
    <t>Pontellina plumata</t>
  </si>
  <si>
    <t>Porcellanidae</t>
  </si>
  <si>
    <t>Porifera</t>
  </si>
  <si>
    <t>Porites</t>
  </si>
  <si>
    <t>Poritidae</t>
  </si>
  <si>
    <t>Poroecus</t>
  </si>
  <si>
    <t>Tintinnidae X</t>
  </si>
  <si>
    <t>Porpita</t>
  </si>
  <si>
    <t>Porpitidae</t>
  </si>
  <si>
    <t>Porpita porpita</t>
  </si>
  <si>
    <t>Portunus sayi</t>
  </si>
  <si>
    <t>Portunus</t>
  </si>
  <si>
    <t>Prayidae</t>
  </si>
  <si>
    <t>Priacanthidae</t>
  </si>
  <si>
    <t>Primno</t>
  </si>
  <si>
    <t>Priolepis hipoliti</t>
  </si>
  <si>
    <t>Priolepis</t>
  </si>
  <si>
    <t>Prionotus</t>
  </si>
  <si>
    <t>Triglidae</t>
  </si>
  <si>
    <t>Pristigenys alta</t>
  </si>
  <si>
    <t>Pristigenys</t>
  </si>
  <si>
    <t>Pristipomoides</t>
  </si>
  <si>
    <t>Proboscia</t>
  </si>
  <si>
    <t>Coscinodiscophytina incertae sedis</t>
  </si>
  <si>
    <t>Proboscidactyla</t>
  </si>
  <si>
    <t>Proboscidactylidae</t>
  </si>
  <si>
    <t>Pronoctiluca</t>
  </si>
  <si>
    <t>Noctiluca lineage</t>
  </si>
  <si>
    <t>Protodiniferaceae</t>
  </si>
  <si>
    <t>Pronoctiluca pelagica</t>
  </si>
  <si>
    <t>Pronoidae</t>
  </si>
  <si>
    <t>Prorocentraceae</t>
  </si>
  <si>
    <t>Prorocentrales</t>
  </si>
  <si>
    <t>Prorocentrum balticum</t>
  </si>
  <si>
    <t>Prorocentrum</t>
  </si>
  <si>
    <t>Prorocentrum micans</t>
  </si>
  <si>
    <t>Prorocentrum nux</t>
  </si>
  <si>
    <t>Prorocentrum rostratum</t>
  </si>
  <si>
    <t>Prorocentrum texanum</t>
  </si>
  <si>
    <t>Prorocentrum triestinum</t>
  </si>
  <si>
    <t>Protiaropsis anonyma</t>
  </si>
  <si>
    <t>Protiaropsis</t>
  </si>
  <si>
    <t>Protoceratium</t>
  </si>
  <si>
    <t>Protoceratium areolatum</t>
  </si>
  <si>
    <t>Protoceratium reticulatum</t>
  </si>
  <si>
    <t>Protoceratium 02</t>
  </si>
  <si>
    <t>Protoceratium spinulosum</t>
  </si>
  <si>
    <t>Protocystis</t>
  </si>
  <si>
    <t>Protoperidinium</t>
  </si>
  <si>
    <t>Protoperidinium bipes</t>
  </si>
  <si>
    <t>Protoperidinium brevipes</t>
  </si>
  <si>
    <t>Protoperidinium crassipes</t>
  </si>
  <si>
    <t>Protoperidinium crassipyrum</t>
  </si>
  <si>
    <t>Protoperidinium denticulatum</t>
  </si>
  <si>
    <t>Protoperidinium depressum</t>
  </si>
  <si>
    <t>Protoperidinium(Oceanica)</t>
  </si>
  <si>
    <t>Protoperidinium divergens</t>
  </si>
  <si>
    <t>Protoperidinium granii</t>
  </si>
  <si>
    <t>Protoperidinium incertum</t>
  </si>
  <si>
    <t>Protoperidinium marukawai</t>
  </si>
  <si>
    <t>Protoperidinium pallidum</t>
  </si>
  <si>
    <t>Protoperidinium pellucidum</t>
  </si>
  <si>
    <t>Protoperidinium 02</t>
  </si>
  <si>
    <t>Protoperidinium steinii</t>
  </si>
  <si>
    <t>Protoperidinium subsphaericum</t>
  </si>
  <si>
    <t>Protorhabdonella</t>
  </si>
  <si>
    <t>Rhabdonellidae</t>
  </si>
  <si>
    <t>Prymnesiaceae</t>
  </si>
  <si>
    <t>Prymnesiales</t>
  </si>
  <si>
    <t>Prymnesium neolepis</t>
  </si>
  <si>
    <t>Prymnesium</t>
  </si>
  <si>
    <t>Psenes</t>
  </si>
  <si>
    <t>Psettodes erumei</t>
  </si>
  <si>
    <t>Psettodes</t>
  </si>
  <si>
    <t>Pseudaegina rhodina</t>
  </si>
  <si>
    <t>Pseudaegina</t>
  </si>
  <si>
    <t>Pseudo-nitzschia</t>
  </si>
  <si>
    <t>Pseudo-nitzschia delicatissima</t>
  </si>
  <si>
    <t>Pseudo-nitzschia fraudulenta</t>
  </si>
  <si>
    <t>Pseudo-nitzschia heimii</t>
  </si>
  <si>
    <t>Pseudo-nitzschia seriata</t>
  </si>
  <si>
    <t>Pseudo-nitzschia turgidula</t>
  </si>
  <si>
    <t>Pseudocalanus</t>
  </si>
  <si>
    <t>Pseudodiaptomidae</t>
  </si>
  <si>
    <t>Pseudogramma gregoryi</t>
  </si>
  <si>
    <t>Pseudogramma</t>
  </si>
  <si>
    <t>Pseudorhombus arsius</t>
  </si>
  <si>
    <t>Pseudorhombus</t>
  </si>
  <si>
    <t>Pterocorys</t>
  </si>
  <si>
    <t>Pterocorythidae</t>
  </si>
  <si>
    <t>Pterocorys zancleus</t>
  </si>
  <si>
    <t>Pterois</t>
  </si>
  <si>
    <t>Pteroinae</t>
  </si>
  <si>
    <t>Pterois antennata</t>
  </si>
  <si>
    <t>Tectipleura</t>
  </si>
  <si>
    <t>Pterosagitta</t>
  </si>
  <si>
    <t>Pterosagittidae</t>
  </si>
  <si>
    <t>Pterosagitta draco</t>
  </si>
  <si>
    <t>Pterotracheoidea</t>
  </si>
  <si>
    <t>Littorinimorpha</t>
  </si>
  <si>
    <t>Ptychodiscus noctiluca</t>
  </si>
  <si>
    <t>Ptychodiscus</t>
  </si>
  <si>
    <t>Pycnocraspedum phyllosoma</t>
  </si>
  <si>
    <t>Pycnocraspedum</t>
  </si>
  <si>
    <t>Pyramimonadophyceae</t>
  </si>
  <si>
    <t>Pyramimonas</t>
  </si>
  <si>
    <t>Pyrocystaceae</t>
  </si>
  <si>
    <t>Pyrocystales</t>
  </si>
  <si>
    <t>Pyrocystis</t>
  </si>
  <si>
    <t>Pyrocystis elegans</t>
  </si>
  <si>
    <t>Pyrocystis lunula</t>
  </si>
  <si>
    <t>Pyrophacus</t>
  </si>
  <si>
    <t>Pyrophacaceae</t>
  </si>
  <si>
    <t>Pyrophacus steinii</t>
  </si>
  <si>
    <t>Pyrosoma</t>
  </si>
  <si>
    <t>Pyrosomatida</t>
  </si>
  <si>
    <t>Pyrosomatinae</t>
  </si>
  <si>
    <t>Pyrosoma atlanticum</t>
  </si>
  <si>
    <t>Pyrosomella</t>
  </si>
  <si>
    <t>Rhabditophora</t>
  </si>
  <si>
    <t>Rhabdonella</t>
  </si>
  <si>
    <t>Rhabdonellopsis</t>
  </si>
  <si>
    <t>Rhabdosoma</t>
  </si>
  <si>
    <t>Rhabdosphaeraceae</t>
  </si>
  <si>
    <t>Zygodiscales</t>
  </si>
  <si>
    <t>Syracosphaerales</t>
  </si>
  <si>
    <t>Rhincalanidae</t>
  </si>
  <si>
    <t>Rhincalanus</t>
  </si>
  <si>
    <t>Rhincalanus cornutus</t>
  </si>
  <si>
    <t>Rhincalanus gigas</t>
  </si>
  <si>
    <t>Rhincalanus nasutus</t>
  </si>
  <si>
    <t>Rhizosolenia</t>
  </si>
  <si>
    <t>Rhizosolenia bergonii</t>
  </si>
  <si>
    <t>Rhizostoma pulmo</t>
  </si>
  <si>
    <t>Rhizostoma</t>
  </si>
  <si>
    <t>Rhodomonas</t>
  </si>
  <si>
    <t>Pyrenomonadaceae</t>
  </si>
  <si>
    <t>Rhopalonema</t>
  </si>
  <si>
    <t>Rhopalonema velatum</t>
  </si>
  <si>
    <t>Richelia</t>
  </si>
  <si>
    <t>Rosacea cymbiformis</t>
  </si>
  <si>
    <t>Rosacea</t>
  </si>
  <si>
    <t>Rosalina</t>
  </si>
  <si>
    <t>R clade 2</t>
  </si>
  <si>
    <t>Rosalinidae</t>
  </si>
  <si>
    <t>Rotifera</t>
  </si>
  <si>
    <t>Rudjakovia plicata</t>
  </si>
  <si>
    <t>Rudjakovia</t>
  </si>
  <si>
    <t>Sagitta bipunctata</t>
  </si>
  <si>
    <t>Sagitta</t>
  </si>
  <si>
    <t>Aphragmophora</t>
  </si>
  <si>
    <t>Salpa fusiformis</t>
  </si>
  <si>
    <t>Salpa</t>
  </si>
  <si>
    <t>Salpa maxima</t>
  </si>
  <si>
    <t>Salpidae</t>
  </si>
  <si>
    <t>Sandonidae</t>
  </si>
  <si>
    <t>Sapphirina</t>
  </si>
  <si>
    <t>Sargassum</t>
  </si>
  <si>
    <t>Fucales</t>
  </si>
  <si>
    <t>Sargassaceae</t>
  </si>
  <si>
    <t>Sarsia</t>
  </si>
  <si>
    <t>Scaphocalanus</t>
  </si>
  <si>
    <t>Scolecitrichidae</t>
  </si>
  <si>
    <t>Scaphocalanus brevicornis</t>
  </si>
  <si>
    <t>Scaphocalanus magnus</t>
  </si>
  <si>
    <t>Scapholeberis</t>
  </si>
  <si>
    <t>Scaphopoda</t>
  </si>
  <si>
    <t>Scaridae</t>
  </si>
  <si>
    <t>Scatophagus argus</t>
  </si>
  <si>
    <t>Scatophagus</t>
  </si>
  <si>
    <t>Sciaenidae</t>
  </si>
  <si>
    <t>Scina</t>
  </si>
  <si>
    <t>Scinidae</t>
  </si>
  <si>
    <t>Scinoidea</t>
  </si>
  <si>
    <t>Scolecithricella</t>
  </si>
  <si>
    <t>Scolecithricella minor</t>
  </si>
  <si>
    <t>Scolecithrix</t>
  </si>
  <si>
    <t>Scombridae</t>
  </si>
  <si>
    <t>Scorpaenidae</t>
  </si>
  <si>
    <t>Scorpaenoidei</t>
  </si>
  <si>
    <t>Scyllaridae</t>
  </si>
  <si>
    <t>Scyphosphaera apsteinii</t>
  </si>
  <si>
    <t>Scyphosphaera</t>
  </si>
  <si>
    <t>Selene setapinnis</t>
  </si>
  <si>
    <t>Selene</t>
  </si>
  <si>
    <t>Sepia</t>
  </si>
  <si>
    <t>Sepiidae</t>
  </si>
  <si>
    <t>Sepioteuthis</t>
  </si>
  <si>
    <t>Loliginidae</t>
  </si>
  <si>
    <t>Sergestidae</t>
  </si>
  <si>
    <t>Serranidae</t>
  </si>
  <si>
    <t>Serranus tigrinus</t>
  </si>
  <si>
    <t>Serranus</t>
  </si>
  <si>
    <t>Serratosagitta pacifica</t>
  </si>
  <si>
    <t>Serratosagitta</t>
  </si>
  <si>
    <t>Sertulariidae</t>
  </si>
  <si>
    <t>Sertularioidea</t>
  </si>
  <si>
    <t>Sida</t>
  </si>
  <si>
    <t>Siganidae</t>
  </si>
  <si>
    <t>Acanthuroidei</t>
  </si>
  <si>
    <t>Simocephalus</t>
  </si>
  <si>
    <t>Sinocalanus</t>
  </si>
  <si>
    <t>Siriella armata</t>
  </si>
  <si>
    <t>Siriella</t>
  </si>
  <si>
    <t>Skeletonema</t>
  </si>
  <si>
    <t>Skeletonemaceae</t>
  </si>
  <si>
    <t>Skeletonema costatum</t>
  </si>
  <si>
    <t>Sminthea</t>
  </si>
  <si>
    <t>Soleidae</t>
  </si>
  <si>
    <t>Solenoceridae</t>
  </si>
  <si>
    <t>Solmaris</t>
  </si>
  <si>
    <t>Solmarisidae</t>
  </si>
  <si>
    <t>Solmissus</t>
  </si>
  <si>
    <t>Solmundella</t>
  </si>
  <si>
    <t>Solmundaeginidae</t>
  </si>
  <si>
    <t>Solmundella bitentaculata</t>
  </si>
  <si>
    <t>Spadella</t>
  </si>
  <si>
    <t>Spadellidae</t>
  </si>
  <si>
    <t>Sparidae</t>
  </si>
  <si>
    <t>Spatulodinium</t>
  </si>
  <si>
    <t>Kofoidiniaceae</t>
  </si>
  <si>
    <t>Sphaeronectes</t>
  </si>
  <si>
    <t>Sphaeronectidae</t>
  </si>
  <si>
    <t>Sphyraena</t>
  </si>
  <si>
    <t>Sphyraenidae</t>
  </si>
  <si>
    <t>Sphyraenoidei</t>
  </si>
  <si>
    <t>Spinocalanidae</t>
  </si>
  <si>
    <t>Spinocalanus</t>
  </si>
  <si>
    <t>Spinocalanus longicornis</t>
  </si>
  <si>
    <t>Spinocalanus magnus</t>
  </si>
  <si>
    <t>Canalipalpata</t>
  </si>
  <si>
    <t>Spioniformia</t>
  </si>
  <si>
    <t>Spirodinium</t>
  </si>
  <si>
    <t>Spirodiniidae</t>
  </si>
  <si>
    <t>Spirorbis</t>
  </si>
  <si>
    <t>Serpulidae</t>
  </si>
  <si>
    <t>Spirorbini</t>
  </si>
  <si>
    <t>Spirostomum</t>
  </si>
  <si>
    <t>Spirostomidae</t>
  </si>
  <si>
    <t>Spumellaria</t>
  </si>
  <si>
    <t>Squilla</t>
  </si>
  <si>
    <t>Squillidae</t>
  </si>
  <si>
    <t>Stomatopoda</t>
  </si>
  <si>
    <t>Squilloidea</t>
  </si>
  <si>
    <t>Staurodiscus</t>
  </si>
  <si>
    <t>Laodiceidae</t>
  </si>
  <si>
    <t>Hebellidae</t>
  </si>
  <si>
    <t>Staurodiscus tetrastaurus</t>
  </si>
  <si>
    <t>Stauroneis</t>
  </si>
  <si>
    <t>Stauroneidaceae</t>
  </si>
  <si>
    <t>Steenstrupiella</t>
  </si>
  <si>
    <t>Stegastes</t>
  </si>
  <si>
    <t>Stegocephalus inflatus</t>
  </si>
  <si>
    <t>Stegocephalus</t>
  </si>
  <si>
    <t>Stenopus</t>
  </si>
  <si>
    <t>Stenopodidea</t>
  </si>
  <si>
    <t>Stenopodidae</t>
  </si>
  <si>
    <t>Stenosemella</t>
  </si>
  <si>
    <t>Stenosemellidae</t>
  </si>
  <si>
    <t>Codonellopsidae</t>
  </si>
  <si>
    <t>Stephanolepis hispidus</t>
  </si>
  <si>
    <t>Stephanolepis</t>
  </si>
  <si>
    <t>Stephanopyxis</t>
  </si>
  <si>
    <t>Stephanopyxidaceae</t>
  </si>
  <si>
    <t>Sticholonche</t>
  </si>
  <si>
    <t>Sticholonche lineage</t>
  </si>
  <si>
    <t>Sticholonchida</t>
  </si>
  <si>
    <t>Hoplocarida</t>
  </si>
  <si>
    <t>Stomiiformes</t>
  </si>
  <si>
    <t>Striatella</t>
  </si>
  <si>
    <t>Striatellales</t>
  </si>
  <si>
    <t>Fragilariophycanae</t>
  </si>
  <si>
    <t>Strombidium</t>
  </si>
  <si>
    <t>Strombidiidae</t>
  </si>
  <si>
    <t>Styliola</t>
  </si>
  <si>
    <t>Styliola subula</t>
  </si>
  <si>
    <t>Subeucalanidae</t>
  </si>
  <si>
    <t>Subeucalanus</t>
  </si>
  <si>
    <t>Subeucalanus subcrassus</t>
  </si>
  <si>
    <t>Sulculeolaria</t>
  </si>
  <si>
    <t>Sulculeolariinae</t>
  </si>
  <si>
    <t>Syacium papillosum</t>
  </si>
  <si>
    <t>Syacium</t>
  </si>
  <si>
    <t>Syllidae</t>
  </si>
  <si>
    <t>Symphurus</t>
  </si>
  <si>
    <t>Symphurinae</t>
  </si>
  <si>
    <t>Synedra</t>
  </si>
  <si>
    <t>Synedropsis</t>
  </si>
  <si>
    <t>Synodontidae</t>
  </si>
  <si>
    <t>Aulopiformes</t>
  </si>
  <si>
    <t>Syracosphaera</t>
  </si>
  <si>
    <t>Syracosphaera pulchra</t>
  </si>
  <si>
    <t>Tabellaria</t>
  </si>
  <si>
    <t>Tabellariaceae</t>
  </si>
  <si>
    <t>Tamoya</t>
  </si>
  <si>
    <t>Tamoyidae</t>
  </si>
  <si>
    <t>Tanaidacea</t>
  </si>
  <si>
    <t>Temora</t>
  </si>
  <si>
    <t>Temora discaudata</t>
  </si>
  <si>
    <t>Temora longicornis</t>
  </si>
  <si>
    <t>Temora stylifera</t>
  </si>
  <si>
    <t>Temora turbinata</t>
  </si>
  <si>
    <t>Temorites brevis</t>
  </si>
  <si>
    <t>Temorites</t>
  </si>
  <si>
    <t>Temoropia</t>
  </si>
  <si>
    <t>Fosshageniidae</t>
  </si>
  <si>
    <t>Terebellida</t>
  </si>
  <si>
    <t>Terebellidae</t>
  </si>
  <si>
    <t>Terebelliformia</t>
  </si>
  <si>
    <t>Tetraodontidae</t>
  </si>
  <si>
    <t>Tetrarogidae</t>
  </si>
  <si>
    <t>Thalassionema</t>
  </si>
  <si>
    <t>Thalassionema bacillare</t>
  </si>
  <si>
    <t>Thalassionematales</t>
  </si>
  <si>
    <t>Thalassiosira</t>
  </si>
  <si>
    <t>Thalassiosira bioculata</t>
  </si>
  <si>
    <t>Thalassiosira decipiens</t>
  </si>
  <si>
    <t>Thalassiosira gracilis var. gracilis</t>
  </si>
  <si>
    <t>Thalassiosira gracilis</t>
  </si>
  <si>
    <t>Thalassiosira gravida</t>
  </si>
  <si>
    <t>Thalassiosira hyalina</t>
  </si>
  <si>
    <t>Thalassiosira nordenskioeldii</t>
  </si>
  <si>
    <t>Thalassiothrix</t>
  </si>
  <si>
    <t>Thalassoma bifasciatum</t>
  </si>
  <si>
    <t>Thalassoma</t>
  </si>
  <si>
    <t>Thalia</t>
  </si>
  <si>
    <t>Thalia democratica</t>
  </si>
  <si>
    <t>Thecocodium quadratum</t>
  </si>
  <si>
    <t>Thecocodium</t>
  </si>
  <si>
    <t>Themisto</t>
  </si>
  <si>
    <t>Themisto abyssorum</t>
  </si>
  <si>
    <t>Themisto libellula</t>
  </si>
  <si>
    <t>Theoperidae</t>
  </si>
  <si>
    <t>Nassellaria</t>
  </si>
  <si>
    <t>Thliptodon</t>
  </si>
  <si>
    <t>Thysanoessa</t>
  </si>
  <si>
    <t>Thysanoessa longicaudata</t>
  </si>
  <si>
    <t>Thysanostoma</t>
  </si>
  <si>
    <t>Thysanostomatidae</t>
  </si>
  <si>
    <t>Leptobrachidae</t>
  </si>
  <si>
    <t>Thysanostoma thysanura</t>
  </si>
  <si>
    <t>Thysanoteuthis rhombus</t>
  </si>
  <si>
    <t>Thysanoteuthis</t>
  </si>
  <si>
    <t>Tiarina fusus</t>
  </si>
  <si>
    <t>Tiarina</t>
  </si>
  <si>
    <t>Tintinnidium</t>
  </si>
  <si>
    <t>Tintinnopsis</t>
  </si>
  <si>
    <t>Tintinnopsis campanula</t>
  </si>
  <si>
    <t>Tintinnopsis radix</t>
  </si>
  <si>
    <t>Tomopteridae</t>
  </si>
  <si>
    <t>Phyllodocida incertae sedis</t>
  </si>
  <si>
    <t>Tomopteris</t>
  </si>
  <si>
    <t>Tontoniidae</t>
  </si>
  <si>
    <t>Oligotrichida</t>
  </si>
  <si>
    <t>Torodinium</t>
  </si>
  <si>
    <t>Torodinium robustum</t>
  </si>
  <si>
    <t>Tortanus</t>
  </si>
  <si>
    <t>Tortanidae</t>
  </si>
  <si>
    <t>Trachycaris</t>
  </si>
  <si>
    <t>Trachyrhamphus bicoarctatus</t>
  </si>
  <si>
    <t>Trachyrhamphus</t>
  </si>
  <si>
    <t>Tremoctopus</t>
  </si>
  <si>
    <t>Tremoctopodidae</t>
  </si>
  <si>
    <t>Tremoctopus violaceus</t>
  </si>
  <si>
    <t>Triceratium</t>
  </si>
  <si>
    <t>Trichocerca</t>
  </si>
  <si>
    <t>Trichocercidae</t>
  </si>
  <si>
    <t>Trichodesmium</t>
  </si>
  <si>
    <t>Phormidioideae</t>
  </si>
  <si>
    <t>Trichopsetta ventralis</t>
  </si>
  <si>
    <t>Trichopsetta</t>
  </si>
  <si>
    <t>Trichoptera</t>
  </si>
  <si>
    <t>Trigonium</t>
  </si>
  <si>
    <t>Biddulphiaceae</t>
  </si>
  <si>
    <t>Tripos arcticus</t>
  </si>
  <si>
    <t>Tripos</t>
  </si>
  <si>
    <t>Tripos arietinus</t>
  </si>
  <si>
    <t>Tripos azoricus</t>
  </si>
  <si>
    <t>Tripos brevis</t>
  </si>
  <si>
    <t>Tripos carriensis</t>
  </si>
  <si>
    <t>Tripos declinatus</t>
  </si>
  <si>
    <t>Tripos digitatus</t>
  </si>
  <si>
    <t>Tripos divaricatus</t>
  </si>
  <si>
    <t>Tripos furca</t>
  </si>
  <si>
    <t>Tripos fusus</t>
  </si>
  <si>
    <t>Tripos hexacanthus</t>
  </si>
  <si>
    <t>Tripos lineatus</t>
  </si>
  <si>
    <t>Tripos massiliensis</t>
  </si>
  <si>
    <t>Tripos minutus</t>
  </si>
  <si>
    <t>Tripos muelleri</t>
  </si>
  <si>
    <t>Tripos pentagonus</t>
  </si>
  <si>
    <t>Tripos praelongus</t>
  </si>
  <si>
    <t>Tripos teres</t>
  </si>
  <si>
    <t>Tripos trichoceros</t>
  </si>
  <si>
    <t>Triposolenia</t>
  </si>
  <si>
    <t>Trochochaeta</t>
  </si>
  <si>
    <t>Trochochaetidae</t>
  </si>
  <si>
    <t>Tuber</t>
  </si>
  <si>
    <t>Pezizomycetes</t>
  </si>
  <si>
    <t>Foraminifera incertae sedis</t>
  </si>
  <si>
    <t>Tubifex</t>
  </si>
  <si>
    <t>Haplotaxida</t>
  </si>
  <si>
    <t>Tubificinae</t>
  </si>
  <si>
    <t>Turritopsis</t>
  </si>
  <si>
    <t>Oceaniidae</t>
  </si>
  <si>
    <t>Tuscaroridae</t>
  </si>
  <si>
    <t>Typhloscolex</t>
  </si>
  <si>
    <t>Typhloscolecidae</t>
  </si>
  <si>
    <t>Umbilicosphaera sibogae</t>
  </si>
  <si>
    <t>Umbilicosphaera</t>
  </si>
  <si>
    <t>Undella</t>
  </si>
  <si>
    <t>Undellidae</t>
  </si>
  <si>
    <t>Undinula vulgaris</t>
  </si>
  <si>
    <t>Undinula</t>
  </si>
  <si>
    <t>Uranoscopidae</t>
  </si>
  <si>
    <t>Trachinoidei</t>
  </si>
  <si>
    <t>Uraspis</t>
  </si>
  <si>
    <t>Vaunthompsonia</t>
  </si>
  <si>
    <t>Vaunthompsoniinae</t>
  </si>
  <si>
    <t>Velella</t>
  </si>
  <si>
    <t>Velella velella</t>
  </si>
  <si>
    <t>Vettoria</t>
  </si>
  <si>
    <t>Vorticella</t>
  </si>
  <si>
    <t>Vorticellidae</t>
  </si>
  <si>
    <t>Walvisteuthis jeremiahi</t>
  </si>
  <si>
    <t>Walvisteuthis</t>
  </si>
  <si>
    <t>Warnowia</t>
  </si>
  <si>
    <t>Warnowiaceae</t>
  </si>
  <si>
    <t>Wunderpus photogenicus</t>
  </si>
  <si>
    <t>Wunderpus</t>
  </si>
  <si>
    <t>Wuvula ochracea</t>
  </si>
  <si>
    <t>Wuvula</t>
  </si>
  <si>
    <t>Xanthichthys ringens</t>
  </si>
  <si>
    <t>Xanthichthys</t>
  </si>
  <si>
    <t>Xiphasia setifer</t>
  </si>
  <si>
    <t>Xiphasia</t>
  </si>
  <si>
    <t>Xiphias gladius</t>
  </si>
  <si>
    <t>Xiphias</t>
  </si>
  <si>
    <t>Xyrichtys novacula</t>
  </si>
  <si>
    <t>Xyrichtys</t>
  </si>
  <si>
    <t>Xystonellopsis</t>
  </si>
  <si>
    <t>Xystonellopsis dicymatica</t>
  </si>
  <si>
    <t>Xystonellopsis paradoxa</t>
  </si>
  <si>
    <t>Zancleopsis</t>
  </si>
  <si>
    <t>Zancleopsidae</t>
  </si>
  <si>
    <t>Zanclus cornutus</t>
  </si>
  <si>
    <t>Zanclus</t>
  </si>
  <si>
    <t>Zoantharia</t>
  </si>
  <si>
    <t>Zoothamniidae</t>
  </si>
  <si>
    <t>Peritrichia</t>
  </si>
  <si>
    <t>Sessilida</t>
  </si>
  <si>
    <t>Zoothamnium pelagicum</t>
  </si>
  <si>
    <t>Zoothamnium</t>
  </si>
  <si>
    <t>x</t>
  </si>
  <si>
    <t>Laëtitia</t>
  </si>
  <si>
    <t>Amphorides</t>
  </si>
  <si>
    <t>Asteroidea</t>
  </si>
  <si>
    <t>Chaetocerotaceae</t>
  </si>
  <si>
    <t>Chaetocerotales</t>
  </si>
  <si>
    <t>Bivalvia</t>
  </si>
  <si>
    <t>Mytiloida</t>
  </si>
  <si>
    <t>Laëtitia. LS: 	living&gt;Eukaryota&gt;Opisthokonta&gt;Holozoa&gt;Metazoa&gt;Cnidaria&gt;Hydrozoa&gt;Cnidaria</t>
  </si>
  <si>
    <t>Codonellopsis morchella</t>
  </si>
  <si>
    <t>Gracilicutes</t>
  </si>
  <si>
    <t>Proteobacteria</t>
  </si>
  <si>
    <t>Cylindrotheca closterium</t>
  </si>
  <si>
    <t>Dinophysis caudata</t>
  </si>
  <si>
    <t>Dinophysis 04</t>
  </si>
  <si>
    <t>Dinophysis hastata</t>
  </si>
  <si>
    <t xml:space="preserve">Laëtitia : ce sont les mêmes : arbre ligne 26 = arbre ligne 27 !!! l'arbre est presque bon mais il y a "Dinophysaceae Oxyphysaceae" alors que ça doit être juste "Dinophysaceae" </t>
  </si>
  <si>
    <t>Enteropneusta</t>
  </si>
  <si>
    <t>Hemichordata XX</t>
  </si>
  <si>
    <t>Gonyaulax fragilis</t>
  </si>
  <si>
    <t>Noctiluca</t>
  </si>
  <si>
    <t>Noctilucaceae</t>
  </si>
  <si>
    <t>Noctiluca scintillans</t>
  </si>
  <si>
    <t>Ornithocercus magnificus</t>
  </si>
  <si>
    <t>Ornithocercus 02</t>
  </si>
  <si>
    <t>Ornithocercus quadratus</t>
  </si>
  <si>
    <t>Ornithocercus 01</t>
  </si>
  <si>
    <t>Phalacroma rapa</t>
  </si>
  <si>
    <t>Phalacroma 03</t>
  </si>
  <si>
    <t>Laëtitia : OK -&gt; les deux mêmes !</t>
  </si>
  <si>
    <t>Polarella glacialis</t>
  </si>
  <si>
    <t>Polarella</t>
  </si>
  <si>
    <t>Polarella 01</t>
  </si>
  <si>
    <t>Cyrtolophosididae</t>
  </si>
  <si>
    <t>Prorocentrum dentatum</t>
  </si>
  <si>
    <t>Prorocentrum 08</t>
  </si>
  <si>
    <t>Salpingella</t>
  </si>
  <si>
    <t>Scrippsiella</t>
  </si>
  <si>
    <t>Aphragmophora X</t>
  </si>
  <si>
    <t>Symbiodinium</t>
  </si>
  <si>
    <t>Symbiodiniaceae</t>
  </si>
  <si>
    <t>Laëtitia : OK -&gt; les deux mêmes !. Laurent -&gt; Celui là est à la trappe</t>
  </si>
  <si>
    <t>Amanda : 148944</t>
  </si>
  <si>
    <t>Actinocyclidae</t>
  </si>
  <si>
    <t>Appendiculariinae</t>
  </si>
  <si>
    <t>Argonauta</t>
  </si>
  <si>
    <t>Argonautidae</t>
  </si>
  <si>
    <t>Amanda : 137676</t>
  </si>
  <si>
    <t>Diphyes</t>
  </si>
  <si>
    <t>Amanda : 135362</t>
  </si>
  <si>
    <t>Dinophyceae incertae sedis</t>
  </si>
  <si>
    <t>Ephemera</t>
  </si>
  <si>
    <t>Ephemeridae</t>
  </si>
  <si>
    <t>Amanda : 235815</t>
  </si>
  <si>
    <t>Plagiotropidaceae</t>
  </si>
  <si>
    <t>Discoba</t>
  </si>
  <si>
    <t>Amanda : Euglenozoa est à la fois un infrakingdom (582161) et à la fois un phylum (536202) dans la même lignée...</t>
  </si>
  <si>
    <t>Eozoa</t>
  </si>
  <si>
    <t>On garde le 536202</t>
  </si>
  <si>
    <t>Favella</t>
  </si>
  <si>
    <t>Ptychocylididae</t>
  </si>
  <si>
    <t>Amanda : 172431</t>
  </si>
  <si>
    <t>Hemicytheridae</t>
  </si>
  <si>
    <t>Amanda : 125601</t>
  </si>
  <si>
    <t>Hypotrichia</t>
  </si>
  <si>
    <t>Capsalidae</t>
  </si>
  <si>
    <t xml:space="preserve">Amanda : 149045 </t>
  </si>
  <si>
    <t>Ophiothrix</t>
  </si>
  <si>
    <t>Ophiotrichidae</t>
  </si>
  <si>
    <t>Ochrophyta incertae sedis</t>
  </si>
  <si>
    <t>Amanda : 137233</t>
  </si>
  <si>
    <t>Tripos macroceros</t>
  </si>
  <si>
    <t>Amanda : cas 3b. ID 841260 avec le + d'enfants</t>
  </si>
  <si>
    <t>On garde le 841260</t>
  </si>
  <si>
    <t>Ctenophora</t>
  </si>
  <si>
    <t>Amanda : 163921</t>
  </si>
  <si>
    <t>status</t>
  </si>
  <si>
    <t>unacceptreason</t>
  </si>
  <si>
    <t>valid_aphia_id</t>
  </si>
  <si>
    <t>valid_aphia_name</t>
  </si>
  <si>
    <t>Actinocyclus curvatulus</t>
  </si>
  <si>
    <t>uncertain</t>
  </si>
  <si>
    <t>unassessed</t>
  </si>
  <si>
    <t>Actinocyclus exiguus</t>
  </si>
  <si>
    <t>Asteromphalus darwinii</t>
  </si>
  <si>
    <t>Asteromphalus elegans</t>
  </si>
  <si>
    <t>Azpeitia barronii</t>
  </si>
  <si>
    <t>Bacteriastrum biconicum</t>
  </si>
  <si>
    <t>Bacteriastrum furcatum</t>
  </si>
  <si>
    <t>Bacteriastrum mediterraneum</t>
  </si>
  <si>
    <t>Bacteriastrum parallelum</t>
  </si>
  <si>
    <t>Chaetoceros bulbosum</t>
  </si>
  <si>
    <t>Chaetoceros contortus</t>
  </si>
  <si>
    <t>Chaetoceros costatus</t>
  </si>
  <si>
    <t>Chaetoceros furcellatus</t>
  </si>
  <si>
    <t>Chaetoceros hendeyi</t>
  </si>
  <si>
    <t>Chaetoceros messanense</t>
  </si>
  <si>
    <t>Chaetoceros neogracile</t>
  </si>
  <si>
    <t>Chaetoceros radicans</t>
  </si>
  <si>
    <t>Corethron hystrix</t>
  </si>
  <si>
    <t>Crocosphaera</t>
  </si>
  <si>
    <t>Cyanobacteriaceae</t>
  </si>
  <si>
    <t>nomen dubium</t>
  </si>
  <si>
    <t>Ctenaria</t>
  </si>
  <si>
    <t>Capitata incertae sedis</t>
  </si>
  <si>
    <t>Zancleidae</t>
  </si>
  <si>
    <t>taxon inquirendum</t>
  </si>
  <si>
    <t>Dactyliosolen antarcticus</t>
  </si>
  <si>
    <t>Ditylum brightwellii</t>
  </si>
  <si>
    <t>Eucampia groenlandica</t>
  </si>
  <si>
    <t>Eucampia zodiacus</t>
  </si>
  <si>
    <t>Fragilariopsis cylindrus</t>
  </si>
  <si>
    <t>Guinardia striata</t>
  </si>
  <si>
    <t>Gymnosoma</t>
  </si>
  <si>
    <t>Sabellinae</t>
  </si>
  <si>
    <t>junior homonym</t>
  </si>
  <si>
    <t>Hemiaulus hauckii</t>
  </si>
  <si>
    <t>Hemiaulus indicus</t>
  </si>
  <si>
    <t>Hemiaulus sinensis</t>
  </si>
  <si>
    <t>alternate representation</t>
  </si>
  <si>
    <t>Lauderia annulata</t>
  </si>
  <si>
    <t>Leptocylindrus minimus</t>
  </si>
  <si>
    <t>Nanoneis hasleae</t>
  </si>
  <si>
    <t>Navicula pelagica</t>
  </si>
  <si>
    <t>Nitzschia bicapitata</t>
  </si>
  <si>
    <t>Nitzschia frigida</t>
  </si>
  <si>
    <t>Odontella mobiliensis</t>
  </si>
  <si>
    <t>Pentapharsodinium</t>
  </si>
  <si>
    <t>Porosira glacialis</t>
  </si>
  <si>
    <t>Porosira</t>
  </si>
  <si>
    <t>Proboscia eumorpha</t>
  </si>
  <si>
    <t>Pseudosolenia calcar-avis</t>
  </si>
  <si>
    <t>Pseudosolenia</t>
  </si>
  <si>
    <t>Rhizosolenia chunii</t>
  </si>
  <si>
    <t>Rhizosolenia fallax</t>
  </si>
  <si>
    <t>Skeletonema pseudocostatum</t>
  </si>
  <si>
    <t>Skeletonema tropicum</t>
  </si>
  <si>
    <t>Thalassiosira antarctica var. borealis</t>
  </si>
  <si>
    <t>Thalassiosira antarctica</t>
  </si>
  <si>
    <t>Thalassiosira eccentrica</t>
  </si>
  <si>
    <t>Thalassiosira lundiana</t>
  </si>
  <si>
    <t>Thalassiosira oceanica</t>
  </si>
  <si>
    <t>Thalassiosira rotula</t>
  </si>
  <si>
    <t>Thalassiosira subtilis</t>
  </si>
  <si>
    <t>Thalassiosira tealata</t>
  </si>
  <si>
    <t>Thalassiosira tenera</t>
  </si>
  <si>
    <t>Thalassiosira tubifera</t>
  </si>
  <si>
    <t>Proboscia alata</t>
  </si>
  <si>
    <t>Chaetoceros aequatorialis</t>
  </si>
  <si>
    <t>Amanda : celui où il y a le plus d'enfants sur Worms : 961740</t>
  </si>
  <si>
    <t>Chaetoceros debilis</t>
  </si>
  <si>
    <t xml:space="preserve">Amanda : je vois pas le bug, il est accepté chez worms pourtant </t>
  </si>
  <si>
    <t>Amanda : final alpha id = 149219</t>
  </si>
  <si>
    <t>Chaetoceros protuberans</t>
  </si>
  <si>
    <t>Amanda : 163055</t>
  </si>
  <si>
    <t>Corethron criophilum</t>
  </si>
  <si>
    <t>Amanda : celui où il y a le plus d'enfants sur Worms : 957580</t>
  </si>
  <si>
    <t>Coscinodiscus centralis</t>
  </si>
  <si>
    <t>Amanda : celui où il y a le plus d'enfants sur Worms</t>
  </si>
  <si>
    <t>Coscinodiscus radiatus</t>
  </si>
  <si>
    <t>Amanda : celui où il y a le plus d'enfants sur Worms : 149158</t>
  </si>
  <si>
    <t>Leptocylindrus danicus</t>
  </si>
  <si>
    <t>Thalassiosira delicatula</t>
  </si>
  <si>
    <t>Amanda : + récent</t>
  </si>
  <si>
    <t>Acantharea</t>
  </si>
  <si>
    <t>Radiolaria</t>
  </si>
  <si>
    <t>unaccepted</t>
  </si>
  <si>
    <t>Acartia bifilosa</t>
  </si>
  <si>
    <t>Acartia (Acanthacartia) bifilosa</t>
  </si>
  <si>
    <t>Acartia clausii</t>
  </si>
  <si>
    <t>Spelling variation</t>
  </si>
  <si>
    <t>Acartia (Acartiura) clausi</t>
  </si>
  <si>
    <t>Acartia danae</t>
  </si>
  <si>
    <t>Acartia (Acartia) danae</t>
  </si>
  <si>
    <t>Acartia hongi</t>
  </si>
  <si>
    <t>Acartia (Acartiura) hongi</t>
  </si>
  <si>
    <t>Acartia longiremis</t>
  </si>
  <si>
    <t>Acartia (Acartiura) longiremis</t>
  </si>
  <si>
    <t>Acartia tonsa</t>
  </si>
  <si>
    <t>Acartia (Acanthacartia) tonsa</t>
  </si>
  <si>
    <t>Coscinodiscus curvatulus var. curvatulus</t>
  </si>
  <si>
    <t>Actinocyclus normanii f. subsalsa</t>
  </si>
  <si>
    <t>Actinocyclus normanii</t>
  </si>
  <si>
    <t>Coscinodiscus subsalsus</t>
  </si>
  <si>
    <t>Actinocyclus octonarius</t>
  </si>
  <si>
    <t>synonym</t>
  </si>
  <si>
    <t>Actinocyclus octonarius var. octonarius</t>
  </si>
  <si>
    <t>Actinocyclus octonarius var. tenellus</t>
  </si>
  <si>
    <t>Eupodiscus tenellus</t>
  </si>
  <si>
    <t>Aequorea aequorea</t>
  </si>
  <si>
    <t>invalid name</t>
  </si>
  <si>
    <t>Aequorea forskalea</t>
  </si>
  <si>
    <t>Alciopidae</t>
  </si>
  <si>
    <t>rank downgrade to tribe (separate 'Alciopidae' tracking entry, unrequired for nomenclature)</t>
  </si>
  <si>
    <t>Alciopini</t>
  </si>
  <si>
    <t>Asterionellopsis glacialis</t>
  </si>
  <si>
    <t>Asterionella glacialis</t>
  </si>
  <si>
    <t>Asteromphalus heptactis</t>
  </si>
  <si>
    <t>Spatangidium heptactis</t>
  </si>
  <si>
    <t>Asteromphalus stellatus</t>
  </si>
  <si>
    <t>Asterolampra stellata</t>
  </si>
  <si>
    <t>Azpeitia africana</t>
  </si>
  <si>
    <t>Coscinodiscus africanus var. africanus</t>
  </si>
  <si>
    <t>Azpeitia neocrenulata</t>
  </si>
  <si>
    <t>Coscinodiscus neocrenulatus var. neocrenulatus</t>
  </si>
  <si>
    <t>Azpeitia nodulifera</t>
  </si>
  <si>
    <t>Coscinodiscus nodulifer</t>
  </si>
  <si>
    <t>Bacillariophyta</t>
  </si>
  <si>
    <t>Heterokonta</t>
  </si>
  <si>
    <t>Banquisia belgicae</t>
  </si>
  <si>
    <t>Banquisia</t>
  </si>
  <si>
    <t>Amphiprora belgicae var. belgicae</t>
  </si>
  <si>
    <t>Calanus finmarchicus</t>
  </si>
  <si>
    <t>Calanus finmarchicus finmarchicus</t>
  </si>
  <si>
    <t>Calyptrosphaera sphaeroidea</t>
  </si>
  <si>
    <t>Calyptrosphaera</t>
  </si>
  <si>
    <t>Holococcolithophora sphaeroidea</t>
  </si>
  <si>
    <t>Cerataulina pelagica</t>
  </si>
  <si>
    <t>Cerataulina bergonii</t>
  </si>
  <si>
    <t>Chaetoceros diadema</t>
  </si>
  <si>
    <t>Syndendrium diadema</t>
  </si>
  <si>
    <t>Creseis clava</t>
  </si>
  <si>
    <t>Cymbulia peroni</t>
  </si>
  <si>
    <t>Cymbulia</t>
  </si>
  <si>
    <t>misspelling</t>
  </si>
  <si>
    <t>Cymbulia peronii</t>
  </si>
  <si>
    <t>Cyttarocylis cassis</t>
  </si>
  <si>
    <t>junior synonym</t>
  </si>
  <si>
    <t>Cyttarocylis ampulla f. cassis</t>
  </si>
  <si>
    <t>Dactyliosolen blavyanus</t>
  </si>
  <si>
    <t>Guinardia blavyana var. blavyana</t>
  </si>
  <si>
    <t>Dactyliosolen fragilissimus</t>
  </si>
  <si>
    <t>Rhizosolenia fragilissima f. fragilissima</t>
  </si>
  <si>
    <t>Detonula pumila</t>
  </si>
  <si>
    <t>Detonula</t>
  </si>
  <si>
    <t>Lauderia pumila</t>
  </si>
  <si>
    <t>Diacria quadridentata</t>
  </si>
  <si>
    <t>Telodiacria quadridentata</t>
  </si>
  <si>
    <t>Dictyocha speculum</t>
  </si>
  <si>
    <t>Octactis speculum</t>
  </si>
  <si>
    <t>Dipurena</t>
  </si>
  <si>
    <t>Slabberia</t>
  </si>
  <si>
    <t>Dissodinium</t>
  </si>
  <si>
    <t>Chytriodinium lineage</t>
  </si>
  <si>
    <t>Eucampia cornuta</t>
  </si>
  <si>
    <t>Neomoelleria cornuta</t>
  </si>
  <si>
    <t>Euglenophycidae</t>
  </si>
  <si>
    <t>Eurytemora affinis</t>
  </si>
  <si>
    <t>Eurytemora affinis affinis</t>
  </si>
  <si>
    <t>Fragilariopsis doliolus</t>
  </si>
  <si>
    <t>Synedra doliolus</t>
  </si>
  <si>
    <t>Fragilariopsis kerguelensis</t>
  </si>
  <si>
    <t>Terebraria kerguelensis</t>
  </si>
  <si>
    <t>Goniodoma polyedricum</t>
  </si>
  <si>
    <t>Goniodoma</t>
  </si>
  <si>
    <t>Triadinium polyedricum</t>
  </si>
  <si>
    <t>Guinardia cylindrus</t>
  </si>
  <si>
    <t>Rhizosolenia cylindrus</t>
  </si>
  <si>
    <t>Guinardia delicatula</t>
  </si>
  <si>
    <t>Rhizosolenia delicatula</t>
  </si>
  <si>
    <t>Guinardia flaccida</t>
  </si>
  <si>
    <t>Rhizosolenia flaccida</t>
  </si>
  <si>
    <t>Eucampia striata</t>
  </si>
  <si>
    <t>Gyrosigma fasciola</t>
  </si>
  <si>
    <t>Ceratoneis fasciola</t>
  </si>
  <si>
    <t>Heteropoda</t>
  </si>
  <si>
    <t>Araneae</t>
  </si>
  <si>
    <t>Not available as a family-group name (not based on a genus)</t>
  </si>
  <si>
    <t>Hyalolithus neolepis</t>
  </si>
  <si>
    <t>Hyalolithus</t>
  </si>
  <si>
    <t>Jaera albifrons</t>
  </si>
  <si>
    <t>Jaera</t>
  </si>
  <si>
    <t>Jaera (Jaera) albifrons</t>
  </si>
  <si>
    <t>Lepeophtheirus salmonis</t>
  </si>
  <si>
    <t>Lepeophtheirus</t>
  </si>
  <si>
    <t>Lepeophtheirus salmonis salmonis</t>
  </si>
  <si>
    <t>Leptocylindrus mediterraneus</t>
  </si>
  <si>
    <t>Lauderia mediterranea</t>
  </si>
  <si>
    <t>Leptotheca</t>
  </si>
  <si>
    <t>Myxosporea</t>
  </si>
  <si>
    <t>Ceratomyxidae</t>
  </si>
  <si>
    <t>Ceratomyxa</t>
  </si>
  <si>
    <t>Limacina inflata</t>
  </si>
  <si>
    <t>Heliconoides inflatus</t>
  </si>
  <si>
    <t>Lioloma delicatulum</t>
  </si>
  <si>
    <t>Thalassiothrix delicatula</t>
  </si>
  <si>
    <t>Lioloma pacificum</t>
  </si>
  <si>
    <t>Thalassiothrix mediterranea var. pacifica</t>
  </si>
  <si>
    <t>Metridia lucens</t>
  </si>
  <si>
    <t>Metridia lucens lucens</t>
  </si>
  <si>
    <t>Myrionecta rubra</t>
  </si>
  <si>
    <t>Myrionecta</t>
  </si>
  <si>
    <t>Neoceratium arietinum</t>
  </si>
  <si>
    <t>Neoceratium candelabrum</t>
  </si>
  <si>
    <t>Tripos candelabrum</t>
  </si>
  <si>
    <t>Neoceratium contortum</t>
  </si>
  <si>
    <t>Tripos contortus</t>
  </si>
  <si>
    <t>Neoceratium contrarium</t>
  </si>
  <si>
    <t>Tripos contrarius</t>
  </si>
  <si>
    <t>Neoceratium declinatum</t>
  </si>
  <si>
    <t>Neoceratium digitatum</t>
  </si>
  <si>
    <t>Neoceratium euarcuatum</t>
  </si>
  <si>
    <t>Tripos euarcuatus</t>
  </si>
  <si>
    <t>Neoceratium geniculatum</t>
  </si>
  <si>
    <t>Tripos geniculatus</t>
  </si>
  <si>
    <t>Neoceratium gravidum</t>
  </si>
  <si>
    <t>Tripos gravidus</t>
  </si>
  <si>
    <t>Neoceratium horridum</t>
  </si>
  <si>
    <t>Tripos horridus</t>
  </si>
  <si>
    <t>Neoceratium incisum</t>
  </si>
  <si>
    <t>Tripos incisus</t>
  </si>
  <si>
    <t>Neoceratium limulus</t>
  </si>
  <si>
    <t>Tripos limulus</t>
  </si>
  <si>
    <t>Neoceratium lineatum</t>
  </si>
  <si>
    <t>Neoceratium longipes</t>
  </si>
  <si>
    <t>Tripos longipes</t>
  </si>
  <si>
    <t>Neoceratium macroceros</t>
  </si>
  <si>
    <t>Neoceratium massiliense</t>
  </si>
  <si>
    <t>Neoceratium pentagonum</t>
  </si>
  <si>
    <t>Neoceratium platycorne</t>
  </si>
  <si>
    <t>Tripos platycornis</t>
  </si>
  <si>
    <t>Neoceratium ranipes</t>
  </si>
  <si>
    <t>Tripos ranipes</t>
  </si>
  <si>
    <t>Neoceratium symmetricum</t>
  </si>
  <si>
    <t>Tripos symmetricus</t>
  </si>
  <si>
    <t>Neoceratium tripos</t>
  </si>
  <si>
    <t>Neodelphineis indica</t>
  </si>
  <si>
    <t>Neodelphineis</t>
  </si>
  <si>
    <t>Synedra indica</t>
  </si>
  <si>
    <t>Oithona brevicornis</t>
  </si>
  <si>
    <t>Oithona brevicornis brevicornis</t>
  </si>
  <si>
    <t>Olindias phosphorica</t>
  </si>
  <si>
    <t>invalid name, misapplication of Oceania phosphorica P ron &amp; Lesueur, 1810</t>
  </si>
  <si>
    <t>Olindias muelleri</t>
  </si>
  <si>
    <t>Oxytoxum milneri</t>
  </si>
  <si>
    <t>Corythodinium milneri</t>
  </si>
  <si>
    <t>Paracalanus parvus</t>
  </si>
  <si>
    <t>Paracalanus parvus parvus</t>
  </si>
  <si>
    <t>Phronia</t>
  </si>
  <si>
    <t>Pilarginae</t>
  </si>
  <si>
    <t>junior homonym of a dipteran genus</t>
  </si>
  <si>
    <t>Pilargis</t>
  </si>
  <si>
    <t>Plagiotropis lepidoptera</t>
  </si>
  <si>
    <t>Plagiotropis</t>
  </si>
  <si>
    <t>Amphiprora lepidoptera f. lepidoptera</t>
  </si>
  <si>
    <t>Planktoniella sol</t>
  </si>
  <si>
    <t>Coscinodiscus sol</t>
  </si>
  <si>
    <t>The poecilostome lineage lies within the order Cyclopoida (Khodami et al., 2017), and most families formerly included in Poecilostomatoida are now included in the suborder Ergasilida (Khodami et al., 2019).</t>
  </si>
  <si>
    <t>Prorocentrum compressum</t>
  </si>
  <si>
    <t>Pyxidicula compressa var. compressa</t>
  </si>
  <si>
    <t>Prorocentrum minimum</t>
  </si>
  <si>
    <t>Prorocentrum cordatum</t>
  </si>
  <si>
    <t>Pyrocystis noctiluca</t>
  </si>
  <si>
    <t>Pyrocystis pseudonoctiluca</t>
  </si>
  <si>
    <t>Roperia tesselata</t>
  </si>
  <si>
    <t>Roperia</t>
  </si>
  <si>
    <t>Eupodiscus tesselatus</t>
  </si>
  <si>
    <t>Rossithidium petersenii</t>
  </si>
  <si>
    <t>Rossithidium</t>
  </si>
  <si>
    <t>Achnanthes petersenii var. petersenii</t>
  </si>
  <si>
    <t>Sagitta elegans</t>
  </si>
  <si>
    <t>Synonym</t>
  </si>
  <si>
    <t>Shionodiscus bioculatus</t>
  </si>
  <si>
    <t>Shionodiscus</t>
  </si>
  <si>
    <t>Coscinodiscus bioculatus var. bioculatus</t>
  </si>
  <si>
    <t>Shionodiscus oestrupii</t>
  </si>
  <si>
    <t>Coscinosira oestrupii</t>
  </si>
  <si>
    <t>Shionodiscus oestrupii var. venrickae</t>
  </si>
  <si>
    <t>Thalassiosira oestrupii var. venrickae</t>
  </si>
  <si>
    <t>Sipunculida</t>
  </si>
  <si>
    <t>Incertae Sedis Sipuncula</t>
  </si>
  <si>
    <t>Sipuncula</t>
  </si>
  <si>
    <t>Spinocalanus longispinus</t>
  </si>
  <si>
    <t>synonym according to Damkaer, 1975</t>
  </si>
  <si>
    <t>Spinocalanus horridus</t>
  </si>
  <si>
    <t>Striatella unipunctata</t>
  </si>
  <si>
    <t>Fragilaria unipunctata</t>
  </si>
  <si>
    <t>Synedropsis hyperborea</t>
  </si>
  <si>
    <t>Synedra hyperborea var. hyperborea</t>
  </si>
  <si>
    <t>Thalassionema frauenfeldii</t>
  </si>
  <si>
    <t>Asterionella frauenfeldii</t>
  </si>
  <si>
    <t>Thalassionema pseudonitzschioides</t>
  </si>
  <si>
    <t>Thalassiothrix pseudonitzschioides</t>
  </si>
  <si>
    <t>Thalassiosira angulata</t>
  </si>
  <si>
    <t>Orthosira angulata</t>
  </si>
  <si>
    <t>Thalassiosira anguste-lineata</t>
  </si>
  <si>
    <t>Coscinodiscus angustelineatus</t>
  </si>
  <si>
    <t>Thalassiosira poroseriata</t>
  </si>
  <si>
    <t>Coscinosira poroseriata</t>
  </si>
  <si>
    <t>Thalassiosira punctigera</t>
  </si>
  <si>
    <t>Ethmodiscus punctiger</t>
  </si>
  <si>
    <t>Thalassiosira weissflogii</t>
  </si>
  <si>
    <t>Eupodiscus weissflogii</t>
  </si>
  <si>
    <t>Tintinnida</t>
  </si>
  <si>
    <t>Dinophysiaceae</t>
  </si>
  <si>
    <t>alternative name, see Silva, 1980</t>
  </si>
  <si>
    <t>Amanda : dinophysaceae (231772)</t>
  </si>
  <si>
    <t>3</t>
  </si>
  <si>
    <t xml:space="preserve">Amanda : traiter les parents nommés 3, 9, 59, etc... </t>
  </si>
  <si>
    <t>Heterocapsa triquetra</t>
  </si>
  <si>
    <t>Kryptoperidinium triquetrum</t>
  </si>
  <si>
    <t>Amanda : Kryptoperidinium triquetrum (1346683)</t>
  </si>
  <si>
    <t>Heterocapsa 01</t>
  </si>
  <si>
    <t xml:space="preserve">Amanda : Créer un groupe morpho 01 enfant de Kryptoperidinium triquetrum </t>
  </si>
  <si>
    <t>Neoceratium concilians</t>
  </si>
  <si>
    <t>Tripos concilians</t>
  </si>
  <si>
    <t>Amanda : Tripos concilians (841198)</t>
  </si>
  <si>
    <t>Neoceratium 03</t>
  </si>
  <si>
    <t xml:space="preserve">Amanda : Créer un groupe morpho 03 enfant de Tripos concilians </t>
  </si>
  <si>
    <t>Neoceratium furca</t>
  </si>
  <si>
    <t>Amanda : Tripos furca (840627)</t>
  </si>
  <si>
    <t xml:space="preserve">Amanda : Créer un groupe morpho 03 enfant de Tripos furca </t>
  </si>
  <si>
    <t>Neoceratium fusus</t>
  </si>
  <si>
    <t>Amanda : Tripos fusus (840626)</t>
  </si>
  <si>
    <t xml:space="preserve">Amanda : Créer un groupe morpho 03 enfant de Tripos fusus </t>
  </si>
  <si>
    <t>Prorocentrum donghaiense</t>
  </si>
  <si>
    <t>Prorocentrum shikokuense</t>
  </si>
  <si>
    <t>Amanda : Prorocentrum donghaiense (232304)</t>
  </si>
  <si>
    <t>Prorocentrum 10</t>
  </si>
  <si>
    <t xml:space="preserve">Amanda : Créer un groupe morpho 10 enfant de Prorocentrum donghaiense </t>
  </si>
  <si>
    <t>Thalassionema nitzschioides</t>
  </si>
  <si>
    <t>Synedra nitzschioides f. nitzschioides</t>
  </si>
  <si>
    <t>Amanda : Thalassionema nitzschioides n'a pas le statut "unaccepted". On peut pas le garder ?</t>
  </si>
  <si>
    <t>Amanda NB : même situation que dans le cas 4c -&gt; ils ont crée un phylo eco id (Thalassionema nitzschioides) enfant d'un morpho (chloroplast) --&gt; non sens</t>
  </si>
  <si>
    <t>final_parent_aphia_id</t>
  </si>
  <si>
    <t>rename_as</t>
  </si>
  <si>
    <t>make_morpho</t>
  </si>
  <si>
    <t>action</t>
  </si>
  <si>
    <t>Acacia</t>
  </si>
  <si>
    <t>Fabales</t>
  </si>
  <si>
    <t>probablement une erreur, proposer de mettre dans Acartia</t>
  </si>
  <si>
    <t>Acantharia III</t>
  </si>
  <si>
    <t>type 3</t>
  </si>
  <si>
    <t>Acantharia IV</t>
  </si>
  <si>
    <t>type 4</t>
  </si>
  <si>
    <t>Actocharina</t>
  </si>
  <si>
    <t>Agalma okeni</t>
  </si>
  <si>
    <t>Amphibelone</t>
  </si>
  <si>
    <t>Amphilitidae F2</t>
  </si>
  <si>
    <t>remonter à Amphilithidae</t>
  </si>
  <si>
    <t>Ancistrocheirus lesueuri</t>
  </si>
  <si>
    <t>Ancistrocheirus</t>
  </si>
  <si>
    <t>Ankistrodesmus falcatus</t>
  </si>
  <si>
    <t>Ankistrodesmus</t>
  </si>
  <si>
    <t>accepted</t>
  </si>
  <si>
    <t>Ankistrodesmus sp.</t>
  </si>
  <si>
    <t>remonter à Ankistrodesmus</t>
  </si>
  <si>
    <t>Anodonta</t>
  </si>
  <si>
    <t>Unionoida</t>
  </si>
  <si>
    <t>Argia</t>
  </si>
  <si>
    <t>comme les bactéries : existe mais pas dans worms</t>
  </si>
  <si>
    <t>Argyroneta aquatica</t>
  </si>
  <si>
    <t>Argyroneta</t>
  </si>
  <si>
    <t>Arthrobacter cryoconiti</t>
  </si>
  <si>
    <t>Arthrobacter</t>
  </si>
  <si>
    <t>Bactérie</t>
  </si>
  <si>
    <t>Asterolamprales temp</t>
  </si>
  <si>
    <t>temp 1</t>
  </si>
  <si>
    <t>Aulatractus</t>
  </si>
  <si>
    <t>le parent Aulosphaeridae existe sur Worms mais pas l'enfant Aulatractus (http://species-identification.org/species.php?species_group=zsao&amp;id=113&amp;menuentry=groepen)
LS: Le parent sera re-mappé sur WoRMS OK. On ne fait rien pour l'enfant</t>
  </si>
  <si>
    <t>Amanda</t>
  </si>
  <si>
    <t>auto 1 temp</t>
  </si>
  <si>
    <t>autotroph</t>
  </si>
  <si>
    <t>auto 2 temp</t>
  </si>
  <si>
    <t>auto 3 temp</t>
  </si>
  <si>
    <t>auto 4 temp</t>
  </si>
  <si>
    <t>auto 5 temp</t>
  </si>
  <si>
    <t>bipinnaria</t>
  </si>
  <si>
    <t>bipinnaria larvae</t>
  </si>
  <si>
    <t>Bosmina longirostris</t>
  </si>
  <si>
    <t>Bougainvillea</t>
  </si>
  <si>
    <t>Caryophyllales</t>
  </si>
  <si>
    <t>c'est une plante terrestre : donc inconnue dans worms</t>
  </si>
  <si>
    <t>brachiolaria</t>
  </si>
  <si>
    <t>brachiolaria larvae</t>
  </si>
  <si>
    <t>bract</t>
  </si>
  <si>
    <t>Bubalus</t>
  </si>
  <si>
    <t>Mammalia</t>
  </si>
  <si>
    <t>genre de buffle... : inconnu dans les espèces aquatiques de worms...</t>
  </si>
  <si>
    <t>Calacarus</t>
  </si>
  <si>
    <t>Acari</t>
  </si>
  <si>
    <t>mite terrestre : donc inconnue dans worms</t>
  </si>
  <si>
    <t>Camptocercus</t>
  </si>
  <si>
    <t>centric 1 temp</t>
  </si>
  <si>
    <t>centric</t>
  </si>
  <si>
    <t>type 1</t>
  </si>
  <si>
    <t>centric 10 temp</t>
  </si>
  <si>
    <t>type 10</t>
  </si>
  <si>
    <t>centric 11 temp</t>
  </si>
  <si>
    <t>type 11</t>
  </si>
  <si>
    <t>centric 12 temp</t>
  </si>
  <si>
    <t>type 12</t>
  </si>
  <si>
    <t>centric 13 temp</t>
  </si>
  <si>
    <t>type 13</t>
  </si>
  <si>
    <t>centric 14 temp</t>
  </si>
  <si>
    <t>type 14</t>
  </si>
  <si>
    <t>centric 2 temp</t>
  </si>
  <si>
    <t>type 2</t>
  </si>
  <si>
    <t>centric 3 temp</t>
  </si>
  <si>
    <t>centric 4 temp</t>
  </si>
  <si>
    <t>centric 5 temp</t>
  </si>
  <si>
    <t>type 5</t>
  </si>
  <si>
    <t>centric 6 temp</t>
  </si>
  <si>
    <t>type 6</t>
  </si>
  <si>
    <t>centric 7 temp</t>
  </si>
  <si>
    <t>type 7</t>
  </si>
  <si>
    <t>centric 8 temp</t>
  </si>
  <si>
    <t>type 8</t>
  </si>
  <si>
    <t>centric 9 temp</t>
  </si>
  <si>
    <t>type 9</t>
  </si>
  <si>
    <t>Cerataulina 2 temp</t>
  </si>
  <si>
    <t>Chaetachme</t>
  </si>
  <si>
    <t>Rosales</t>
  </si>
  <si>
    <t>arbre terrestre : donc inconnue dans worms</t>
  </si>
  <si>
    <t>Chaetoceros 1 temp</t>
  </si>
  <si>
    <t>Chaetoceros affinis f. pseudosymmetricus</t>
  </si>
  <si>
    <t xml:space="preserve">remonter à Chaetoceros affinis </t>
  </si>
  <si>
    <t>Chaetoceros broken</t>
  </si>
  <si>
    <t>broken</t>
  </si>
  <si>
    <t>Chaetoceros chain</t>
  </si>
  <si>
    <t>chain</t>
  </si>
  <si>
    <t>Chaetoceros concavicomis</t>
  </si>
  <si>
    <t>Faute orthographe</t>
  </si>
  <si>
    <t>Chaetoceros inter ciliate</t>
  </si>
  <si>
    <t>ciliate</t>
  </si>
  <si>
    <t>interaction avec ciliés</t>
  </si>
  <si>
    <t>Chaetoceros inter. Calothrix</t>
  </si>
  <si>
    <t>Calothrix</t>
  </si>
  <si>
    <t>interaction avec Calothrix</t>
  </si>
  <si>
    <t>Chaetoceros single</t>
  </si>
  <si>
    <t>single</t>
  </si>
  <si>
    <t>Chaetoceros whigamii</t>
  </si>
  <si>
    <t>erreur d'orthographe</t>
  </si>
  <si>
    <t>Chaoboridae</t>
  </si>
  <si>
    <t>Diptera</t>
  </si>
  <si>
    <t>insecte terrestre (pas worms) mais la larve est aquatique...</t>
  </si>
  <si>
    <t>Chetogena</t>
  </si>
  <si>
    <t xml:space="preserve">insecte terrestre (pas worms) </t>
  </si>
  <si>
    <t>Chlamydomonas sp.</t>
  </si>
  <si>
    <t>Chlamydomonas</t>
  </si>
  <si>
    <t>remonter à Chlamydomonas</t>
  </si>
  <si>
    <t>CIIIstage</t>
  </si>
  <si>
    <t>stage 3</t>
  </si>
  <si>
    <t>créer &gt;copepodid(Morpho)&gt;stage3(Morpho)</t>
  </si>
  <si>
    <t>CIIstage</t>
  </si>
  <si>
    <t>Ciliophora U01</t>
  </si>
  <si>
    <t>Ciliophora X</t>
  </si>
  <si>
    <t>morpho de Ciliophora</t>
  </si>
  <si>
    <t>Ciliophora U02</t>
  </si>
  <si>
    <t>Ciliophora U03</t>
  </si>
  <si>
    <t>Ciliophora U04</t>
  </si>
  <si>
    <t>Ciliophora U05</t>
  </si>
  <si>
    <t>CIstage</t>
  </si>
  <si>
    <t>stage 1</t>
  </si>
  <si>
    <t>créer &gt;copepodid(Morpho)&gt;stage1(Morpho)</t>
  </si>
  <si>
    <t>CIVstage</t>
  </si>
  <si>
    <t>stage 4</t>
  </si>
  <si>
    <t>créer &gt;copepodid(Morpho)&gt;stage4(Morpho)</t>
  </si>
  <si>
    <t>Climacodium inter. Crocosphaera</t>
  </si>
  <si>
    <t>interaction avec Crocosphaera</t>
  </si>
  <si>
    <t>Closterium</t>
  </si>
  <si>
    <t>Zygnematophyceae</t>
  </si>
  <si>
    <t>LS</t>
  </si>
  <si>
    <t>cocco 1 temp</t>
  </si>
  <si>
    <t>enfant de Coccolithales mais les Coccolithales</t>
  </si>
  <si>
    <t>cocco 10 temp</t>
  </si>
  <si>
    <t>type de coccolithophoridés (= Prymnesiophyceae)</t>
  </si>
  <si>
    <t>cocco 11 temp</t>
  </si>
  <si>
    <t>cocco 12 temp</t>
  </si>
  <si>
    <t>cocco 13 temp</t>
  </si>
  <si>
    <t>cocco 14 temp</t>
  </si>
  <si>
    <t>cocco 15 temp</t>
  </si>
  <si>
    <t>type 15</t>
  </si>
  <si>
    <t>cocco 16 temp</t>
  </si>
  <si>
    <t>type 16</t>
  </si>
  <si>
    <t>cocco 17 temp</t>
  </si>
  <si>
    <t>type 17</t>
  </si>
  <si>
    <t>cocco 18 temp</t>
  </si>
  <si>
    <t>type 18</t>
  </si>
  <si>
    <t>cocco 2 temp</t>
  </si>
  <si>
    <t>cocco 3 temp</t>
  </si>
  <si>
    <t>cocco 4 temp</t>
  </si>
  <si>
    <t>cocco 5 temp</t>
  </si>
  <si>
    <t>cocco 6 temp</t>
  </si>
  <si>
    <t>cocco 7 temp</t>
  </si>
  <si>
    <t>cocco 8 temp</t>
  </si>
  <si>
    <t>cocco 9 temp</t>
  </si>
  <si>
    <t>Coccolithes</t>
  </si>
  <si>
    <t>part</t>
  </si>
  <si>
    <t>coccolith</t>
  </si>
  <si>
    <t>coccolithes des coccolithophores</t>
  </si>
  <si>
    <t>Coccolithophores</t>
  </si>
  <si>
    <t>Coelographis</t>
  </si>
  <si>
    <t>Coelographis n'existe pas dans worms le seul genre dispo sous Caelodendridae est Coelodendrum
LS: Du coup on ne fait rien.</t>
  </si>
  <si>
    <t>copepod</t>
  </si>
  <si>
    <t>copepod sp.</t>
  </si>
  <si>
    <t>copepodite</t>
  </si>
  <si>
    <t>Cora</t>
  </si>
  <si>
    <t>Corophium</t>
  </si>
  <si>
    <t>Corophiidae</t>
  </si>
  <si>
    <t>Coscinodiscophytina</t>
  </si>
  <si>
    <t>Crucigenia</t>
  </si>
  <si>
    <t>Scenedesmaceae</t>
  </si>
  <si>
    <t>CVstage</t>
  </si>
  <si>
    <t>stage 5</t>
  </si>
  <si>
    <t>créer &gt;copepodid(Morpho)&gt;stage5(Morpho)</t>
  </si>
  <si>
    <t>cyano bound</t>
  </si>
  <si>
    <t>bound</t>
  </si>
  <si>
    <t>enfant de Cyanobacteria</t>
  </si>
  <si>
    <t>cyano clump</t>
  </si>
  <si>
    <t>clump</t>
  </si>
  <si>
    <t>cyano single</t>
  </si>
  <si>
    <t>Cypria</t>
  </si>
  <si>
    <t>cyst 1</t>
  </si>
  <si>
    <t>cyst</t>
  </si>
  <si>
    <t>living&gt;other&gt;unicellular&gt;cyst</t>
  </si>
  <si>
    <t>cyst 2</t>
  </si>
  <si>
    <t>cyst 3</t>
  </si>
  <si>
    <t>cyst 4</t>
  </si>
  <si>
    <t>cyst 5</t>
  </si>
  <si>
    <t>cyst 6</t>
  </si>
  <si>
    <t>cyst 7</t>
  </si>
  <si>
    <t>dark septate</t>
  </si>
  <si>
    <t>dark</t>
  </si>
  <si>
    <t>dark enfant de septate</t>
  </si>
  <si>
    <t>darksphere</t>
  </si>
  <si>
    <t>othertocheck</t>
  </si>
  <si>
    <t>Decolopoda</t>
  </si>
  <si>
    <t>Deracantha</t>
  </si>
  <si>
    <t>Desmidium</t>
  </si>
  <si>
    <t>Dethiobacter</t>
  </si>
  <si>
    <t>Syntrophomonadaceae</t>
  </si>
  <si>
    <t>Dethiobacter alkaliphilus</t>
  </si>
  <si>
    <t>Diabrotica</t>
  </si>
  <si>
    <t>Dictyosphaerium sp.</t>
  </si>
  <si>
    <t>Dictyosphaerium</t>
  </si>
  <si>
    <t>Difflugia 1</t>
  </si>
  <si>
    <t>Difflugia lineage</t>
  </si>
  <si>
    <t>dinophysis schuettii</t>
  </si>
  <si>
    <t>Diploconus</t>
  </si>
  <si>
    <t>Diplopsalid group</t>
  </si>
  <si>
    <t>synonyme de Diplopsalidaceae qui est lui-même unaccepted</t>
  </si>
  <si>
    <t>Discias</t>
  </si>
  <si>
    <t>Discoba n'existe pas mais son parent Ecavata oui
LS: Rajouté Ecavata dans 1a</t>
  </si>
  <si>
    <t>egg 1 temp</t>
  </si>
  <si>
    <t>Engraulidae temp</t>
  </si>
  <si>
    <t>type d'egg de Engraulidae</t>
  </si>
  <si>
    <t>Sardina temp</t>
  </si>
  <si>
    <t>type d'egg de Sardina</t>
  </si>
  <si>
    <t>egg 2 3 temp</t>
  </si>
  <si>
    <t>stage 2 3</t>
  </si>
  <si>
    <t>egg 4 6 temp</t>
  </si>
  <si>
    <t>stage 4 6</t>
  </si>
  <si>
    <t>egg 7 8 temp</t>
  </si>
  <si>
    <t>stage 7 8</t>
  </si>
  <si>
    <t>egg 9 11 temp</t>
  </si>
  <si>
    <t>stage 9 11</t>
  </si>
  <si>
    <t>egg unkn temp</t>
  </si>
  <si>
    <t>stage unkn</t>
  </si>
  <si>
    <t>endostyle</t>
  </si>
  <si>
    <t>Clupeiformes temp</t>
  </si>
  <si>
    <t>enfant de Engraulidae</t>
  </si>
  <si>
    <t>Eucampia chain</t>
  </si>
  <si>
    <t>morpho d'Eucampia</t>
  </si>
  <si>
    <t>living</t>
  </si>
  <si>
    <t>female</t>
  </si>
  <si>
    <t>female/eggs</t>
  </si>
  <si>
    <t>femelle portant des oeufs</t>
  </si>
  <si>
    <t>Firola</t>
  </si>
  <si>
    <t>Pterotrachea</t>
  </si>
  <si>
    <t>Firola coronata</t>
  </si>
  <si>
    <t>Pterotrachea coronata</t>
  </si>
  <si>
    <t>Flota</t>
  </si>
  <si>
    <t>Flota existe sur Worms (id 324750)</t>
  </si>
  <si>
    <t>Flota sp.</t>
  </si>
  <si>
    <t>Forskalia edwardsi</t>
  </si>
  <si>
    <t>faute d'othographe</t>
  </si>
  <si>
    <t>Fragilariopsis doliolus inter. Tintinnida</t>
  </si>
  <si>
    <t>interaction avec tintinnides</t>
  </si>
  <si>
    <t>Fragillariopsis 2 temp</t>
  </si>
  <si>
    <t>Fragillariopsis 3 temp</t>
  </si>
  <si>
    <t>Frickius variolosus</t>
  </si>
  <si>
    <t>Frickius</t>
  </si>
  <si>
    <t>Fryeella</t>
  </si>
  <si>
    <t>Rhodymeniales</t>
  </si>
  <si>
    <t>fungal</t>
  </si>
  <si>
    <t>Exobasidiomycetes</t>
  </si>
  <si>
    <t>enfant de Exobasidiomycetes</t>
  </si>
  <si>
    <t>Gammaridae</t>
  </si>
  <si>
    <t>Senticaudata</t>
  </si>
  <si>
    <t>Ajouter dans table worms</t>
  </si>
  <si>
    <t>Gammarus</t>
  </si>
  <si>
    <t>Gebiidea</t>
  </si>
  <si>
    <t>Globorotalidae</t>
  </si>
  <si>
    <t>faute orthographe</t>
  </si>
  <si>
    <t>Gnathostoma</t>
  </si>
  <si>
    <t>Gnathostomatoidea</t>
  </si>
  <si>
    <t>pas sûre que c'est ce qui est voulu : Gnathostomatidae</t>
  </si>
  <si>
    <t>je propose une famille sans savoir si c'est ce qu'aurait vraiment voulu la personne</t>
  </si>
  <si>
    <t>Gonocaryum</t>
  </si>
  <si>
    <t>Aquifoliales</t>
  </si>
  <si>
    <t>plante terrestre</t>
  </si>
  <si>
    <t>gonyau 11 temp</t>
  </si>
  <si>
    <t>gonyau 12 temp</t>
  </si>
  <si>
    <t>gonyau 13 temp</t>
  </si>
  <si>
    <t>gonyau 14 temp</t>
  </si>
  <si>
    <t>gonyau 15 temp</t>
  </si>
  <si>
    <t>gonyau 16 temp</t>
  </si>
  <si>
    <t>gonyau 17 temp</t>
  </si>
  <si>
    <t>gonyau 18 temp</t>
  </si>
  <si>
    <t>gonyau 19 temp</t>
  </si>
  <si>
    <t>type 19</t>
  </si>
  <si>
    <t>gonyau 2 temp</t>
  </si>
  <si>
    <t>gonyau 3 temp</t>
  </si>
  <si>
    <t>gonyau 4 temp</t>
  </si>
  <si>
    <t>gonyau 5 temp</t>
  </si>
  <si>
    <t>gonyau 6 temp</t>
  </si>
  <si>
    <t>gonyau 7 temp</t>
  </si>
  <si>
    <t>gonyau 8 temp</t>
  </si>
  <si>
    <t>gonyau 9 temp</t>
  </si>
  <si>
    <t>gymno 1 temp</t>
  </si>
  <si>
    <t>gymno 2 temp</t>
  </si>
  <si>
    <t>gymno 3 temp</t>
  </si>
  <si>
    <t>gymno 4 temp</t>
  </si>
  <si>
    <t>Gymnodinium 01</t>
  </si>
  <si>
    <t>Gymnodinium 02</t>
  </si>
  <si>
    <t>Gymnodinium 03</t>
  </si>
  <si>
    <t>hapto 1 temp</t>
  </si>
  <si>
    <t>hapto 2 temp</t>
  </si>
  <si>
    <t>hapto 3 temp</t>
  </si>
  <si>
    <t>Harpactea</t>
  </si>
  <si>
    <t xml:space="preserve">araignée (pas worms) </t>
  </si>
  <si>
    <t>Harpactorinae</t>
  </si>
  <si>
    <t>Hemiaulus inter. Richelia</t>
  </si>
  <si>
    <t>interaction avec Richelia</t>
  </si>
  <si>
    <t>hetero 1 temp</t>
  </si>
  <si>
    <t>heterotroph</t>
  </si>
  <si>
    <t>living&gt;other&gt;unicellular&gt;heterotroph</t>
  </si>
  <si>
    <t>hetero 2 temp</t>
  </si>
  <si>
    <t>temp 2</t>
  </si>
  <si>
    <t>hetero 3 temp</t>
  </si>
  <si>
    <t>temp 3</t>
  </si>
  <si>
    <t>hetero 4 temp</t>
  </si>
  <si>
    <t>temp 4</t>
  </si>
  <si>
    <t>hetero 5 temp</t>
  </si>
  <si>
    <t>temp 5</t>
  </si>
  <si>
    <t>hetero 6 temp</t>
  </si>
  <si>
    <t>temp 6</t>
  </si>
  <si>
    <t>hetero 7 temp</t>
  </si>
  <si>
    <t>temp 7</t>
  </si>
  <si>
    <t>hetero 8 temp</t>
  </si>
  <si>
    <t>temp 8</t>
  </si>
  <si>
    <t>hetero 9 temp</t>
  </si>
  <si>
    <t>temp 9</t>
  </si>
  <si>
    <t>LS: Parent d'un Phylo, doit rester phylo</t>
  </si>
  <si>
    <t>Heterocapsa 04</t>
  </si>
  <si>
    <t>Holodinophyta est le parent de Dinophyceae sur ecotaxa, je suis allée chercher le vrai parent sur worms mais inconnu au bataillon ce Holodinophyta...
LS: On le branche sous Alveolata (source F.L.)... Ou Myzozoa ou même un autre... Débat en cours</t>
  </si>
  <si>
    <t>Hydra</t>
  </si>
  <si>
    <t>Hydridae</t>
  </si>
  <si>
    <t>Hydrobaenus</t>
  </si>
  <si>
    <t>Hydrozetes</t>
  </si>
  <si>
    <t>Hymenodora glacialis</t>
  </si>
  <si>
    <t>Hymenodora</t>
  </si>
  <si>
    <t>Hypera</t>
  </si>
  <si>
    <t>Jaxea</t>
  </si>
  <si>
    <t>Laomediidae</t>
  </si>
  <si>
    <t>Labia sp.</t>
  </si>
  <si>
    <t>Labia</t>
  </si>
  <si>
    <t>Lagerheimia</t>
  </si>
  <si>
    <t>Chlorellales</t>
  </si>
  <si>
    <t>Lanceola clausi</t>
  </si>
  <si>
    <t>faute d'orthographe</t>
  </si>
  <si>
    <t>Leptocylindrus aporus</t>
  </si>
  <si>
    <t>pas trouvé de remplaçant. Peut être danicus ?
LS: Yapa, on laisse comme ça</t>
  </si>
  <si>
    <t>Leucocryptos marina</t>
  </si>
  <si>
    <t>Leucocryptos</t>
  </si>
  <si>
    <t>Limacidae</t>
  </si>
  <si>
    <t>Panpulmonata</t>
  </si>
  <si>
    <t>Lingulodinium polyedrum</t>
  </si>
  <si>
    <t>Lingulodinium</t>
  </si>
  <si>
    <t>Biota</t>
  </si>
  <si>
    <t>Louvarus imperialis</t>
  </si>
  <si>
    <t>Louvarus</t>
  </si>
  <si>
    <t>male</t>
  </si>
  <si>
    <t>Malv II</t>
  </si>
  <si>
    <t>Holodinophyta n'existe pas dans worms à l'inverse de son parent Myzozoa. Malv représente une partie de l'organisme ??? 
LS: On rebranche Holodinophyta sous Alveolata</t>
  </si>
  <si>
    <t>Membraneis chain</t>
  </si>
  <si>
    <t>enfant de Membraneis</t>
  </si>
  <si>
    <t>Membraneis challengerii</t>
  </si>
  <si>
    <t>Mesocyclops</t>
  </si>
  <si>
    <t>Mesopodopsis slaberri</t>
  </si>
  <si>
    <t>Holozoa</t>
  </si>
  <si>
    <t>Methanocaldococcus fervens</t>
  </si>
  <si>
    <t>Methanocaldococcus</t>
  </si>
  <si>
    <t>middle</t>
  </si>
  <si>
    <t>endant de Chaetognatha</t>
  </si>
  <si>
    <t>Mollimonas</t>
  </si>
  <si>
    <t>Mollimonas n'existe pas dans worms
LS:Parent rajouté en 1a</t>
  </si>
  <si>
    <t>Mysideis</t>
  </si>
  <si>
    <t>Neoceratium 01</t>
  </si>
  <si>
    <t>Nitzschia chain</t>
  </si>
  <si>
    <t>enfant de Nitzschia</t>
  </si>
  <si>
    <t>Notonecta</t>
  </si>
  <si>
    <t>nucleus</t>
  </si>
  <si>
    <t>Odontaeus sp.</t>
  </si>
  <si>
    <t>Odontaeus</t>
  </si>
  <si>
    <t>Oikopleura dioica</t>
  </si>
  <si>
    <t>Oocystis</t>
  </si>
  <si>
    <t>Ornithocercus inter-alphacyanobacterium</t>
  </si>
  <si>
    <t>alphacyanobacterium</t>
  </si>
  <si>
    <t>interaction avec alphacyanobacterium</t>
  </si>
  <si>
    <t>other</t>
  </si>
  <si>
    <t>Oxytoxum galdiolus</t>
  </si>
  <si>
    <t>faute orthographe à Oxytoxum galdiolus -&gt; gladiolus</t>
  </si>
  <si>
    <t>Pauliella toeniata</t>
  </si>
  <si>
    <t>Pauliella</t>
  </si>
  <si>
    <t>uncertain (unassessed)</t>
  </si>
  <si>
    <t>Pediastrum sp.</t>
  </si>
  <si>
    <t>Pediastrum</t>
  </si>
  <si>
    <t>pennate 1 temp</t>
  </si>
  <si>
    <t>pennate</t>
  </si>
  <si>
    <t>enfant de pennate</t>
  </si>
  <si>
    <t>pennate 10 temp</t>
  </si>
  <si>
    <t>pennate 11 temp</t>
  </si>
  <si>
    <t>pennate 12 temp</t>
  </si>
  <si>
    <t>pennate 13 temp</t>
  </si>
  <si>
    <t>pennate 2 temp</t>
  </si>
  <si>
    <t>pennate 3 temp</t>
  </si>
  <si>
    <t>pennate 4 temp</t>
  </si>
  <si>
    <t>pennate 5 temp</t>
  </si>
  <si>
    <t>pennate 6 temp</t>
  </si>
  <si>
    <t>pennate 7 temp</t>
  </si>
  <si>
    <t>pennate 8 temp</t>
  </si>
  <si>
    <t>pennate 9 temp</t>
  </si>
  <si>
    <t>Phaeocystis environmental1</t>
  </si>
  <si>
    <t>enfant de Phaeocystis</t>
  </si>
  <si>
    <t>Phaeocystis environmental2</t>
  </si>
  <si>
    <t>Phaeocystis environmental3</t>
  </si>
  <si>
    <t>Phalacroma rotundata</t>
  </si>
  <si>
    <t>Phalacroma 02</t>
  </si>
  <si>
    <t>phycoma</t>
  </si>
  <si>
    <t>Genre de papillon terrestre (n'existe pas dans Worms)</t>
  </si>
  <si>
    <t>Physonect</t>
  </si>
  <si>
    <t>Picochlorum eukaryotum</t>
  </si>
  <si>
    <t>Picochlorum</t>
  </si>
  <si>
    <t>Poeobius</t>
  </si>
  <si>
    <t>Poeobius meseres</t>
  </si>
  <si>
    <t>Polytrichaceae</t>
  </si>
  <si>
    <t>Bryophyta</t>
  </si>
  <si>
    <t>Polytrichaceae est une FAMILLE de plante terrestre, sur worms, ça s'arrête à l'ordre : Polyrichales (886278)</t>
  </si>
  <si>
    <t>Pronoctilucales temp</t>
  </si>
  <si>
    <t>proro 1 temp</t>
  </si>
  <si>
    <t>proro 2 temp</t>
  </si>
  <si>
    <t>proro 3 temp</t>
  </si>
  <si>
    <t>proro 4 temp</t>
  </si>
  <si>
    <t>proro 5 temp</t>
  </si>
  <si>
    <t>proro 6 temp</t>
  </si>
  <si>
    <t>proro 7 temp</t>
  </si>
  <si>
    <t>proro 9 temp</t>
  </si>
  <si>
    <t>Prorocentrum 01</t>
  </si>
  <si>
    <t>Proteomonas sulcata</t>
  </si>
  <si>
    <t>chloroplast</t>
  </si>
  <si>
    <t>enfant de Proteomonas sulcata</t>
  </si>
  <si>
    <t>proto 1</t>
  </si>
  <si>
    <t>Protoplastes</t>
  </si>
  <si>
    <t>renommer le parent en protoplast et le changer en Morpho</t>
  </si>
  <si>
    <t>proto 2</t>
  </si>
  <si>
    <t>proto 3</t>
  </si>
  <si>
    <t>proto 4</t>
  </si>
  <si>
    <t>proto 5</t>
  </si>
  <si>
    <t>proto 6</t>
  </si>
  <si>
    <t>Protoperidinium 01</t>
  </si>
  <si>
    <t>Psephenidae X sp.</t>
  </si>
  <si>
    <t>Psephenidae X</t>
  </si>
  <si>
    <t>Psephenidae</t>
  </si>
  <si>
    <t>Pseudo-Nitzschia chain</t>
  </si>
  <si>
    <t>enfant de Pseudo-nitzschia</t>
  </si>
  <si>
    <t>Pseudo-nitzschia prolongatiodes</t>
  </si>
  <si>
    <t>Pseudo-Nitzschia single</t>
  </si>
  <si>
    <t>Pterosperma</t>
  </si>
  <si>
    <t>Pterosperma 1 temp</t>
  </si>
  <si>
    <t>enfant de Pterosperma</t>
  </si>
  <si>
    <t>Pterosperma 2 temp</t>
  </si>
  <si>
    <t>Pterosperma sp.</t>
  </si>
  <si>
    <t>Quadrigula</t>
  </si>
  <si>
    <t>Sphaeropleales</t>
  </si>
  <si>
    <t>ancien nom qui regroupait les foram et les radiolaires, vocabulaire resté dans la commu scientif</t>
  </si>
  <si>
    <t>Rhabdosphaera claviger</t>
  </si>
  <si>
    <t>Rhizosolenia inter. Richelia</t>
  </si>
  <si>
    <t>Rhizosolenia sima f sima</t>
  </si>
  <si>
    <t>Rhizosolenids X</t>
  </si>
  <si>
    <t>Roesleria</t>
  </si>
  <si>
    <t>Leotiomycetes</t>
  </si>
  <si>
    <t>champignon : pas dans worms</t>
  </si>
  <si>
    <t>Sagitta crassa naikaiensis</t>
  </si>
  <si>
    <t>Sagittaria</t>
  </si>
  <si>
    <t>Sagittariidae</t>
  </si>
  <si>
    <t>Aucun parent commun avec le Sagittaria de WoRMS, voir remarque de Laeti ci-dessous</t>
  </si>
  <si>
    <t>Sagittariidae inconnu mais il est dit qu'il appartient à l'ordre des Cyrtolophosidida... proposé cet ordre ? : faisons ça
LS: Playophryida rajouté en 1a</t>
  </si>
  <si>
    <t>Saron</t>
  </si>
  <si>
    <t>Scenedesmus</t>
  </si>
  <si>
    <t>Scenedesmus sp.</t>
  </si>
  <si>
    <t>Scrippsiella 01</t>
  </si>
  <si>
    <t>Scrippsiella.s.l</t>
  </si>
  <si>
    <t>Serendipita</t>
  </si>
  <si>
    <t>Agaricomycetes</t>
  </si>
  <si>
    <t>Setae</t>
  </si>
  <si>
    <t>setae</t>
  </si>
  <si>
    <t>enfant de other</t>
  </si>
  <si>
    <t>Setae Corethron</t>
  </si>
  <si>
    <t>enfant de Corethron</t>
  </si>
  <si>
    <t>shells</t>
  </si>
  <si>
    <t>shells Bacillariophyta</t>
  </si>
  <si>
    <t>frustule</t>
  </si>
  <si>
    <t>enfant de Bacillariophyceae</t>
  </si>
  <si>
    <t>shells Coccolithales</t>
  </si>
  <si>
    <t>shells Dictyochales</t>
  </si>
  <si>
    <t>skeleton</t>
  </si>
  <si>
    <t>enfant de Dictyochophyceae</t>
  </si>
  <si>
    <t>shells Dinophyceae</t>
  </si>
  <si>
    <t>theca</t>
  </si>
  <si>
    <t>enfant de Dinophyceae</t>
  </si>
  <si>
    <t>shells Tintinnids</t>
  </si>
  <si>
    <t>lorica</t>
  </si>
  <si>
    <t xml:space="preserve">enfant de Tintinnina </t>
  </si>
  <si>
    <t>Sinantherina</t>
  </si>
  <si>
    <t>Flosculariidae</t>
  </si>
  <si>
    <t>Slavina appendiculata</t>
  </si>
  <si>
    <t>Slavina</t>
  </si>
  <si>
    <t>solitaryblack</t>
  </si>
  <si>
    <t>black</t>
  </si>
  <si>
    <t>créer solitary&gt;black</t>
  </si>
  <si>
    <t>solitaryfuzzy</t>
  </si>
  <si>
    <t>fuzzy</t>
  </si>
  <si>
    <t>créer solitary&gt;fuzzy</t>
  </si>
  <si>
    <t>solitaryglobule</t>
  </si>
  <si>
    <t>globule</t>
  </si>
  <si>
    <t>créer solitary&gt;globule</t>
  </si>
  <si>
    <t>solitarygrey</t>
  </si>
  <si>
    <t>grey</t>
  </si>
  <si>
    <t>créer solitary&gt;grey</t>
  </si>
  <si>
    <t>la personne n'a pas fait de choix entre les deux familles... mais les deux existent</t>
  </si>
  <si>
    <t>swarmers</t>
  </si>
  <si>
    <t>Swima</t>
  </si>
  <si>
    <t>tempCeratoneis closterium</t>
  </si>
  <si>
    <t xml:space="preserve">temp 1 </t>
  </si>
  <si>
    <t>enfant de Ceratoneis closterium</t>
  </si>
  <si>
    <t>tempChaetoceros contortus</t>
  </si>
  <si>
    <t>enfant de Chaetoceros contortus</t>
  </si>
  <si>
    <t>tempChaetoceros danicus</t>
  </si>
  <si>
    <t>enfant de Chaetoceros danicus</t>
  </si>
  <si>
    <t>tempCoccosphaerales</t>
  </si>
  <si>
    <t>enfant de Coccosphaerales</t>
  </si>
  <si>
    <t>tempCryptophyceae</t>
  </si>
  <si>
    <t>enfant de Cryptophyceae</t>
  </si>
  <si>
    <t>tempflagellates</t>
  </si>
  <si>
    <t>transférer sous Eukariota&gt;flagellate</t>
  </si>
  <si>
    <t>tempKatodinium glaucum</t>
  </si>
  <si>
    <t>enfant de Katodinium glaucum</t>
  </si>
  <si>
    <t>tempPeridiniella catenata</t>
  </si>
  <si>
    <t>enfant de Peridiniella catenata</t>
  </si>
  <si>
    <t>tempPrasinophyceae</t>
  </si>
  <si>
    <t>enfant de Prasinophyceae</t>
  </si>
  <si>
    <t>tempTorodinium robustum</t>
  </si>
  <si>
    <t>enfant de Torodinium robustum</t>
  </si>
  <si>
    <t>Tetrastrum</t>
  </si>
  <si>
    <t>Thalassinidae</t>
  </si>
  <si>
    <t>Thermocyclops sp.</t>
  </si>
  <si>
    <t>Thermocyclops</t>
  </si>
  <si>
    <t>thoraco 1 temp</t>
  </si>
  <si>
    <t>Thoracosphaerales</t>
  </si>
  <si>
    <t>Tintinnopsis mortenseni</t>
  </si>
  <si>
    <t>Trichoshort</t>
  </si>
  <si>
    <t>short</t>
  </si>
  <si>
    <t>enfant de Trochodesmium</t>
  </si>
  <si>
    <t>Tripos candelabrus</t>
  </si>
  <si>
    <t>enfant de Tripos candelabrum</t>
  </si>
  <si>
    <t>Tripos contortum</t>
  </si>
  <si>
    <t>enfant de Tripos contortus</t>
  </si>
  <si>
    <t>Tripos gibberius</t>
  </si>
  <si>
    <t>enfant de Tripos gibberus</t>
  </si>
  <si>
    <t>Trochophora</t>
  </si>
  <si>
    <t>trochozoa</t>
  </si>
  <si>
    <t>trochophore larvae</t>
  </si>
  <si>
    <t>Larve de Trochozoa mais ce groupe n'est pas monophylétique...</t>
  </si>
  <si>
    <t>Tubaria</t>
  </si>
  <si>
    <t>UCYNA</t>
  </si>
  <si>
    <t>UCYNA like</t>
  </si>
  <si>
    <t>enfant de UCYNA</t>
  </si>
  <si>
    <t>Undetermined flagellate</t>
  </si>
  <si>
    <t>Unknown</t>
  </si>
  <si>
    <t>Heteroconchia</t>
  </si>
  <si>
    <t>enfant de Heteroconchia</t>
  </si>
  <si>
    <t>Unknown marine</t>
  </si>
  <si>
    <t>Unknowns</t>
  </si>
  <si>
    <t>Velinus sp.</t>
  </si>
  <si>
    <t>Velinus</t>
  </si>
  <si>
    <t>insecte</t>
  </si>
  <si>
    <t>Volvox</t>
  </si>
  <si>
    <t>Whitmania</t>
  </si>
  <si>
    <t>Hirudinea</t>
  </si>
  <si>
    <t>Xystonellopsis krameri</t>
  </si>
  <si>
    <t>Eucampia antarctica</t>
  </si>
  <si>
    <t>Neomoelleria antarctica</t>
  </si>
  <si>
    <t>Amanda : Neomoelleria antarctica</t>
  </si>
  <si>
    <t>Hemiaulus antarcticus</t>
  </si>
  <si>
    <t>Amanda NB : ils ont crée un phylo eco id (91177) enfant d'un morpho (chloroplast) --&gt; non sens</t>
  </si>
  <si>
    <t>Gammaridea</t>
  </si>
  <si>
    <t>paraphyletic</t>
  </si>
  <si>
    <t>On le relie a la famille Gammaridae (et pas dea)</t>
  </si>
  <si>
    <t>disused</t>
  </si>
  <si>
    <t>Amanda : alternative = remonter au parent = Khakista</t>
  </si>
  <si>
    <t>Micracanthodinium quadrispinum</t>
  </si>
  <si>
    <t>Micracanthodinium</t>
  </si>
  <si>
    <t xml:space="preserve">Amanda : remonter au parent Micracanthodinium </t>
  </si>
  <si>
    <t>abandoned concept, including Euthecosomata and Pseudothecosomata</t>
  </si>
  <si>
    <t>Amanda: remplacer par Pteropoda</t>
  </si>
  <si>
    <t>Amanda : utiliser "Ceratium tripos f. contrarium" ou garder le uncertain</t>
  </si>
  <si>
    <t>Turbellaria</t>
  </si>
  <si>
    <t>not longer used; is a paraphyletic group</t>
  </si>
  <si>
    <t>Amanda : on remonte au parent Platyhelminthes</t>
  </si>
  <si>
    <t>suffix</t>
  </si>
  <si>
    <t>sp. OPB5</t>
  </si>
  <si>
    <t>Actinoptychus</t>
  </si>
  <si>
    <t>sp.</t>
  </si>
  <si>
    <t>Heliopeltaceae</t>
  </si>
  <si>
    <t>X</t>
  </si>
  <si>
    <t>Bougainvillia</t>
  </si>
  <si>
    <t>Calciopappus</t>
  </si>
  <si>
    <t>X sp.</t>
  </si>
  <si>
    <t>Chironomus</t>
  </si>
  <si>
    <t>Chironomini</t>
  </si>
  <si>
    <t>U1 X sp.</t>
  </si>
  <si>
    <t>Cryptophyta U1 X</t>
  </si>
  <si>
    <t>Dictyochales X</t>
  </si>
  <si>
    <t>Didinium</t>
  </si>
  <si>
    <t>Didiniidae</t>
  </si>
  <si>
    <t>Euplokamis</t>
  </si>
  <si>
    <t>Euplokamididae</t>
  </si>
  <si>
    <t>unclassified Foraminifera</t>
  </si>
  <si>
    <t>Forskaliidae</t>
  </si>
  <si>
    <t>Harpacticoida X</t>
  </si>
  <si>
    <t>Isochrysidaceae</t>
  </si>
  <si>
    <t>Karlodinium</t>
  </si>
  <si>
    <t>Melicertissa</t>
  </si>
  <si>
    <t>Nassellaria X</t>
  </si>
  <si>
    <t>Nausithoidae</t>
  </si>
  <si>
    <t>Nematoscelis</t>
  </si>
  <si>
    <t>sp. OPB6</t>
  </si>
  <si>
    <t>Paraphronima</t>
  </si>
  <si>
    <t>Strobilidium</t>
  </si>
  <si>
    <t>Strobilidiidae</t>
  </si>
  <si>
    <t>Vibilia</t>
  </si>
  <si>
    <t>Vibiliidae</t>
  </si>
  <si>
    <t>Zanclea</t>
  </si>
  <si>
    <t>Note</t>
  </si>
  <si>
    <t>III X</t>
  </si>
  <si>
    <t>Amanda : Créer un morpho III enfant de Acantharia</t>
  </si>
  <si>
    <t>IV X</t>
  </si>
  <si>
    <t>Amanda : Créer un morpho IV enfant de Acantharia</t>
  </si>
  <si>
    <t>III X sp.</t>
  </si>
  <si>
    <t>Acantharia III X</t>
  </si>
  <si>
    <t>Amanda : Créer un morpho III X enfant de Acantharia</t>
  </si>
  <si>
    <t>IV X sp.</t>
  </si>
  <si>
    <t>Acantharia IV X</t>
  </si>
  <si>
    <t>Amanda : Créer un morpho IV X enfant de Acantharia</t>
  </si>
  <si>
    <t>Amphidinium 01</t>
  </si>
  <si>
    <t>Calanoida X</t>
  </si>
  <si>
    <t>XX</t>
  </si>
  <si>
    <t>Cnidaria X</t>
  </si>
  <si>
    <t>XXX</t>
  </si>
  <si>
    <t>Cnidaria XX</t>
  </si>
  <si>
    <t>living&gt;Eukaryota&gt;Opisthokonta&gt;Holozoa&gt;Metazoa&gt;Cnidaria&gt;Hydrozoa&gt;Cnidaria&gt;Cnidaria sp.</t>
  </si>
  <si>
    <t>Copepoda X</t>
  </si>
  <si>
    <t>sp. OPB11</t>
  </si>
  <si>
    <t>Rhizaria X</t>
  </si>
  <si>
    <t>Amanda NB : ce tableau est chaud !</t>
  </si>
  <si>
    <t>Amanda : OK</t>
  </si>
  <si>
    <t>Gomphonema</t>
  </si>
  <si>
    <t>Gomphonemataceae</t>
  </si>
  <si>
    <t>Amanda : 149553</t>
  </si>
  <si>
    <t>Amanda : Créer un morpho X enfant de Appendicularia</t>
  </si>
  <si>
    <t>Appendicularia X</t>
  </si>
  <si>
    <t>Amanda : Créer un morpho X sp. enfant de Appendicularia</t>
  </si>
  <si>
    <t>Amanda : Créer un morpho X enfant de Ctenophora</t>
  </si>
  <si>
    <t>Amanda : Créer un morpho sp. enfant de Ctenophora</t>
  </si>
  <si>
    <t>NB Amanda : j'aurai tendance à tout faire remonter au parent Appendicularia ou Ctenophora mais leur démarche semble qu'ils ont voulu créer des catégories X ou X sp. ou sp. pour les cas où ils ont un doute. Donc si on remonte au parent ils vont perdre leur tri.</t>
  </si>
  <si>
    <t>Cyclops</t>
  </si>
  <si>
    <t>Nassariinae</t>
  </si>
  <si>
    <t>Invalid: junior homonym of &lt;i&gt;Cyclops&lt;/i&gt; O.F. M ller, 1785 [Crustacea]; &lt;i&gt;Cencus&lt;/i&gt; Gistel, 1848 is a replacement name</t>
  </si>
  <si>
    <t>Tritia</t>
  </si>
  <si>
    <t>Tubuliporidae</t>
  </si>
  <si>
    <t>Tubulipora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</si>
</sst>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font>
    <font>
      <color theme="1"/>
      <name val="Arial"/>
    </font>
    <font>
      <sz val="11.0"/>
      <color theme="1"/>
      <name val="Arial"/>
    </font>
    <font>
      <sz val="12.0"/>
      <color rgb="FFFF0000"/>
      <name val="Arial"/>
    </font>
    <font>
      <b/>
      <color theme="1"/>
      <name val="Arial"/>
    </font>
    <font>
      <u/>
      <color rgb="FF1155CC"/>
      <name val="Arial"/>
    </font>
    <font>
      <u/>
      <color rgb="FF0000FF"/>
    </font>
    <font>
      <strike/>
      <color theme="1"/>
      <name val="Arial"/>
    </font>
    <font>
      <strike/>
      <color rgb="FF0000FF"/>
    </font>
    <font>
      <sz val="11.0"/>
    </font>
    <font>
      <color rgb="FF000000"/>
      <name val="Arial"/>
    </font>
    <font>
      <strike/>
      <sz val="11.0"/>
      <color theme="1"/>
      <name val="Arial"/>
    </font>
    <font>
      <strike/>
      <u/>
      <color rgb="FF0000FF"/>
    </font>
    <font>
      <u/>
      <color rgb="FF0000FF"/>
    </font>
    <font>
      <color rgb="FFFF0000"/>
      <name val="Arial"/>
    </font>
    <font>
      <b/>
      <sz val="10.0"/>
      <color theme="1"/>
      <name val="Arial"/>
    </font>
    <font>
      <u/>
      <color rgb="FF0000FF"/>
    </font>
    <font>
      <u/>
      <color rgb="FF1155CC"/>
      <name val="Arial"/>
    </font>
    <font>
      <sz val="10.0"/>
      <color theme="1"/>
      <name val="Arial"/>
    </font>
    <font/>
    <font>
      <u/>
      <color rgb="FF1155CC"/>
    </font>
    <font>
      <sz val="11.0"/>
      <color rgb="FF000000"/>
      <name val="Sans-serif"/>
    </font>
    <font>
      <sz val="11.0"/>
      <color rgb="FF337AB7"/>
      <name val="Sans-serif"/>
    </font>
    <font>
      <sz val="10.0"/>
      <color rgb="FF000000"/>
      <name val="&quot;Arial&quot;"/>
    </font>
    <font>
      <i/>
      <color theme="1"/>
      <name val="Arial"/>
    </font>
    <font>
      <color rgb="FF000000"/>
      <name val="Roboto"/>
    </font>
    <font>
      <u/>
      <color rgb="FF0000FF"/>
    </font>
    <font>
      <b/>
    </font>
    <font>
      <strike/>
      <u/>
      <color theme="1"/>
      <name val="Arial"/>
    </font>
    <font>
      <strike/>
      <u/>
      <color theme="1"/>
      <name val="Arial"/>
    </font>
  </fonts>
  <fills count="7">
    <fill>
      <patternFill patternType="none"/>
    </fill>
    <fill>
      <patternFill patternType="lightGray"/>
    </fill>
    <fill>
      <patternFill patternType="solid">
        <fgColor rgb="FFEAEAEA"/>
        <bgColor rgb="FFEAEAEA"/>
      </patternFill>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FFFF00"/>
        <bgColor rgb="FFFFFF00"/>
      </patternFill>
    </fill>
  </fills>
  <borders count="1">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center"/>
    </xf>
    <xf borderId="0" fillId="0" fontId="1" numFmtId="0" xfId="0" applyAlignment="1" applyFont="1">
      <alignment vertical="bottom"/>
    </xf>
    <xf borderId="0" fillId="0" fontId="3" numFmtId="0" xfId="0" applyAlignment="1" applyFont="1">
      <alignment horizontal="center" readingOrder="0" shrinkToFit="0" vertical="center" wrapText="1"/>
    </xf>
    <xf borderId="0" fillId="0" fontId="1" numFmtId="0" xfId="0" applyAlignment="1" applyFont="1">
      <alignment shrinkToFit="0" wrapText="1"/>
    </xf>
    <xf borderId="0" fillId="0" fontId="1" numFmtId="0" xfId="0" applyAlignment="1" applyFont="1">
      <alignment horizontal="right" shrinkToFit="0" vertical="center" wrapText="1"/>
    </xf>
    <xf borderId="0" fillId="0" fontId="1" numFmtId="0" xfId="0" applyAlignment="1" applyFont="1">
      <alignment horizontal="right" shrinkToFit="0" vertical="bottom" wrapText="1"/>
    </xf>
    <xf borderId="0" fillId="0" fontId="4" numFmtId="0" xfId="0" applyAlignment="1" applyFont="1">
      <alignment shrinkToFit="0" vertical="bottom" wrapText="1"/>
    </xf>
    <xf borderId="0" fillId="0" fontId="4" numFmtId="0" xfId="0" applyAlignment="1" applyFont="1">
      <alignment shrinkToFit="0" vertical="center" wrapText="1"/>
    </xf>
    <xf borderId="0" fillId="0" fontId="1" numFmtId="0" xfId="0" applyAlignment="1" applyFont="1">
      <alignment readingOrder="0" shrinkToFit="0" wrapText="1"/>
    </xf>
    <xf borderId="0" fillId="0" fontId="5" numFmtId="0" xfId="0" applyAlignment="1" applyFont="1">
      <alignment readingOrder="0" shrinkToFit="0" vertical="bottom" wrapText="1"/>
    </xf>
    <xf borderId="0" fillId="0" fontId="1" numFmtId="0" xfId="0" applyAlignment="1" applyFont="1">
      <alignment shrinkToFit="0" vertical="center"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4"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horizontal="right" vertical="bottom"/>
    </xf>
    <xf borderId="0" fillId="0" fontId="1" numFmtId="0" xfId="0" applyAlignment="1" applyFont="1">
      <alignment vertical="center"/>
    </xf>
    <xf borderId="0" fillId="0" fontId="1" numFmtId="0" xfId="0" applyAlignment="1" applyFont="1">
      <alignment readingOrder="0" shrinkToFit="0" vertical="bottom" wrapText="0"/>
    </xf>
    <xf borderId="0" fillId="2" fontId="4" numFmtId="0" xfId="0" applyAlignment="1" applyFill="1" applyFont="1">
      <alignment horizontal="center"/>
    </xf>
    <xf borderId="0" fillId="2" fontId="4" numFmtId="0" xfId="0" applyAlignment="1" applyFont="1">
      <alignment horizontal="center" readingOrder="0"/>
    </xf>
    <xf borderId="0" fillId="0" fontId="1" numFmtId="0" xfId="0" applyFont="1"/>
    <xf borderId="0" fillId="0" fontId="6" numFmtId="0" xfId="0" applyFont="1"/>
    <xf borderId="0" fillId="0" fontId="1" numFmtId="0" xfId="0" applyAlignment="1" applyFont="1">
      <alignment readingOrder="0"/>
    </xf>
    <xf borderId="0" fillId="0" fontId="7" numFmtId="0" xfId="0" applyFont="1"/>
    <xf borderId="0" fillId="0" fontId="8" numFmtId="0" xfId="0" applyFont="1"/>
    <xf borderId="0" fillId="0" fontId="7" numFmtId="0" xfId="0" applyAlignment="1" applyFont="1">
      <alignment readingOrder="0"/>
    </xf>
    <xf borderId="0" fillId="0" fontId="1" numFmtId="0" xfId="0" applyFont="1"/>
    <xf borderId="0" fillId="2" fontId="4" numFmtId="0" xfId="0" applyAlignment="1" applyFont="1">
      <alignment horizontal="center" shrinkToFit="0" wrapText="1"/>
    </xf>
    <xf borderId="0" fillId="0" fontId="2" numFmtId="0" xfId="0" applyAlignment="1" applyFont="1">
      <alignment readingOrder="0"/>
    </xf>
    <xf borderId="0" fillId="0" fontId="2" numFmtId="0" xfId="0" applyAlignment="1" applyFont="1">
      <alignment readingOrder="0" shrinkToFit="0" wrapText="1"/>
    </xf>
    <xf borderId="0" fillId="0" fontId="9" numFmtId="0" xfId="0" applyAlignment="1" applyFont="1">
      <alignment readingOrder="0" shrinkToFit="0" wrapText="1"/>
    </xf>
    <xf borderId="0" fillId="0" fontId="10" numFmtId="0" xfId="0" applyAlignment="1" applyFont="1">
      <alignment readingOrder="0"/>
    </xf>
    <xf borderId="0" fillId="0" fontId="11" numFmtId="0" xfId="0" applyAlignment="1" applyFont="1">
      <alignment readingOrder="0"/>
    </xf>
    <xf borderId="0" fillId="0" fontId="12" numFmtId="0" xfId="0" applyFont="1"/>
    <xf borderId="0" fillId="3" fontId="1" numFmtId="0" xfId="0" applyFill="1" applyFont="1"/>
    <xf borderId="0" fillId="3" fontId="13" numFmtId="0" xfId="0" applyFont="1"/>
    <xf borderId="0" fillId="3" fontId="1" numFmtId="0" xfId="0" applyAlignment="1" applyFont="1">
      <alignment readingOrder="0"/>
    </xf>
    <xf quotePrefix="1" borderId="0" fillId="0" fontId="1" numFmtId="0" xfId="0" applyFont="1"/>
    <xf borderId="0" fillId="0" fontId="14" numFmtId="0" xfId="0" applyAlignment="1" applyFont="1">
      <alignment readingOrder="0"/>
    </xf>
    <xf borderId="0" fillId="2" fontId="4" numFmtId="0" xfId="0" applyAlignment="1" applyFont="1">
      <alignment horizontal="center"/>
    </xf>
    <xf borderId="0" fillId="0" fontId="4" numFmtId="0" xfId="0" applyAlignment="1" applyFont="1">
      <alignment readingOrder="0" vertical="bottom"/>
    </xf>
    <xf borderId="0" fillId="0" fontId="4" numFmtId="0" xfId="0" applyAlignment="1" applyFont="1">
      <alignment vertical="bottom"/>
    </xf>
    <xf borderId="0" fillId="0" fontId="4" numFmtId="0" xfId="0" applyFont="1"/>
    <xf borderId="0" fillId="2" fontId="4" numFmtId="0" xfId="0" applyAlignment="1" applyFont="1">
      <alignment horizontal="center" readingOrder="0"/>
    </xf>
    <xf borderId="0" fillId="2" fontId="15" numFmtId="0" xfId="0" applyAlignment="1" applyFont="1">
      <alignment horizontal="center" readingOrder="0"/>
    </xf>
    <xf borderId="0" fillId="2" fontId="4" numFmtId="0" xfId="0" applyAlignment="1" applyFont="1">
      <alignment horizontal="center" readingOrder="0" shrinkToFit="0" wrapText="1"/>
    </xf>
    <xf borderId="0" fillId="0" fontId="16" numFmtId="0" xfId="0" applyFont="1"/>
    <xf borderId="0" fillId="0" fontId="1" numFmtId="0" xfId="0" applyAlignment="1" applyFont="1">
      <alignment vertical="bottom"/>
    </xf>
    <xf borderId="0" fillId="0" fontId="1" numFmtId="0" xfId="0" applyAlignment="1" applyFont="1">
      <alignment readingOrder="0"/>
    </xf>
    <xf borderId="0" fillId="4" fontId="1" numFmtId="0" xfId="0" applyAlignment="1" applyFill="1" applyFont="1">
      <alignment readingOrder="0"/>
    </xf>
    <xf borderId="0" fillId="0" fontId="7"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4" fontId="1" numFmtId="0" xfId="0" applyFont="1"/>
    <xf borderId="0" fillId="0" fontId="1" numFmtId="0" xfId="0" applyAlignment="1" applyFont="1">
      <alignment horizontal="right" vertical="bottom"/>
    </xf>
    <xf borderId="0" fillId="0" fontId="17" numFmtId="0" xfId="0" applyAlignment="1" applyFont="1">
      <alignment readingOrder="0"/>
    </xf>
    <xf borderId="0" fillId="0" fontId="1" numFmtId="0" xfId="0" applyAlignment="1" applyFont="1">
      <alignment readingOrder="0" vertical="bottom"/>
    </xf>
    <xf borderId="0" fillId="3" fontId="0" numFmtId="0" xfId="0" applyAlignment="1" applyFont="1">
      <alignment horizontal="right" readingOrder="0"/>
    </xf>
    <xf borderId="0" fillId="0" fontId="10" numFmtId="0" xfId="0" applyAlignment="1" applyFont="1">
      <alignment readingOrder="0"/>
    </xf>
    <xf borderId="0" fillId="0" fontId="18"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0" fontId="19" numFmtId="0" xfId="0" applyAlignment="1" applyFont="1">
      <alignment readingOrder="0"/>
    </xf>
    <xf borderId="0" fillId="0" fontId="19" numFmtId="0" xfId="0" applyAlignment="1" applyFont="1">
      <alignment readingOrder="0" shrinkToFit="0" wrapText="1"/>
    </xf>
    <xf borderId="0" fillId="0" fontId="19" numFmtId="0" xfId="0" applyAlignment="1" applyFont="1">
      <alignment readingOrder="0"/>
    </xf>
    <xf borderId="0" fillId="0" fontId="7" numFmtId="0" xfId="0" applyFont="1"/>
    <xf borderId="0" fillId="0" fontId="18" numFmtId="0" xfId="0" applyAlignment="1" applyFont="1">
      <alignment readingOrder="0" shrinkToFit="0" wrapText="1"/>
    </xf>
    <xf borderId="0" fillId="0" fontId="19" numFmtId="0" xfId="0" applyAlignment="1" applyFont="1">
      <alignment shrinkToFit="0" wrapText="1"/>
    </xf>
    <xf borderId="0" fillId="5" fontId="1" numFmtId="0" xfId="0" applyAlignment="1" applyFill="1" applyFont="1">
      <alignment readingOrder="0"/>
    </xf>
    <xf borderId="0" fillId="0" fontId="10" numFmtId="0" xfId="0" applyAlignment="1" applyFont="1">
      <alignment readingOrder="0" shrinkToFit="0" wrapText="1"/>
    </xf>
    <xf borderId="0" fillId="5" fontId="19" numFmtId="0" xfId="0" applyAlignment="1" applyFont="1">
      <alignment readingOrder="0" shrinkToFit="0" wrapText="1"/>
    </xf>
    <xf borderId="0" fillId="0" fontId="20" numFmtId="0" xfId="0" applyAlignment="1" applyFont="1">
      <alignment readingOrder="0" shrinkToFit="0" wrapText="1"/>
    </xf>
    <xf borderId="0" fillId="0" fontId="10" numFmtId="0" xfId="0" applyAlignment="1" applyFont="1">
      <alignment readingOrder="0"/>
    </xf>
    <xf borderId="0" fillId="0" fontId="2" numFmtId="0" xfId="0" applyAlignment="1" applyFont="1">
      <alignment readingOrder="0"/>
    </xf>
    <xf borderId="0" fillId="0" fontId="21" numFmtId="0" xfId="0" applyAlignment="1" applyFont="1">
      <alignment readingOrder="0"/>
    </xf>
    <xf borderId="0" fillId="3" fontId="1" numFmtId="0" xfId="0" applyAlignment="1" applyFont="1">
      <alignment readingOrder="0" shrinkToFit="0" wrapText="1"/>
    </xf>
    <xf borderId="0" fillId="0" fontId="0"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1" numFmtId="0" xfId="0" applyAlignment="1" applyFont="1">
      <alignment horizontal="right" readingOrder="0"/>
    </xf>
    <xf borderId="0" fillId="0" fontId="23" numFmtId="0" xfId="0" applyAlignment="1" applyFont="1">
      <alignment readingOrder="0" shrinkToFit="0" wrapText="1"/>
    </xf>
    <xf borderId="0" fillId="0" fontId="24" numFmtId="0" xfId="0" applyAlignment="1" applyFont="1">
      <alignment readingOrder="0"/>
    </xf>
    <xf borderId="0" fillId="3" fontId="25" numFmtId="0" xfId="0" applyAlignment="1" applyFont="1">
      <alignment readingOrder="0"/>
    </xf>
    <xf borderId="0" fillId="0" fontId="8" numFmtId="0" xfId="0" applyFont="1"/>
    <xf borderId="0" fillId="0" fontId="26" numFmtId="0" xfId="0" applyAlignment="1" applyFont="1">
      <alignment shrinkToFit="0" wrapText="1"/>
    </xf>
    <xf borderId="0" fillId="0" fontId="4" numFmtId="0" xfId="0" applyAlignment="1" applyFont="1">
      <alignment readingOrder="0"/>
    </xf>
    <xf borderId="0" fillId="2" fontId="27" numFmtId="0" xfId="0" applyAlignment="1" applyFont="1">
      <alignment horizontal="center" readingOrder="0"/>
    </xf>
    <xf borderId="0" fillId="4" fontId="1" numFmtId="0" xfId="0" applyFont="1"/>
    <xf borderId="0" fillId="4" fontId="1" numFmtId="0" xfId="0" applyAlignment="1" applyFont="1">
      <alignment readingOrder="0"/>
    </xf>
    <xf borderId="0" fillId="0" fontId="27" numFmtId="0" xfId="0" applyAlignment="1" applyFont="1">
      <alignment horizontal="center"/>
    </xf>
    <xf borderId="0" fillId="4" fontId="7" numFmtId="0" xfId="0" applyFont="1"/>
    <xf borderId="0" fillId="0" fontId="1" numFmtId="0" xfId="0" applyAlignment="1" applyFont="1">
      <alignment readingOrder="0"/>
    </xf>
    <xf borderId="0" fillId="6" fontId="1" numFmtId="0" xfId="0" applyFill="1" applyFont="1"/>
    <xf borderId="0" fillId="6" fontId="1" numFmtId="0" xfId="0" applyFont="1"/>
    <xf borderId="0" fillId="0" fontId="28" numFmtId="0" xfId="0" applyFont="1"/>
    <xf borderId="0" fillId="0" fontId="29"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Cas 1g-style">
      <tableStyleElement dxfId="1" type="headerRow"/>
      <tableStyleElement dxfId="2" type="firstRowStripe"/>
      <tableStyleElement dxfId="3" type="secondRowStripe"/>
    </tableStyle>
    <tableStyle count="3" pivot="0" name="Cas 2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1006" displayName="Table_1" id="1">
  <tableColumns count="15">
    <tableColumn name="name" id="1"/>
    <tableColumn name="n" id="2"/>
    <tableColumn name="eco_id" id="3"/>
    <tableColumn name="parent_eco_name" id="4"/>
    <tableColumn name="aphia_id" id="5"/>
    <tableColumn name="status" id="6"/>
    <tableColumn name="valid_aphia_id" id="7"/>
    <tableColumn name="valid_aphia_name" id="8"/>
    <tableColumn name="deprecate" id="9"/>
    <tableColumn name="final_aphia_id" id="10"/>
    <tableColumn name="final_parent_aphia_id" id="11"/>
    <tableColumn name="rename_as" id="12"/>
    <tableColumn name="make_morpho" id="13"/>
    <tableColumn name="action" id="14"/>
    <tableColumn name="done" id="15"/>
  </tableColumns>
  <tableStyleInfo name="Cas 1g-style" showColumnStripes="0" showFirstColumn="1" showLastColumn="1" showRowStripes="1"/>
</table>
</file>

<file path=xl/tables/table2.xml><?xml version="1.0" encoding="utf-8"?>
<table xmlns="http://schemas.openxmlformats.org/spreadsheetml/2006/main" ref="I1:J1006" displayName="Table_2" id="2">
  <tableColumns count="2">
    <tableColumn name="make_morpho" id="1"/>
    <tableColumn name="final_parent_aphia_id" id="2"/>
  </tableColumns>
  <tableStyleInfo name="Cas 2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algaebase.org/search/species/detail/?species_id=148114" TargetMode="External"/><Relationship Id="rId3" Type="http://schemas.openxmlformats.org/officeDocument/2006/relationships/drawing" Target="../drawings/drawing12.xml"/><Relationship Id="rId4" Type="http://schemas.openxmlformats.org/officeDocument/2006/relationships/vmlDrawing" Target="../drawings/vmlDrawing6.vml"/><Relationship Id="rId6"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7.xml"/><Relationship Id="rId3" Type="http://schemas.openxmlformats.org/officeDocument/2006/relationships/vmlDrawing" Target="../drawings/vmlDrawing7.vml"/><Relationship Id="rId5"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0.xml"/><Relationship Id="rId3"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57"/>
    <col customWidth="1" min="2" max="2" width="50.57"/>
    <col customWidth="1" min="3" max="3" width="10.0"/>
    <col customWidth="1" min="4" max="4" width="40.29"/>
    <col customWidth="1" min="5" max="5" width="46.0"/>
    <col customWidth="1" min="6" max="6" width="39.29"/>
  </cols>
  <sheetData>
    <row r="1">
      <c r="A1" s="1"/>
      <c r="B1" s="2" t="s">
        <v>0</v>
      </c>
      <c r="C1" s="3"/>
      <c r="D1" s="3"/>
      <c r="E1" s="4" t="s">
        <v>1</v>
      </c>
      <c r="F1" s="5"/>
    </row>
    <row r="2">
      <c r="A2" s="3"/>
      <c r="B2" s="6" t="s">
        <v>2</v>
      </c>
      <c r="C2" s="7">
        <v>2016.0</v>
      </c>
      <c r="D2" s="3"/>
      <c r="E2" s="3"/>
      <c r="F2" s="5"/>
    </row>
    <row r="3">
      <c r="A3" s="8" t="s">
        <v>3</v>
      </c>
      <c r="B3" s="9" t="s">
        <v>4</v>
      </c>
      <c r="C3" s="8" t="s">
        <v>5</v>
      </c>
      <c r="D3" s="8" t="s">
        <v>6</v>
      </c>
      <c r="E3" s="8" t="s">
        <v>7</v>
      </c>
      <c r="F3" s="10" t="s">
        <v>8</v>
      </c>
    </row>
    <row r="4">
      <c r="A4" s="11" t="s">
        <v>9</v>
      </c>
      <c r="B4" s="12" t="s">
        <v>10</v>
      </c>
      <c r="C4" s="7">
        <v>1227.0</v>
      </c>
      <c r="D4" s="13" t="s">
        <v>11</v>
      </c>
      <c r="E4" s="14" t="s">
        <v>12</v>
      </c>
      <c r="F4" s="10" t="s">
        <v>13</v>
      </c>
    </row>
    <row r="5">
      <c r="A5" s="11" t="s">
        <v>14</v>
      </c>
      <c r="B5" s="15" t="s">
        <v>15</v>
      </c>
      <c r="C5" s="7">
        <v>59.0</v>
      </c>
      <c r="D5" s="14" t="s">
        <v>16</v>
      </c>
      <c r="E5" s="13" t="s">
        <v>17</v>
      </c>
      <c r="F5" s="10" t="s">
        <v>18</v>
      </c>
    </row>
    <row r="6">
      <c r="A6" s="11" t="s">
        <v>19</v>
      </c>
      <c r="B6" s="12" t="s">
        <v>20</v>
      </c>
      <c r="C6" s="7">
        <v>12.0</v>
      </c>
      <c r="D6" s="13" t="s">
        <v>21</v>
      </c>
      <c r="E6" s="14" t="s">
        <v>22</v>
      </c>
      <c r="F6" s="10" t="s">
        <v>23</v>
      </c>
    </row>
    <row r="7">
      <c r="A7" s="11" t="s">
        <v>24</v>
      </c>
      <c r="B7" s="15" t="s">
        <v>25</v>
      </c>
      <c r="C7" s="7">
        <v>2.0</v>
      </c>
      <c r="D7" s="14" t="s">
        <v>26</v>
      </c>
      <c r="E7" s="14" t="s">
        <v>22</v>
      </c>
      <c r="F7" s="10" t="s">
        <v>27</v>
      </c>
    </row>
    <row r="8">
      <c r="A8" s="13"/>
      <c r="B8" s="12"/>
      <c r="C8" s="13"/>
      <c r="D8" s="13"/>
      <c r="E8" s="13"/>
      <c r="F8" s="5"/>
    </row>
    <row r="9" ht="60.75" customHeight="1">
      <c r="A9" s="11" t="s">
        <v>28</v>
      </c>
      <c r="B9" s="12" t="s">
        <v>29</v>
      </c>
      <c r="C9" s="7">
        <v>55.0</v>
      </c>
      <c r="D9" s="13" t="s">
        <v>11</v>
      </c>
      <c r="E9" s="14" t="s">
        <v>30</v>
      </c>
      <c r="F9" s="10" t="s">
        <v>31</v>
      </c>
    </row>
    <row r="10">
      <c r="A10" s="11" t="s">
        <v>32</v>
      </c>
      <c r="B10" s="16" t="s">
        <v>33</v>
      </c>
      <c r="C10" s="7">
        <v>2.0</v>
      </c>
      <c r="D10" s="14" t="s">
        <v>34</v>
      </c>
      <c r="E10" s="14" t="s">
        <v>35</v>
      </c>
      <c r="F10" s="10" t="s">
        <v>36</v>
      </c>
    </row>
    <row r="11">
      <c r="A11" s="11" t="s">
        <v>37</v>
      </c>
      <c r="B11" s="12" t="s">
        <v>38</v>
      </c>
      <c r="C11" s="7">
        <v>8.0</v>
      </c>
      <c r="D11" s="13" t="s">
        <v>21</v>
      </c>
      <c r="E11" s="14" t="s">
        <v>35</v>
      </c>
      <c r="F11" s="10" t="s">
        <v>36</v>
      </c>
    </row>
    <row r="12">
      <c r="A12" s="11" t="s">
        <v>39</v>
      </c>
      <c r="B12" s="16" t="s">
        <v>40</v>
      </c>
      <c r="C12" s="7">
        <v>0.0</v>
      </c>
      <c r="D12" s="14" t="s">
        <v>41</v>
      </c>
      <c r="E12" s="14" t="s">
        <v>42</v>
      </c>
      <c r="F12" s="10" t="s">
        <v>36</v>
      </c>
    </row>
    <row r="13">
      <c r="A13" s="13"/>
      <c r="B13" s="12"/>
      <c r="C13" s="13"/>
      <c r="D13" s="13"/>
      <c r="E13" s="13"/>
      <c r="F13" s="5"/>
    </row>
    <row r="14" ht="79.5" customHeight="1">
      <c r="A14" s="11" t="s">
        <v>43</v>
      </c>
      <c r="B14" s="12" t="s">
        <v>44</v>
      </c>
      <c r="C14" s="7">
        <v>111.0</v>
      </c>
      <c r="D14" s="13" t="s">
        <v>11</v>
      </c>
      <c r="E14" s="14" t="s">
        <v>45</v>
      </c>
      <c r="F14" s="10" t="s">
        <v>46</v>
      </c>
    </row>
    <row r="15">
      <c r="A15" s="11" t="s">
        <v>47</v>
      </c>
      <c r="B15" s="16" t="s">
        <v>48</v>
      </c>
      <c r="C15" s="7">
        <v>14.0</v>
      </c>
      <c r="D15" s="14" t="s">
        <v>49</v>
      </c>
      <c r="E15" s="14" t="s">
        <v>50</v>
      </c>
      <c r="F15" s="5"/>
    </row>
    <row r="16">
      <c r="A16" s="11" t="s">
        <v>51</v>
      </c>
      <c r="B16" s="12" t="s">
        <v>52</v>
      </c>
      <c r="C16" s="7">
        <v>0.0</v>
      </c>
      <c r="D16" s="13"/>
      <c r="E16" s="13"/>
      <c r="F16" s="5"/>
    </row>
    <row r="17">
      <c r="A17" s="11" t="s">
        <v>53</v>
      </c>
      <c r="B17" s="16" t="s">
        <v>54</v>
      </c>
      <c r="C17" s="7">
        <v>2.0</v>
      </c>
      <c r="D17" s="14" t="s">
        <v>49</v>
      </c>
      <c r="E17" s="14" t="s">
        <v>50</v>
      </c>
      <c r="F17" s="5"/>
    </row>
    <row r="18">
      <c r="A18" s="13"/>
      <c r="B18" s="12"/>
      <c r="C18" s="13"/>
      <c r="D18" s="13"/>
      <c r="E18" s="13"/>
      <c r="F18" s="5"/>
    </row>
    <row r="19">
      <c r="A19" s="11" t="s">
        <v>55</v>
      </c>
      <c r="B19" s="12" t="s">
        <v>56</v>
      </c>
      <c r="C19" s="7">
        <v>6.0</v>
      </c>
      <c r="D19" s="14" t="s">
        <v>57</v>
      </c>
      <c r="E19" s="14" t="s">
        <v>58</v>
      </c>
      <c r="F19" s="5"/>
    </row>
    <row r="20">
      <c r="A20" s="13"/>
      <c r="B20" s="12"/>
      <c r="C20" s="13"/>
      <c r="D20" s="13"/>
      <c r="E20" s="13"/>
      <c r="F20" s="5"/>
    </row>
    <row r="21">
      <c r="A21" s="11" t="s">
        <v>59</v>
      </c>
      <c r="B21" s="12" t="s">
        <v>60</v>
      </c>
      <c r="C21" s="7">
        <v>99.0</v>
      </c>
      <c r="D21" s="13" t="s">
        <v>11</v>
      </c>
      <c r="E21" s="14" t="s">
        <v>61</v>
      </c>
      <c r="F21" s="5"/>
    </row>
    <row r="22">
      <c r="A22" s="11" t="s">
        <v>62</v>
      </c>
      <c r="B22" s="16" t="s">
        <v>63</v>
      </c>
      <c r="C22" s="17">
        <v>24.0</v>
      </c>
      <c r="D22" s="13" t="s">
        <v>11</v>
      </c>
      <c r="E22" s="14" t="s">
        <v>61</v>
      </c>
      <c r="F22" s="5"/>
    </row>
    <row r="23">
      <c r="A23" s="11" t="s">
        <v>64</v>
      </c>
      <c r="B23" s="12" t="s">
        <v>65</v>
      </c>
      <c r="C23" s="17">
        <v>3.0</v>
      </c>
      <c r="D23" s="14" t="s">
        <v>26</v>
      </c>
      <c r="E23" s="14" t="s">
        <v>66</v>
      </c>
      <c r="F23" s="5"/>
    </row>
    <row r="24">
      <c r="A24" s="11" t="s">
        <v>67</v>
      </c>
      <c r="B24" s="16" t="s">
        <v>68</v>
      </c>
      <c r="C24" s="17">
        <v>4.0</v>
      </c>
      <c r="D24" s="14" t="s">
        <v>26</v>
      </c>
      <c r="E24" s="14" t="s">
        <v>66</v>
      </c>
      <c r="F24" s="5"/>
    </row>
    <row r="25">
      <c r="A25" s="3"/>
      <c r="B25" s="12"/>
      <c r="C25" s="3"/>
      <c r="D25" s="3"/>
      <c r="E25" s="3"/>
      <c r="F25" s="5"/>
    </row>
    <row r="26">
      <c r="A26" s="11" t="s">
        <v>69</v>
      </c>
      <c r="B26" s="12" t="s">
        <v>70</v>
      </c>
      <c r="C26" s="7">
        <v>5.0</v>
      </c>
      <c r="D26" s="13" t="s">
        <v>11</v>
      </c>
      <c r="E26" s="14" t="s">
        <v>71</v>
      </c>
      <c r="F26" s="5"/>
    </row>
    <row r="27">
      <c r="A27" s="13"/>
      <c r="B27" s="12"/>
      <c r="C27" s="13"/>
      <c r="D27" s="13"/>
      <c r="E27" s="13"/>
      <c r="F27" s="5"/>
    </row>
    <row r="28" ht="111.0" customHeight="1">
      <c r="A28" s="11" t="s">
        <v>72</v>
      </c>
      <c r="B28" s="12" t="s">
        <v>73</v>
      </c>
      <c r="C28" s="7">
        <v>388.0</v>
      </c>
      <c r="D28" s="14" t="s">
        <v>74</v>
      </c>
      <c r="E28" s="14" t="s">
        <v>75</v>
      </c>
      <c r="F28" s="5"/>
    </row>
    <row r="29">
      <c r="A29" s="13"/>
      <c r="B29" s="12"/>
      <c r="C29" s="13"/>
      <c r="D29" s="13"/>
      <c r="E29" s="13"/>
      <c r="F29" s="5"/>
    </row>
    <row r="30">
      <c r="A30" s="13"/>
      <c r="B30" s="12" t="s">
        <v>76</v>
      </c>
      <c r="C30" s="7">
        <f>sum(C4:C28)</f>
        <v>2021</v>
      </c>
      <c r="E30" s="3"/>
      <c r="F30" s="5"/>
    </row>
    <row r="31">
      <c r="B31" s="18"/>
      <c r="C31" s="19" t="s">
        <v>77</v>
      </c>
      <c r="F31" s="5"/>
    </row>
    <row r="32">
      <c r="B32" s="18"/>
      <c r="F32" s="5"/>
    </row>
    <row r="33">
      <c r="B33" s="18"/>
      <c r="F33" s="5"/>
    </row>
    <row r="34">
      <c r="B34" s="18"/>
      <c r="F34" s="5"/>
    </row>
    <row r="35">
      <c r="B35" s="18"/>
      <c r="F35" s="5"/>
    </row>
    <row r="36">
      <c r="B36" s="18"/>
      <c r="F36" s="5"/>
    </row>
    <row r="37">
      <c r="B37" s="18"/>
      <c r="F37" s="5"/>
    </row>
    <row r="38">
      <c r="B38" s="18"/>
      <c r="F38" s="5"/>
    </row>
    <row r="39">
      <c r="B39" s="18"/>
      <c r="F39" s="5"/>
    </row>
    <row r="40">
      <c r="B40" s="18"/>
      <c r="F40" s="5"/>
    </row>
    <row r="41">
      <c r="B41" s="18"/>
      <c r="F41" s="5"/>
    </row>
    <row r="42">
      <c r="B42" s="18"/>
      <c r="F42" s="5"/>
    </row>
    <row r="43">
      <c r="B43" s="18"/>
      <c r="F43" s="5"/>
    </row>
    <row r="44">
      <c r="B44" s="18"/>
      <c r="F44" s="5"/>
    </row>
    <row r="45">
      <c r="B45" s="18"/>
      <c r="F45" s="5"/>
    </row>
    <row r="46">
      <c r="B46" s="18"/>
      <c r="F46" s="5"/>
    </row>
    <row r="47">
      <c r="B47" s="18"/>
      <c r="F47" s="5"/>
    </row>
    <row r="48">
      <c r="B48" s="18"/>
      <c r="F48" s="5"/>
    </row>
    <row r="49">
      <c r="B49" s="18"/>
      <c r="F49" s="5"/>
    </row>
    <row r="50">
      <c r="B50" s="18"/>
      <c r="F50" s="5"/>
    </row>
    <row r="51">
      <c r="B51" s="18"/>
      <c r="F51" s="5"/>
    </row>
    <row r="52">
      <c r="B52" s="18"/>
      <c r="F52" s="5"/>
    </row>
    <row r="53">
      <c r="B53" s="18"/>
      <c r="F53" s="5"/>
    </row>
    <row r="54">
      <c r="B54" s="18"/>
      <c r="F54" s="5"/>
    </row>
    <row r="55">
      <c r="B55" s="18"/>
      <c r="F55" s="5"/>
    </row>
    <row r="56">
      <c r="B56" s="18"/>
      <c r="F56" s="5"/>
    </row>
    <row r="57">
      <c r="B57" s="18"/>
      <c r="F57" s="5"/>
    </row>
    <row r="58">
      <c r="B58" s="18"/>
      <c r="F58" s="5"/>
    </row>
    <row r="59">
      <c r="B59" s="18"/>
      <c r="F59" s="5"/>
    </row>
    <row r="60">
      <c r="B60" s="18"/>
      <c r="F60" s="5"/>
    </row>
    <row r="61">
      <c r="B61" s="18"/>
      <c r="F61" s="5"/>
    </row>
    <row r="62">
      <c r="B62" s="18"/>
      <c r="F62" s="5"/>
    </row>
    <row r="63">
      <c r="B63" s="18"/>
      <c r="F63" s="5"/>
    </row>
    <row r="64">
      <c r="B64" s="18"/>
      <c r="F64" s="5"/>
    </row>
    <row r="65">
      <c r="B65" s="18"/>
      <c r="F65" s="5"/>
    </row>
    <row r="66">
      <c r="B66" s="18"/>
      <c r="F66" s="5"/>
    </row>
    <row r="67">
      <c r="B67" s="18"/>
      <c r="F67" s="5"/>
    </row>
    <row r="68">
      <c r="B68" s="18"/>
      <c r="F68" s="5"/>
    </row>
    <row r="69">
      <c r="B69" s="18"/>
      <c r="F69" s="5"/>
    </row>
    <row r="70">
      <c r="B70" s="18"/>
      <c r="F70" s="5"/>
    </row>
    <row r="71">
      <c r="B71" s="18"/>
      <c r="F71" s="5"/>
    </row>
    <row r="72">
      <c r="B72" s="18"/>
      <c r="F72" s="5"/>
    </row>
    <row r="73">
      <c r="B73" s="18"/>
      <c r="F73" s="5"/>
    </row>
    <row r="74">
      <c r="B74" s="18"/>
      <c r="F74" s="5"/>
    </row>
    <row r="75">
      <c r="B75" s="18"/>
      <c r="F75" s="5"/>
    </row>
    <row r="76">
      <c r="B76" s="18"/>
      <c r="F76" s="5"/>
    </row>
    <row r="77">
      <c r="B77" s="18"/>
      <c r="F77" s="5"/>
    </row>
    <row r="78">
      <c r="B78" s="18"/>
      <c r="F78" s="5"/>
    </row>
    <row r="79">
      <c r="B79" s="18"/>
      <c r="F79" s="5"/>
    </row>
    <row r="80">
      <c r="B80" s="18"/>
      <c r="F80" s="5"/>
    </row>
    <row r="81">
      <c r="B81" s="18"/>
      <c r="F81" s="5"/>
    </row>
    <row r="82">
      <c r="B82" s="18"/>
      <c r="F82" s="5"/>
    </row>
    <row r="83">
      <c r="B83" s="18"/>
      <c r="F83" s="5"/>
    </row>
    <row r="84">
      <c r="B84" s="18"/>
      <c r="F84" s="5"/>
    </row>
    <row r="85">
      <c r="B85" s="18"/>
      <c r="F85" s="5"/>
    </row>
    <row r="86">
      <c r="B86" s="18"/>
      <c r="F86" s="5"/>
    </row>
    <row r="87">
      <c r="B87" s="18"/>
      <c r="F87" s="5"/>
    </row>
    <row r="88">
      <c r="B88" s="18"/>
      <c r="F88" s="5"/>
    </row>
    <row r="89">
      <c r="B89" s="18"/>
      <c r="F89" s="5"/>
    </row>
    <row r="90">
      <c r="B90" s="18"/>
      <c r="F90" s="5"/>
    </row>
    <row r="91">
      <c r="B91" s="18"/>
      <c r="F91" s="5"/>
    </row>
    <row r="92">
      <c r="B92" s="18"/>
      <c r="F92" s="5"/>
    </row>
    <row r="93">
      <c r="B93" s="18"/>
      <c r="F93" s="5"/>
    </row>
    <row r="94">
      <c r="B94" s="18"/>
      <c r="F94" s="5"/>
    </row>
    <row r="95">
      <c r="B95" s="18"/>
      <c r="F95" s="5"/>
    </row>
    <row r="96">
      <c r="B96" s="18"/>
      <c r="F96" s="5"/>
    </row>
    <row r="97">
      <c r="B97" s="18"/>
      <c r="F97" s="5"/>
    </row>
    <row r="98">
      <c r="B98" s="18"/>
      <c r="F98" s="5"/>
    </row>
    <row r="99">
      <c r="B99" s="18"/>
      <c r="F99" s="5"/>
    </row>
    <row r="100">
      <c r="B100" s="18"/>
      <c r="F100" s="5"/>
    </row>
    <row r="101">
      <c r="B101" s="18"/>
      <c r="F101" s="5"/>
    </row>
    <row r="102">
      <c r="B102" s="18"/>
      <c r="F102" s="5"/>
    </row>
    <row r="103">
      <c r="B103" s="18"/>
      <c r="F103" s="5"/>
    </row>
    <row r="104">
      <c r="B104" s="18"/>
      <c r="F104" s="5"/>
    </row>
    <row r="105">
      <c r="B105" s="18"/>
      <c r="F105" s="5"/>
    </row>
    <row r="106">
      <c r="B106" s="18"/>
      <c r="F106" s="5"/>
    </row>
    <row r="107">
      <c r="B107" s="18"/>
      <c r="F107" s="5"/>
    </row>
    <row r="108">
      <c r="B108" s="18"/>
      <c r="F108" s="5"/>
    </row>
    <row r="109">
      <c r="B109" s="18"/>
      <c r="F109" s="5"/>
    </row>
    <row r="110">
      <c r="B110" s="18"/>
      <c r="F110" s="5"/>
    </row>
    <row r="111">
      <c r="B111" s="18"/>
      <c r="F111" s="5"/>
    </row>
    <row r="112">
      <c r="B112" s="18"/>
      <c r="F112" s="5"/>
    </row>
    <row r="113">
      <c r="B113" s="18"/>
      <c r="F113" s="5"/>
    </row>
    <row r="114">
      <c r="B114" s="18"/>
      <c r="F114" s="5"/>
    </row>
    <row r="115">
      <c r="B115" s="18"/>
      <c r="F115" s="5"/>
    </row>
    <row r="116">
      <c r="B116" s="18"/>
      <c r="F116" s="5"/>
    </row>
    <row r="117">
      <c r="B117" s="18"/>
      <c r="F117" s="5"/>
    </row>
    <row r="118">
      <c r="B118" s="18"/>
      <c r="F118" s="5"/>
    </row>
    <row r="119">
      <c r="B119" s="18"/>
      <c r="F119" s="5"/>
    </row>
    <row r="120">
      <c r="B120" s="18"/>
      <c r="F120" s="5"/>
    </row>
    <row r="121">
      <c r="B121" s="18"/>
      <c r="F121" s="5"/>
    </row>
    <row r="122">
      <c r="B122" s="18"/>
      <c r="F122" s="5"/>
    </row>
    <row r="123">
      <c r="B123" s="18"/>
      <c r="F123" s="5"/>
    </row>
    <row r="124">
      <c r="B124" s="18"/>
      <c r="F124" s="5"/>
    </row>
    <row r="125">
      <c r="B125" s="18"/>
      <c r="F125" s="5"/>
    </row>
    <row r="126">
      <c r="B126" s="18"/>
      <c r="F126" s="5"/>
    </row>
    <row r="127">
      <c r="B127" s="18"/>
      <c r="F127" s="5"/>
    </row>
    <row r="128">
      <c r="B128" s="18"/>
      <c r="F128" s="5"/>
    </row>
    <row r="129">
      <c r="B129" s="18"/>
      <c r="F129" s="5"/>
    </row>
    <row r="130">
      <c r="B130" s="18"/>
      <c r="F130" s="5"/>
    </row>
    <row r="131">
      <c r="B131" s="18"/>
      <c r="F131" s="5"/>
    </row>
    <row r="132">
      <c r="B132" s="18"/>
      <c r="F132" s="5"/>
    </row>
    <row r="133">
      <c r="B133" s="18"/>
      <c r="F133" s="5"/>
    </row>
    <row r="134">
      <c r="B134" s="18"/>
      <c r="F134" s="5"/>
    </row>
    <row r="135">
      <c r="B135" s="18"/>
      <c r="F135" s="5"/>
    </row>
    <row r="136">
      <c r="B136" s="18"/>
      <c r="F136" s="5"/>
    </row>
    <row r="137">
      <c r="B137" s="18"/>
      <c r="F137" s="5"/>
    </row>
    <row r="138">
      <c r="B138" s="18"/>
      <c r="F138" s="5"/>
    </row>
    <row r="139">
      <c r="B139" s="18"/>
      <c r="F139" s="5"/>
    </row>
    <row r="140">
      <c r="B140" s="18"/>
      <c r="F140" s="5"/>
    </row>
    <row r="141">
      <c r="B141" s="18"/>
      <c r="F141" s="5"/>
    </row>
    <row r="142">
      <c r="B142" s="18"/>
      <c r="F142" s="5"/>
    </row>
    <row r="143">
      <c r="B143" s="18"/>
      <c r="F143" s="5"/>
    </row>
    <row r="144">
      <c r="B144" s="18"/>
      <c r="F144" s="5"/>
    </row>
    <row r="145">
      <c r="B145" s="18"/>
      <c r="F145" s="5"/>
    </row>
    <row r="146">
      <c r="B146" s="18"/>
      <c r="F146" s="5"/>
    </row>
    <row r="147">
      <c r="B147" s="18"/>
      <c r="F147" s="5"/>
    </row>
    <row r="148">
      <c r="B148" s="18"/>
      <c r="F148" s="5"/>
    </row>
    <row r="149">
      <c r="B149" s="18"/>
      <c r="F149" s="5"/>
    </row>
    <row r="150">
      <c r="B150" s="18"/>
      <c r="F150" s="5"/>
    </row>
    <row r="151">
      <c r="B151" s="18"/>
      <c r="F151" s="5"/>
    </row>
    <row r="152">
      <c r="B152" s="18"/>
      <c r="F152" s="5"/>
    </row>
    <row r="153">
      <c r="B153" s="18"/>
      <c r="F153" s="5"/>
    </row>
    <row r="154">
      <c r="B154" s="18"/>
      <c r="F154" s="5"/>
    </row>
    <row r="155">
      <c r="B155" s="18"/>
      <c r="F155" s="5"/>
    </row>
    <row r="156">
      <c r="B156" s="18"/>
      <c r="F156" s="5"/>
    </row>
    <row r="157">
      <c r="B157" s="18"/>
      <c r="F157" s="5"/>
    </row>
    <row r="158">
      <c r="B158" s="18"/>
      <c r="F158" s="5"/>
    </row>
    <row r="159">
      <c r="B159" s="18"/>
      <c r="F159" s="5"/>
    </row>
    <row r="160">
      <c r="B160" s="18"/>
      <c r="F160" s="5"/>
    </row>
    <row r="161">
      <c r="B161" s="18"/>
      <c r="F161" s="5"/>
    </row>
    <row r="162">
      <c r="B162" s="18"/>
      <c r="F162" s="5"/>
    </row>
    <row r="163">
      <c r="B163" s="18"/>
      <c r="F163" s="5"/>
    </row>
    <row r="164">
      <c r="B164" s="18"/>
      <c r="F164" s="5"/>
    </row>
    <row r="165">
      <c r="B165" s="18"/>
      <c r="F165" s="5"/>
    </row>
    <row r="166">
      <c r="B166" s="18"/>
      <c r="F166" s="5"/>
    </row>
    <row r="167">
      <c r="B167" s="18"/>
      <c r="F167" s="5"/>
    </row>
    <row r="168">
      <c r="B168" s="18"/>
      <c r="F168" s="5"/>
    </row>
    <row r="169">
      <c r="B169" s="18"/>
      <c r="F169" s="5"/>
    </row>
    <row r="170">
      <c r="B170" s="18"/>
      <c r="F170" s="5"/>
    </row>
    <row r="171">
      <c r="B171" s="18"/>
      <c r="F171" s="5"/>
    </row>
    <row r="172">
      <c r="B172" s="18"/>
      <c r="F172" s="5"/>
    </row>
    <row r="173">
      <c r="B173" s="18"/>
      <c r="F173" s="5"/>
    </row>
    <row r="174">
      <c r="B174" s="18"/>
      <c r="F174" s="5"/>
    </row>
    <row r="175">
      <c r="B175" s="18"/>
      <c r="F175" s="5"/>
    </row>
    <row r="176">
      <c r="B176" s="18"/>
      <c r="F176" s="5"/>
    </row>
    <row r="177">
      <c r="B177" s="18"/>
      <c r="F177" s="5"/>
    </row>
    <row r="178">
      <c r="B178" s="18"/>
      <c r="F178" s="5"/>
    </row>
    <row r="179">
      <c r="B179" s="18"/>
      <c r="F179" s="5"/>
    </row>
    <row r="180">
      <c r="B180" s="18"/>
      <c r="F180" s="5"/>
    </row>
    <row r="181">
      <c r="B181" s="18"/>
      <c r="F181" s="5"/>
    </row>
    <row r="182">
      <c r="B182" s="18"/>
      <c r="F182" s="5"/>
    </row>
    <row r="183">
      <c r="B183" s="18"/>
      <c r="F183" s="5"/>
    </row>
    <row r="184">
      <c r="B184" s="18"/>
      <c r="F184" s="5"/>
    </row>
    <row r="185">
      <c r="B185" s="18"/>
      <c r="F185" s="5"/>
    </row>
    <row r="186">
      <c r="B186" s="18"/>
      <c r="F186" s="5"/>
    </row>
    <row r="187">
      <c r="B187" s="18"/>
      <c r="F187" s="5"/>
    </row>
    <row r="188">
      <c r="B188" s="18"/>
      <c r="F188" s="5"/>
    </row>
    <row r="189">
      <c r="B189" s="18"/>
      <c r="F189" s="5"/>
    </row>
    <row r="190">
      <c r="B190" s="18"/>
      <c r="F190" s="5"/>
    </row>
    <row r="191">
      <c r="B191" s="18"/>
      <c r="F191" s="5"/>
    </row>
    <row r="192">
      <c r="B192" s="18"/>
      <c r="F192" s="5"/>
    </row>
    <row r="193">
      <c r="B193" s="18"/>
      <c r="F193" s="5"/>
    </row>
    <row r="194">
      <c r="B194" s="18"/>
      <c r="F194" s="5"/>
    </row>
    <row r="195">
      <c r="B195" s="18"/>
      <c r="F195" s="5"/>
    </row>
    <row r="196">
      <c r="B196" s="18"/>
      <c r="F196" s="5"/>
    </row>
    <row r="197">
      <c r="B197" s="18"/>
      <c r="F197" s="5"/>
    </row>
    <row r="198">
      <c r="B198" s="18"/>
      <c r="F198" s="5"/>
    </row>
    <row r="199">
      <c r="B199" s="18"/>
      <c r="F199" s="5"/>
    </row>
    <row r="200">
      <c r="B200" s="18"/>
      <c r="F200" s="5"/>
    </row>
    <row r="201">
      <c r="B201" s="18"/>
      <c r="F201" s="5"/>
    </row>
    <row r="202">
      <c r="B202" s="18"/>
      <c r="F202" s="5"/>
    </row>
    <row r="203">
      <c r="B203" s="18"/>
      <c r="F203" s="5"/>
    </row>
    <row r="204">
      <c r="B204" s="18"/>
      <c r="F204" s="5"/>
    </row>
    <row r="205">
      <c r="B205" s="18"/>
      <c r="F205" s="5"/>
    </row>
    <row r="206">
      <c r="B206" s="18"/>
      <c r="F206" s="5"/>
    </row>
    <row r="207">
      <c r="B207" s="18"/>
      <c r="F207" s="5"/>
    </row>
    <row r="208">
      <c r="B208" s="18"/>
      <c r="F208" s="5"/>
    </row>
    <row r="209">
      <c r="B209" s="18"/>
      <c r="F209" s="5"/>
    </row>
    <row r="210">
      <c r="B210" s="18"/>
      <c r="F210" s="5"/>
    </row>
    <row r="211">
      <c r="B211" s="18"/>
      <c r="F211" s="5"/>
    </row>
    <row r="212">
      <c r="B212" s="18"/>
      <c r="F212" s="5"/>
    </row>
    <row r="213">
      <c r="B213" s="18"/>
      <c r="F213" s="5"/>
    </row>
    <row r="214">
      <c r="B214" s="18"/>
      <c r="F214" s="5"/>
    </row>
    <row r="215">
      <c r="B215" s="18"/>
      <c r="F215" s="5"/>
    </row>
    <row r="216">
      <c r="B216" s="18"/>
      <c r="F216" s="5"/>
    </row>
    <row r="217">
      <c r="B217" s="18"/>
      <c r="F217" s="5"/>
    </row>
    <row r="218">
      <c r="B218" s="18"/>
      <c r="F218" s="5"/>
    </row>
    <row r="219">
      <c r="B219" s="18"/>
      <c r="F219" s="5"/>
    </row>
    <row r="220">
      <c r="B220" s="18"/>
      <c r="F220" s="5"/>
    </row>
    <row r="221">
      <c r="B221" s="18"/>
      <c r="F221" s="5"/>
    </row>
    <row r="222">
      <c r="B222" s="18"/>
      <c r="F222" s="5"/>
    </row>
    <row r="223">
      <c r="B223" s="18"/>
      <c r="F223" s="5"/>
    </row>
    <row r="224">
      <c r="B224" s="18"/>
      <c r="F224" s="5"/>
    </row>
    <row r="225">
      <c r="B225" s="18"/>
      <c r="F225" s="5"/>
    </row>
    <row r="226">
      <c r="B226" s="18"/>
      <c r="F226" s="5"/>
    </row>
    <row r="227">
      <c r="B227" s="18"/>
      <c r="F227" s="5"/>
    </row>
    <row r="228">
      <c r="B228" s="18"/>
      <c r="F228" s="5"/>
    </row>
    <row r="229">
      <c r="B229" s="18"/>
      <c r="F229" s="5"/>
    </row>
    <row r="230">
      <c r="B230" s="18"/>
      <c r="F230" s="5"/>
    </row>
    <row r="231">
      <c r="B231" s="18"/>
      <c r="F231" s="5"/>
    </row>
    <row r="232">
      <c r="B232" s="18"/>
      <c r="F232" s="5"/>
    </row>
    <row r="233">
      <c r="B233" s="18"/>
      <c r="F233" s="5"/>
    </row>
    <row r="234">
      <c r="B234" s="18"/>
      <c r="F234" s="5"/>
    </row>
    <row r="235">
      <c r="B235" s="18"/>
      <c r="F235" s="5"/>
    </row>
    <row r="236">
      <c r="B236" s="18"/>
      <c r="F236" s="5"/>
    </row>
    <row r="237">
      <c r="B237" s="18"/>
      <c r="F237" s="5"/>
    </row>
    <row r="238">
      <c r="B238" s="18"/>
      <c r="F238" s="5"/>
    </row>
    <row r="239">
      <c r="B239" s="18"/>
      <c r="F239" s="5"/>
    </row>
    <row r="240">
      <c r="B240" s="18"/>
      <c r="F240" s="5"/>
    </row>
    <row r="241">
      <c r="B241" s="18"/>
      <c r="F241" s="5"/>
    </row>
    <row r="242">
      <c r="B242" s="18"/>
      <c r="F242" s="5"/>
    </row>
    <row r="243">
      <c r="B243" s="18"/>
      <c r="F243" s="5"/>
    </row>
    <row r="244">
      <c r="B244" s="18"/>
      <c r="F244" s="5"/>
    </row>
    <row r="245">
      <c r="B245" s="18"/>
      <c r="F245" s="5"/>
    </row>
    <row r="246">
      <c r="B246" s="18"/>
      <c r="F246" s="5"/>
    </row>
    <row r="247">
      <c r="B247" s="18"/>
      <c r="F247" s="5"/>
    </row>
    <row r="248">
      <c r="B248" s="18"/>
      <c r="F248" s="5"/>
    </row>
    <row r="249">
      <c r="B249" s="18"/>
      <c r="F249" s="5"/>
    </row>
    <row r="250">
      <c r="B250" s="18"/>
      <c r="F250" s="5"/>
    </row>
    <row r="251">
      <c r="B251" s="18"/>
      <c r="F251" s="5"/>
    </row>
    <row r="252">
      <c r="B252" s="18"/>
      <c r="F252" s="5"/>
    </row>
    <row r="253">
      <c r="B253" s="18"/>
      <c r="F253" s="5"/>
    </row>
    <row r="254">
      <c r="B254" s="18"/>
      <c r="F254" s="5"/>
    </row>
    <row r="255">
      <c r="B255" s="18"/>
      <c r="F255" s="5"/>
    </row>
    <row r="256">
      <c r="B256" s="18"/>
      <c r="F256" s="5"/>
    </row>
    <row r="257">
      <c r="B257" s="18"/>
      <c r="F257" s="5"/>
    </row>
    <row r="258">
      <c r="B258" s="18"/>
      <c r="F258" s="5"/>
    </row>
    <row r="259">
      <c r="B259" s="18"/>
      <c r="F259" s="5"/>
    </row>
    <row r="260">
      <c r="B260" s="18"/>
      <c r="F260" s="5"/>
    </row>
    <row r="261">
      <c r="B261" s="18"/>
      <c r="F261" s="5"/>
    </row>
    <row r="262">
      <c r="B262" s="18"/>
      <c r="F262" s="5"/>
    </row>
    <row r="263">
      <c r="B263" s="18"/>
      <c r="F263" s="5"/>
    </row>
    <row r="264">
      <c r="B264" s="18"/>
      <c r="F264" s="5"/>
    </row>
    <row r="265">
      <c r="B265" s="18"/>
      <c r="F265" s="5"/>
    </row>
    <row r="266">
      <c r="B266" s="18"/>
      <c r="F266" s="5"/>
    </row>
    <row r="267">
      <c r="B267" s="18"/>
      <c r="F267" s="5"/>
    </row>
    <row r="268">
      <c r="B268" s="18"/>
      <c r="F268" s="5"/>
    </row>
    <row r="269">
      <c r="B269" s="18"/>
      <c r="F269" s="5"/>
    </row>
    <row r="270">
      <c r="B270" s="18"/>
      <c r="F270" s="5"/>
    </row>
    <row r="271">
      <c r="B271" s="18"/>
      <c r="F271" s="5"/>
    </row>
    <row r="272">
      <c r="B272" s="18"/>
      <c r="F272" s="5"/>
    </row>
    <row r="273">
      <c r="B273" s="18"/>
      <c r="F273" s="5"/>
    </row>
    <row r="274">
      <c r="B274" s="18"/>
      <c r="F274" s="5"/>
    </row>
    <row r="275">
      <c r="B275" s="18"/>
      <c r="F275" s="5"/>
    </row>
    <row r="276">
      <c r="B276" s="18"/>
      <c r="F276" s="5"/>
    </row>
    <row r="277">
      <c r="B277" s="18"/>
      <c r="F277" s="5"/>
    </row>
    <row r="278">
      <c r="B278" s="18"/>
      <c r="F278" s="5"/>
    </row>
    <row r="279">
      <c r="B279" s="18"/>
      <c r="F279" s="5"/>
    </row>
    <row r="280">
      <c r="B280" s="18"/>
      <c r="F280" s="5"/>
    </row>
    <row r="281">
      <c r="B281" s="18"/>
      <c r="F281" s="5"/>
    </row>
    <row r="282">
      <c r="B282" s="18"/>
      <c r="F282" s="5"/>
    </row>
    <row r="283">
      <c r="B283" s="18"/>
      <c r="F283" s="5"/>
    </row>
    <row r="284">
      <c r="B284" s="18"/>
      <c r="F284" s="5"/>
    </row>
    <row r="285">
      <c r="B285" s="18"/>
      <c r="F285" s="5"/>
    </row>
    <row r="286">
      <c r="B286" s="18"/>
      <c r="F286" s="5"/>
    </row>
    <row r="287">
      <c r="B287" s="18"/>
      <c r="F287" s="5"/>
    </row>
    <row r="288">
      <c r="B288" s="18"/>
      <c r="F288" s="5"/>
    </row>
    <row r="289">
      <c r="B289" s="18"/>
      <c r="F289" s="5"/>
    </row>
    <row r="290">
      <c r="B290" s="18"/>
      <c r="F290" s="5"/>
    </row>
    <row r="291">
      <c r="B291" s="18"/>
      <c r="F291" s="5"/>
    </row>
    <row r="292">
      <c r="B292" s="18"/>
      <c r="F292" s="5"/>
    </row>
    <row r="293">
      <c r="B293" s="18"/>
      <c r="F293" s="5"/>
    </row>
    <row r="294">
      <c r="B294" s="18"/>
      <c r="F294" s="5"/>
    </row>
    <row r="295">
      <c r="B295" s="18"/>
      <c r="F295" s="5"/>
    </row>
    <row r="296">
      <c r="B296" s="18"/>
      <c r="F296" s="5"/>
    </row>
    <row r="297">
      <c r="B297" s="18"/>
      <c r="F297" s="5"/>
    </row>
    <row r="298">
      <c r="B298" s="18"/>
      <c r="F298" s="5"/>
    </row>
    <row r="299">
      <c r="B299" s="18"/>
      <c r="F299" s="5"/>
    </row>
    <row r="300">
      <c r="B300" s="18"/>
      <c r="F300" s="5"/>
    </row>
    <row r="301">
      <c r="B301" s="18"/>
      <c r="F301" s="5"/>
    </row>
    <row r="302">
      <c r="B302" s="18"/>
      <c r="F302" s="5"/>
    </row>
    <row r="303">
      <c r="B303" s="18"/>
      <c r="F303" s="5"/>
    </row>
    <row r="304">
      <c r="B304" s="18"/>
      <c r="F304" s="5"/>
    </row>
    <row r="305">
      <c r="B305" s="18"/>
      <c r="F305" s="5"/>
    </row>
    <row r="306">
      <c r="B306" s="18"/>
      <c r="F306" s="5"/>
    </row>
    <row r="307">
      <c r="B307" s="18"/>
      <c r="F307" s="5"/>
    </row>
    <row r="308">
      <c r="B308" s="18"/>
      <c r="F308" s="5"/>
    </row>
    <row r="309">
      <c r="B309" s="18"/>
      <c r="F309" s="5"/>
    </row>
    <row r="310">
      <c r="B310" s="18"/>
      <c r="F310" s="5"/>
    </row>
    <row r="311">
      <c r="B311" s="18"/>
      <c r="F311" s="5"/>
    </row>
    <row r="312">
      <c r="B312" s="18"/>
      <c r="F312" s="5"/>
    </row>
    <row r="313">
      <c r="B313" s="18"/>
      <c r="F313" s="5"/>
    </row>
    <row r="314">
      <c r="B314" s="18"/>
      <c r="F314" s="5"/>
    </row>
    <row r="315">
      <c r="B315" s="18"/>
      <c r="F315" s="5"/>
    </row>
    <row r="316">
      <c r="B316" s="18"/>
      <c r="F316" s="5"/>
    </row>
    <row r="317">
      <c r="B317" s="18"/>
      <c r="F317" s="5"/>
    </row>
    <row r="318">
      <c r="B318" s="18"/>
      <c r="F318" s="5"/>
    </row>
    <row r="319">
      <c r="B319" s="18"/>
      <c r="F319" s="5"/>
    </row>
    <row r="320">
      <c r="B320" s="18"/>
      <c r="F320" s="5"/>
    </row>
    <row r="321">
      <c r="B321" s="18"/>
      <c r="F321" s="5"/>
    </row>
    <row r="322">
      <c r="B322" s="18"/>
      <c r="F322" s="5"/>
    </row>
    <row r="323">
      <c r="B323" s="18"/>
      <c r="F323" s="5"/>
    </row>
    <row r="324">
      <c r="B324" s="18"/>
      <c r="F324" s="5"/>
    </row>
    <row r="325">
      <c r="B325" s="18"/>
      <c r="F325" s="5"/>
    </row>
    <row r="326">
      <c r="B326" s="18"/>
      <c r="F326" s="5"/>
    </row>
    <row r="327">
      <c r="B327" s="18"/>
      <c r="F327" s="5"/>
    </row>
    <row r="328">
      <c r="B328" s="18"/>
      <c r="F328" s="5"/>
    </row>
    <row r="329">
      <c r="B329" s="18"/>
      <c r="F329" s="5"/>
    </row>
    <row r="330">
      <c r="B330" s="18"/>
      <c r="F330" s="5"/>
    </row>
    <row r="331">
      <c r="B331" s="18"/>
      <c r="F331" s="5"/>
    </row>
    <row r="332">
      <c r="B332" s="18"/>
      <c r="F332" s="5"/>
    </row>
    <row r="333">
      <c r="B333" s="18"/>
      <c r="F333" s="5"/>
    </row>
    <row r="334">
      <c r="B334" s="18"/>
      <c r="F334" s="5"/>
    </row>
    <row r="335">
      <c r="B335" s="18"/>
      <c r="F335" s="5"/>
    </row>
    <row r="336">
      <c r="B336" s="18"/>
      <c r="F336" s="5"/>
    </row>
    <row r="337">
      <c r="B337" s="18"/>
      <c r="F337" s="5"/>
    </row>
    <row r="338">
      <c r="B338" s="18"/>
      <c r="F338" s="5"/>
    </row>
    <row r="339">
      <c r="B339" s="18"/>
      <c r="F339" s="5"/>
    </row>
    <row r="340">
      <c r="B340" s="18"/>
      <c r="F340" s="5"/>
    </row>
    <row r="341">
      <c r="B341" s="18"/>
      <c r="F341" s="5"/>
    </row>
    <row r="342">
      <c r="B342" s="18"/>
      <c r="F342" s="5"/>
    </row>
    <row r="343">
      <c r="B343" s="18"/>
      <c r="F343" s="5"/>
    </row>
    <row r="344">
      <c r="B344" s="18"/>
      <c r="F344" s="5"/>
    </row>
    <row r="345">
      <c r="B345" s="18"/>
      <c r="F345" s="5"/>
    </row>
    <row r="346">
      <c r="B346" s="18"/>
      <c r="F346" s="5"/>
    </row>
    <row r="347">
      <c r="B347" s="18"/>
      <c r="F347" s="5"/>
    </row>
    <row r="348">
      <c r="B348" s="18"/>
      <c r="F348" s="5"/>
    </row>
    <row r="349">
      <c r="B349" s="18"/>
      <c r="F349" s="5"/>
    </row>
    <row r="350">
      <c r="B350" s="18"/>
      <c r="F350" s="5"/>
    </row>
    <row r="351">
      <c r="B351" s="18"/>
      <c r="F351" s="5"/>
    </row>
    <row r="352">
      <c r="B352" s="18"/>
      <c r="F352" s="5"/>
    </row>
    <row r="353">
      <c r="B353" s="18"/>
      <c r="F353" s="5"/>
    </row>
    <row r="354">
      <c r="B354" s="18"/>
      <c r="F354" s="5"/>
    </row>
    <row r="355">
      <c r="B355" s="18"/>
      <c r="F355" s="5"/>
    </row>
    <row r="356">
      <c r="B356" s="18"/>
      <c r="F356" s="5"/>
    </row>
    <row r="357">
      <c r="B357" s="18"/>
      <c r="F357" s="5"/>
    </row>
    <row r="358">
      <c r="B358" s="18"/>
      <c r="F358" s="5"/>
    </row>
    <row r="359">
      <c r="B359" s="18"/>
      <c r="F359" s="5"/>
    </row>
    <row r="360">
      <c r="B360" s="18"/>
      <c r="F360" s="5"/>
    </row>
    <row r="361">
      <c r="B361" s="18"/>
      <c r="F361" s="5"/>
    </row>
    <row r="362">
      <c r="B362" s="18"/>
      <c r="F362" s="5"/>
    </row>
    <row r="363">
      <c r="B363" s="18"/>
      <c r="F363" s="5"/>
    </row>
    <row r="364">
      <c r="B364" s="18"/>
      <c r="F364" s="5"/>
    </row>
    <row r="365">
      <c r="B365" s="18"/>
      <c r="F365" s="5"/>
    </row>
    <row r="366">
      <c r="B366" s="18"/>
      <c r="F366" s="5"/>
    </row>
    <row r="367">
      <c r="B367" s="18"/>
      <c r="F367" s="5"/>
    </row>
    <row r="368">
      <c r="B368" s="18"/>
      <c r="F368" s="5"/>
    </row>
    <row r="369">
      <c r="B369" s="18"/>
      <c r="F369" s="5"/>
    </row>
    <row r="370">
      <c r="B370" s="18"/>
      <c r="F370" s="5"/>
    </row>
    <row r="371">
      <c r="B371" s="18"/>
      <c r="F371" s="5"/>
    </row>
    <row r="372">
      <c r="B372" s="18"/>
      <c r="F372" s="5"/>
    </row>
    <row r="373">
      <c r="B373" s="18"/>
      <c r="F373" s="5"/>
    </row>
    <row r="374">
      <c r="B374" s="18"/>
      <c r="F374" s="5"/>
    </row>
    <row r="375">
      <c r="B375" s="18"/>
      <c r="F375" s="5"/>
    </row>
    <row r="376">
      <c r="B376" s="18"/>
      <c r="F376" s="5"/>
    </row>
    <row r="377">
      <c r="B377" s="18"/>
      <c r="F377" s="5"/>
    </row>
    <row r="378">
      <c r="B378" s="18"/>
      <c r="F378" s="5"/>
    </row>
    <row r="379">
      <c r="B379" s="18"/>
      <c r="F379" s="5"/>
    </row>
    <row r="380">
      <c r="B380" s="18"/>
      <c r="F380" s="5"/>
    </row>
    <row r="381">
      <c r="B381" s="18"/>
      <c r="F381" s="5"/>
    </row>
    <row r="382">
      <c r="B382" s="18"/>
      <c r="F382" s="5"/>
    </row>
    <row r="383">
      <c r="B383" s="18"/>
      <c r="F383" s="5"/>
    </row>
    <row r="384">
      <c r="B384" s="18"/>
      <c r="F384" s="5"/>
    </row>
    <row r="385">
      <c r="B385" s="18"/>
      <c r="F385" s="5"/>
    </row>
    <row r="386">
      <c r="B386" s="18"/>
      <c r="F386" s="5"/>
    </row>
    <row r="387">
      <c r="B387" s="18"/>
      <c r="F387" s="5"/>
    </row>
    <row r="388">
      <c r="B388" s="18"/>
      <c r="F388" s="5"/>
    </row>
    <row r="389">
      <c r="B389" s="18"/>
      <c r="F389" s="5"/>
    </row>
    <row r="390">
      <c r="B390" s="18"/>
      <c r="F390" s="5"/>
    </row>
    <row r="391">
      <c r="B391" s="18"/>
      <c r="F391" s="5"/>
    </row>
    <row r="392">
      <c r="B392" s="18"/>
      <c r="F392" s="5"/>
    </row>
    <row r="393">
      <c r="B393" s="18"/>
      <c r="F393" s="5"/>
    </row>
    <row r="394">
      <c r="B394" s="18"/>
      <c r="F394" s="5"/>
    </row>
    <row r="395">
      <c r="B395" s="18"/>
      <c r="F395" s="5"/>
    </row>
    <row r="396">
      <c r="B396" s="18"/>
      <c r="F396" s="5"/>
    </row>
    <row r="397">
      <c r="B397" s="18"/>
      <c r="F397" s="5"/>
    </row>
    <row r="398">
      <c r="B398" s="18"/>
      <c r="F398" s="5"/>
    </row>
    <row r="399">
      <c r="B399" s="18"/>
      <c r="F399" s="5"/>
    </row>
    <row r="400">
      <c r="B400" s="18"/>
      <c r="F400" s="5"/>
    </row>
    <row r="401">
      <c r="B401" s="18"/>
      <c r="F401" s="5"/>
    </row>
    <row r="402">
      <c r="B402" s="18"/>
      <c r="F402" s="5"/>
    </row>
    <row r="403">
      <c r="B403" s="18"/>
      <c r="F403" s="5"/>
    </row>
    <row r="404">
      <c r="B404" s="18"/>
      <c r="F404" s="5"/>
    </row>
    <row r="405">
      <c r="B405" s="18"/>
      <c r="F405" s="5"/>
    </row>
    <row r="406">
      <c r="B406" s="18"/>
      <c r="F406" s="5"/>
    </row>
    <row r="407">
      <c r="B407" s="18"/>
      <c r="F407" s="5"/>
    </row>
    <row r="408">
      <c r="B408" s="18"/>
      <c r="F408" s="5"/>
    </row>
    <row r="409">
      <c r="B409" s="18"/>
      <c r="F409" s="5"/>
    </row>
    <row r="410">
      <c r="B410" s="18"/>
      <c r="F410" s="5"/>
    </row>
    <row r="411">
      <c r="B411" s="18"/>
      <c r="F411" s="5"/>
    </row>
    <row r="412">
      <c r="B412" s="18"/>
      <c r="F412" s="5"/>
    </row>
    <row r="413">
      <c r="B413" s="18"/>
      <c r="F413" s="5"/>
    </row>
    <row r="414">
      <c r="B414" s="18"/>
      <c r="F414" s="5"/>
    </row>
    <row r="415">
      <c r="B415" s="18"/>
      <c r="F415" s="5"/>
    </row>
    <row r="416">
      <c r="B416" s="18"/>
      <c r="F416" s="5"/>
    </row>
    <row r="417">
      <c r="B417" s="18"/>
      <c r="F417" s="5"/>
    </row>
    <row r="418">
      <c r="B418" s="18"/>
      <c r="F418" s="5"/>
    </row>
    <row r="419">
      <c r="B419" s="18"/>
      <c r="F419" s="5"/>
    </row>
    <row r="420">
      <c r="B420" s="18"/>
      <c r="F420" s="5"/>
    </row>
    <row r="421">
      <c r="B421" s="18"/>
      <c r="F421" s="5"/>
    </row>
    <row r="422">
      <c r="B422" s="18"/>
      <c r="F422" s="5"/>
    </row>
    <row r="423">
      <c r="B423" s="18"/>
      <c r="F423" s="5"/>
    </row>
    <row r="424">
      <c r="B424" s="18"/>
      <c r="F424" s="5"/>
    </row>
    <row r="425">
      <c r="B425" s="18"/>
      <c r="F425" s="5"/>
    </row>
    <row r="426">
      <c r="B426" s="18"/>
      <c r="F426" s="5"/>
    </row>
    <row r="427">
      <c r="B427" s="18"/>
      <c r="F427" s="5"/>
    </row>
    <row r="428">
      <c r="B428" s="18"/>
      <c r="F428" s="5"/>
    </row>
    <row r="429">
      <c r="B429" s="18"/>
      <c r="F429" s="5"/>
    </row>
    <row r="430">
      <c r="B430" s="18"/>
      <c r="F430" s="5"/>
    </row>
    <row r="431">
      <c r="B431" s="18"/>
      <c r="F431" s="5"/>
    </row>
    <row r="432">
      <c r="B432" s="18"/>
      <c r="F432" s="5"/>
    </row>
    <row r="433">
      <c r="B433" s="18"/>
      <c r="F433" s="5"/>
    </row>
    <row r="434">
      <c r="B434" s="18"/>
      <c r="F434" s="5"/>
    </row>
    <row r="435">
      <c r="B435" s="18"/>
      <c r="F435" s="5"/>
    </row>
    <row r="436">
      <c r="B436" s="18"/>
      <c r="F436" s="5"/>
    </row>
    <row r="437">
      <c r="B437" s="18"/>
      <c r="F437" s="5"/>
    </row>
    <row r="438">
      <c r="B438" s="18"/>
      <c r="F438" s="5"/>
    </row>
    <row r="439">
      <c r="B439" s="18"/>
      <c r="F439" s="5"/>
    </row>
    <row r="440">
      <c r="B440" s="18"/>
      <c r="F440" s="5"/>
    </row>
    <row r="441">
      <c r="B441" s="18"/>
      <c r="F441" s="5"/>
    </row>
    <row r="442">
      <c r="B442" s="18"/>
      <c r="F442" s="5"/>
    </row>
    <row r="443">
      <c r="B443" s="18"/>
      <c r="F443" s="5"/>
    </row>
    <row r="444">
      <c r="B444" s="18"/>
      <c r="F444" s="5"/>
    </row>
    <row r="445">
      <c r="B445" s="18"/>
      <c r="F445" s="5"/>
    </row>
    <row r="446">
      <c r="B446" s="18"/>
      <c r="F446" s="5"/>
    </row>
    <row r="447">
      <c r="B447" s="18"/>
      <c r="F447" s="5"/>
    </row>
    <row r="448">
      <c r="B448" s="18"/>
      <c r="F448" s="5"/>
    </row>
    <row r="449">
      <c r="B449" s="18"/>
      <c r="F449" s="5"/>
    </row>
    <row r="450">
      <c r="B450" s="18"/>
      <c r="F450" s="5"/>
    </row>
    <row r="451">
      <c r="B451" s="18"/>
      <c r="F451" s="5"/>
    </row>
    <row r="452">
      <c r="B452" s="18"/>
      <c r="F452" s="5"/>
    </row>
    <row r="453">
      <c r="B453" s="18"/>
      <c r="F453" s="5"/>
    </row>
    <row r="454">
      <c r="B454" s="18"/>
      <c r="F454" s="5"/>
    </row>
    <row r="455">
      <c r="B455" s="18"/>
      <c r="F455" s="5"/>
    </row>
    <row r="456">
      <c r="B456" s="18"/>
      <c r="F456" s="5"/>
    </row>
    <row r="457">
      <c r="B457" s="18"/>
      <c r="F457" s="5"/>
    </row>
    <row r="458">
      <c r="B458" s="18"/>
      <c r="F458" s="5"/>
    </row>
    <row r="459">
      <c r="B459" s="18"/>
      <c r="F459" s="5"/>
    </row>
    <row r="460">
      <c r="B460" s="18"/>
      <c r="F460" s="5"/>
    </row>
    <row r="461">
      <c r="B461" s="18"/>
      <c r="F461" s="5"/>
    </row>
    <row r="462">
      <c r="B462" s="18"/>
      <c r="F462" s="5"/>
    </row>
    <row r="463">
      <c r="B463" s="18"/>
      <c r="F463" s="5"/>
    </row>
    <row r="464">
      <c r="B464" s="18"/>
      <c r="F464" s="5"/>
    </row>
    <row r="465">
      <c r="B465" s="18"/>
      <c r="F465" s="5"/>
    </row>
    <row r="466">
      <c r="B466" s="18"/>
      <c r="F466" s="5"/>
    </row>
    <row r="467">
      <c r="B467" s="18"/>
      <c r="F467" s="5"/>
    </row>
    <row r="468">
      <c r="B468" s="18"/>
      <c r="F468" s="5"/>
    </row>
    <row r="469">
      <c r="B469" s="18"/>
      <c r="F469" s="5"/>
    </row>
    <row r="470">
      <c r="B470" s="18"/>
      <c r="F470" s="5"/>
    </row>
    <row r="471">
      <c r="B471" s="18"/>
      <c r="F471" s="5"/>
    </row>
    <row r="472">
      <c r="B472" s="18"/>
      <c r="F472" s="5"/>
    </row>
    <row r="473">
      <c r="B473" s="18"/>
      <c r="F473" s="5"/>
    </row>
    <row r="474">
      <c r="B474" s="18"/>
      <c r="F474" s="5"/>
    </row>
    <row r="475">
      <c r="B475" s="18"/>
      <c r="F475" s="5"/>
    </row>
    <row r="476">
      <c r="B476" s="18"/>
      <c r="F476" s="5"/>
    </row>
    <row r="477">
      <c r="B477" s="18"/>
      <c r="F477" s="5"/>
    </row>
    <row r="478">
      <c r="B478" s="18"/>
      <c r="F478" s="5"/>
    </row>
    <row r="479">
      <c r="B479" s="18"/>
      <c r="F479" s="5"/>
    </row>
    <row r="480">
      <c r="B480" s="18"/>
      <c r="F480" s="5"/>
    </row>
    <row r="481">
      <c r="B481" s="18"/>
      <c r="F481" s="5"/>
    </row>
    <row r="482">
      <c r="B482" s="18"/>
      <c r="F482" s="5"/>
    </row>
    <row r="483">
      <c r="B483" s="18"/>
      <c r="F483" s="5"/>
    </row>
    <row r="484">
      <c r="B484" s="18"/>
      <c r="F484" s="5"/>
    </row>
    <row r="485">
      <c r="B485" s="18"/>
      <c r="F485" s="5"/>
    </row>
    <row r="486">
      <c r="B486" s="18"/>
      <c r="F486" s="5"/>
    </row>
    <row r="487">
      <c r="B487" s="18"/>
      <c r="F487" s="5"/>
    </row>
    <row r="488">
      <c r="B488" s="18"/>
      <c r="F488" s="5"/>
    </row>
    <row r="489">
      <c r="B489" s="18"/>
      <c r="F489" s="5"/>
    </row>
    <row r="490">
      <c r="B490" s="18"/>
      <c r="F490" s="5"/>
    </row>
    <row r="491">
      <c r="B491" s="18"/>
      <c r="F491" s="5"/>
    </row>
    <row r="492">
      <c r="B492" s="18"/>
      <c r="F492" s="5"/>
    </row>
    <row r="493">
      <c r="B493" s="18"/>
      <c r="F493" s="5"/>
    </row>
    <row r="494">
      <c r="B494" s="18"/>
      <c r="F494" s="5"/>
    </row>
    <row r="495">
      <c r="B495" s="18"/>
      <c r="F495" s="5"/>
    </row>
    <row r="496">
      <c r="B496" s="18"/>
      <c r="F496" s="5"/>
    </row>
    <row r="497">
      <c r="B497" s="18"/>
      <c r="F497" s="5"/>
    </row>
    <row r="498">
      <c r="B498" s="18"/>
      <c r="F498" s="5"/>
    </row>
    <row r="499">
      <c r="B499" s="18"/>
      <c r="F499" s="5"/>
    </row>
    <row r="500">
      <c r="B500" s="18"/>
      <c r="F500" s="5"/>
    </row>
    <row r="501">
      <c r="B501" s="18"/>
      <c r="F501" s="5"/>
    </row>
    <row r="502">
      <c r="B502" s="18"/>
      <c r="F502" s="5"/>
    </row>
    <row r="503">
      <c r="B503" s="18"/>
      <c r="F503" s="5"/>
    </row>
    <row r="504">
      <c r="B504" s="18"/>
      <c r="F504" s="5"/>
    </row>
    <row r="505">
      <c r="B505" s="18"/>
      <c r="F505" s="5"/>
    </row>
    <row r="506">
      <c r="B506" s="18"/>
      <c r="F506" s="5"/>
    </row>
    <row r="507">
      <c r="B507" s="18"/>
      <c r="F507" s="5"/>
    </row>
    <row r="508">
      <c r="B508" s="18"/>
      <c r="F508" s="5"/>
    </row>
    <row r="509">
      <c r="B509" s="18"/>
      <c r="F509" s="5"/>
    </row>
    <row r="510">
      <c r="B510" s="18"/>
      <c r="F510" s="5"/>
    </row>
    <row r="511">
      <c r="B511" s="18"/>
      <c r="F511" s="5"/>
    </row>
    <row r="512">
      <c r="B512" s="18"/>
      <c r="F512" s="5"/>
    </row>
    <row r="513">
      <c r="B513" s="18"/>
      <c r="F513" s="5"/>
    </row>
    <row r="514">
      <c r="B514" s="18"/>
      <c r="F514" s="5"/>
    </row>
    <row r="515">
      <c r="B515" s="18"/>
      <c r="F515" s="5"/>
    </row>
    <row r="516">
      <c r="B516" s="18"/>
      <c r="F516" s="5"/>
    </row>
    <row r="517">
      <c r="B517" s="18"/>
      <c r="F517" s="5"/>
    </row>
    <row r="518">
      <c r="B518" s="18"/>
      <c r="F518" s="5"/>
    </row>
    <row r="519">
      <c r="B519" s="18"/>
      <c r="F519" s="5"/>
    </row>
    <row r="520">
      <c r="B520" s="18"/>
      <c r="F520" s="5"/>
    </row>
    <row r="521">
      <c r="B521" s="18"/>
      <c r="F521" s="5"/>
    </row>
    <row r="522">
      <c r="B522" s="18"/>
      <c r="F522" s="5"/>
    </row>
    <row r="523">
      <c r="B523" s="18"/>
      <c r="F523" s="5"/>
    </row>
    <row r="524">
      <c r="B524" s="18"/>
      <c r="F524" s="5"/>
    </row>
    <row r="525">
      <c r="B525" s="18"/>
      <c r="F525" s="5"/>
    </row>
    <row r="526">
      <c r="B526" s="18"/>
      <c r="F526" s="5"/>
    </row>
    <row r="527">
      <c r="B527" s="18"/>
      <c r="F527" s="5"/>
    </row>
    <row r="528">
      <c r="B528" s="18"/>
      <c r="F528" s="5"/>
    </row>
    <row r="529">
      <c r="B529" s="18"/>
      <c r="F529" s="5"/>
    </row>
    <row r="530">
      <c r="B530" s="18"/>
      <c r="F530" s="5"/>
    </row>
    <row r="531">
      <c r="B531" s="18"/>
      <c r="F531" s="5"/>
    </row>
    <row r="532">
      <c r="B532" s="18"/>
      <c r="F532" s="5"/>
    </row>
    <row r="533">
      <c r="B533" s="18"/>
      <c r="F533" s="5"/>
    </row>
    <row r="534">
      <c r="B534" s="18"/>
      <c r="F534" s="5"/>
    </row>
    <row r="535">
      <c r="B535" s="18"/>
      <c r="F535" s="5"/>
    </row>
    <row r="536">
      <c r="B536" s="18"/>
      <c r="F536" s="5"/>
    </row>
    <row r="537">
      <c r="B537" s="18"/>
      <c r="F537" s="5"/>
    </row>
    <row r="538">
      <c r="B538" s="18"/>
      <c r="F538" s="5"/>
    </row>
    <row r="539">
      <c r="B539" s="18"/>
      <c r="F539" s="5"/>
    </row>
    <row r="540">
      <c r="B540" s="18"/>
      <c r="F540" s="5"/>
    </row>
    <row r="541">
      <c r="B541" s="18"/>
      <c r="F541" s="5"/>
    </row>
    <row r="542">
      <c r="B542" s="18"/>
      <c r="F542" s="5"/>
    </row>
    <row r="543">
      <c r="B543" s="18"/>
      <c r="F543" s="5"/>
    </row>
    <row r="544">
      <c r="B544" s="18"/>
      <c r="F544" s="5"/>
    </row>
    <row r="545">
      <c r="B545" s="18"/>
      <c r="F545" s="5"/>
    </row>
    <row r="546">
      <c r="B546" s="18"/>
      <c r="F546" s="5"/>
    </row>
    <row r="547">
      <c r="B547" s="18"/>
      <c r="F547" s="5"/>
    </row>
    <row r="548">
      <c r="B548" s="18"/>
      <c r="F548" s="5"/>
    </row>
    <row r="549">
      <c r="B549" s="18"/>
      <c r="F549" s="5"/>
    </row>
    <row r="550">
      <c r="B550" s="18"/>
      <c r="F550" s="5"/>
    </row>
    <row r="551">
      <c r="B551" s="18"/>
      <c r="F551" s="5"/>
    </row>
    <row r="552">
      <c r="B552" s="18"/>
      <c r="F552" s="5"/>
    </row>
    <row r="553">
      <c r="B553" s="18"/>
      <c r="F553" s="5"/>
    </row>
    <row r="554">
      <c r="B554" s="18"/>
      <c r="F554" s="5"/>
    </row>
    <row r="555">
      <c r="B555" s="18"/>
      <c r="F555" s="5"/>
    </row>
    <row r="556">
      <c r="B556" s="18"/>
      <c r="F556" s="5"/>
    </row>
    <row r="557">
      <c r="B557" s="18"/>
      <c r="F557" s="5"/>
    </row>
    <row r="558">
      <c r="B558" s="18"/>
      <c r="F558" s="5"/>
    </row>
    <row r="559">
      <c r="B559" s="18"/>
      <c r="F559" s="5"/>
    </row>
    <row r="560">
      <c r="B560" s="18"/>
      <c r="F560" s="5"/>
    </row>
    <row r="561">
      <c r="B561" s="18"/>
      <c r="F561" s="5"/>
    </row>
    <row r="562">
      <c r="B562" s="18"/>
      <c r="F562" s="5"/>
    </row>
    <row r="563">
      <c r="B563" s="18"/>
      <c r="F563" s="5"/>
    </row>
    <row r="564">
      <c r="B564" s="18"/>
      <c r="F564" s="5"/>
    </row>
    <row r="565">
      <c r="B565" s="18"/>
      <c r="F565" s="5"/>
    </row>
    <row r="566">
      <c r="B566" s="18"/>
      <c r="F566" s="5"/>
    </row>
    <row r="567">
      <c r="B567" s="18"/>
      <c r="F567" s="5"/>
    </row>
    <row r="568">
      <c r="B568" s="18"/>
      <c r="F568" s="5"/>
    </row>
    <row r="569">
      <c r="B569" s="18"/>
      <c r="F569" s="5"/>
    </row>
    <row r="570">
      <c r="B570" s="18"/>
      <c r="F570" s="5"/>
    </row>
    <row r="571">
      <c r="B571" s="18"/>
      <c r="F571" s="5"/>
    </row>
    <row r="572">
      <c r="B572" s="18"/>
      <c r="F572" s="5"/>
    </row>
    <row r="573">
      <c r="B573" s="18"/>
      <c r="F573" s="5"/>
    </row>
    <row r="574">
      <c r="B574" s="18"/>
      <c r="F574" s="5"/>
    </row>
    <row r="575">
      <c r="B575" s="18"/>
      <c r="F575" s="5"/>
    </row>
    <row r="576">
      <c r="B576" s="18"/>
      <c r="F576" s="5"/>
    </row>
    <row r="577">
      <c r="B577" s="18"/>
      <c r="F577" s="5"/>
    </row>
    <row r="578">
      <c r="B578" s="18"/>
      <c r="F578" s="5"/>
    </row>
    <row r="579">
      <c r="B579" s="18"/>
      <c r="F579" s="5"/>
    </row>
    <row r="580">
      <c r="B580" s="18"/>
      <c r="F580" s="5"/>
    </row>
    <row r="581">
      <c r="B581" s="18"/>
      <c r="F581" s="5"/>
    </row>
    <row r="582">
      <c r="B582" s="18"/>
      <c r="F582" s="5"/>
    </row>
    <row r="583">
      <c r="B583" s="18"/>
      <c r="F583" s="5"/>
    </row>
    <row r="584">
      <c r="B584" s="18"/>
      <c r="F584" s="5"/>
    </row>
    <row r="585">
      <c r="B585" s="18"/>
      <c r="F585" s="5"/>
    </row>
    <row r="586">
      <c r="B586" s="18"/>
      <c r="F586" s="5"/>
    </row>
    <row r="587">
      <c r="B587" s="18"/>
      <c r="F587" s="5"/>
    </row>
    <row r="588">
      <c r="B588" s="18"/>
      <c r="F588" s="5"/>
    </row>
    <row r="589">
      <c r="B589" s="18"/>
      <c r="F589" s="5"/>
    </row>
    <row r="590">
      <c r="B590" s="18"/>
      <c r="F590" s="5"/>
    </row>
    <row r="591">
      <c r="B591" s="18"/>
      <c r="F591" s="5"/>
    </row>
    <row r="592">
      <c r="B592" s="18"/>
      <c r="F592" s="5"/>
    </row>
    <row r="593">
      <c r="B593" s="18"/>
      <c r="F593" s="5"/>
    </row>
    <row r="594">
      <c r="B594" s="18"/>
      <c r="F594" s="5"/>
    </row>
    <row r="595">
      <c r="B595" s="18"/>
      <c r="F595" s="5"/>
    </row>
    <row r="596">
      <c r="B596" s="18"/>
      <c r="F596" s="5"/>
    </row>
    <row r="597">
      <c r="B597" s="18"/>
      <c r="F597" s="5"/>
    </row>
    <row r="598">
      <c r="B598" s="18"/>
      <c r="F598" s="5"/>
    </row>
    <row r="599">
      <c r="B599" s="18"/>
      <c r="F599" s="5"/>
    </row>
    <row r="600">
      <c r="B600" s="18"/>
      <c r="F600" s="5"/>
    </row>
    <row r="601">
      <c r="B601" s="18"/>
      <c r="F601" s="5"/>
    </row>
    <row r="602">
      <c r="B602" s="18"/>
      <c r="F602" s="5"/>
    </row>
    <row r="603">
      <c r="B603" s="18"/>
      <c r="F603" s="5"/>
    </row>
    <row r="604">
      <c r="B604" s="18"/>
      <c r="F604" s="5"/>
    </row>
    <row r="605">
      <c r="B605" s="18"/>
      <c r="F605" s="5"/>
    </row>
    <row r="606">
      <c r="B606" s="18"/>
      <c r="F606" s="5"/>
    </row>
    <row r="607">
      <c r="B607" s="18"/>
      <c r="F607" s="5"/>
    </row>
    <row r="608">
      <c r="B608" s="18"/>
      <c r="F608" s="5"/>
    </row>
    <row r="609">
      <c r="B609" s="18"/>
      <c r="F609" s="5"/>
    </row>
    <row r="610">
      <c r="B610" s="18"/>
      <c r="F610" s="5"/>
    </row>
    <row r="611">
      <c r="B611" s="18"/>
      <c r="F611" s="5"/>
    </row>
    <row r="612">
      <c r="B612" s="18"/>
      <c r="F612" s="5"/>
    </row>
    <row r="613">
      <c r="B613" s="18"/>
      <c r="F613" s="5"/>
    </row>
    <row r="614">
      <c r="B614" s="18"/>
      <c r="F614" s="5"/>
    </row>
    <row r="615">
      <c r="B615" s="18"/>
      <c r="F615" s="5"/>
    </row>
    <row r="616">
      <c r="B616" s="18"/>
      <c r="F616" s="5"/>
    </row>
    <row r="617">
      <c r="B617" s="18"/>
      <c r="F617" s="5"/>
    </row>
    <row r="618">
      <c r="B618" s="18"/>
      <c r="F618" s="5"/>
    </row>
    <row r="619">
      <c r="B619" s="18"/>
      <c r="F619" s="5"/>
    </row>
    <row r="620">
      <c r="B620" s="18"/>
      <c r="F620" s="5"/>
    </row>
    <row r="621">
      <c r="B621" s="18"/>
      <c r="F621" s="5"/>
    </row>
    <row r="622">
      <c r="B622" s="18"/>
      <c r="F622" s="5"/>
    </row>
    <row r="623">
      <c r="B623" s="18"/>
      <c r="F623" s="5"/>
    </row>
    <row r="624">
      <c r="B624" s="18"/>
      <c r="F624" s="5"/>
    </row>
    <row r="625">
      <c r="B625" s="18"/>
      <c r="F625" s="5"/>
    </row>
    <row r="626">
      <c r="B626" s="18"/>
      <c r="F626" s="5"/>
    </row>
    <row r="627">
      <c r="B627" s="18"/>
      <c r="F627" s="5"/>
    </row>
    <row r="628">
      <c r="B628" s="18"/>
      <c r="F628" s="5"/>
    </row>
    <row r="629">
      <c r="B629" s="18"/>
      <c r="F629" s="5"/>
    </row>
    <row r="630">
      <c r="B630" s="18"/>
      <c r="F630" s="5"/>
    </row>
    <row r="631">
      <c r="B631" s="18"/>
      <c r="F631" s="5"/>
    </row>
    <row r="632">
      <c r="B632" s="18"/>
      <c r="F632" s="5"/>
    </row>
    <row r="633">
      <c r="B633" s="18"/>
      <c r="F633" s="5"/>
    </row>
    <row r="634">
      <c r="B634" s="18"/>
      <c r="F634" s="5"/>
    </row>
    <row r="635">
      <c r="B635" s="18"/>
      <c r="F635" s="5"/>
    </row>
    <row r="636">
      <c r="B636" s="18"/>
      <c r="F636" s="5"/>
    </row>
    <row r="637">
      <c r="B637" s="18"/>
      <c r="F637" s="5"/>
    </row>
    <row r="638">
      <c r="B638" s="18"/>
      <c r="F638" s="5"/>
    </row>
    <row r="639">
      <c r="B639" s="18"/>
      <c r="F639" s="5"/>
    </row>
    <row r="640">
      <c r="B640" s="18"/>
      <c r="F640" s="5"/>
    </row>
    <row r="641">
      <c r="B641" s="18"/>
      <c r="F641" s="5"/>
    </row>
    <row r="642">
      <c r="B642" s="18"/>
      <c r="F642" s="5"/>
    </row>
    <row r="643">
      <c r="B643" s="18"/>
      <c r="F643" s="5"/>
    </row>
    <row r="644">
      <c r="B644" s="18"/>
      <c r="F644" s="5"/>
    </row>
    <row r="645">
      <c r="B645" s="18"/>
      <c r="F645" s="5"/>
    </row>
    <row r="646">
      <c r="B646" s="18"/>
      <c r="F646" s="5"/>
    </row>
    <row r="647">
      <c r="B647" s="18"/>
      <c r="F647" s="5"/>
    </row>
    <row r="648">
      <c r="B648" s="18"/>
      <c r="F648" s="5"/>
    </row>
    <row r="649">
      <c r="B649" s="18"/>
      <c r="F649" s="5"/>
    </row>
    <row r="650">
      <c r="B650" s="18"/>
      <c r="F650" s="5"/>
    </row>
    <row r="651">
      <c r="B651" s="18"/>
      <c r="F651" s="5"/>
    </row>
    <row r="652">
      <c r="B652" s="18"/>
      <c r="F652" s="5"/>
    </row>
    <row r="653">
      <c r="B653" s="18"/>
      <c r="F653" s="5"/>
    </row>
    <row r="654">
      <c r="B654" s="18"/>
      <c r="F654" s="5"/>
    </row>
    <row r="655">
      <c r="B655" s="18"/>
      <c r="F655" s="5"/>
    </row>
    <row r="656">
      <c r="B656" s="18"/>
      <c r="F656" s="5"/>
    </row>
    <row r="657">
      <c r="B657" s="18"/>
      <c r="F657" s="5"/>
    </row>
    <row r="658">
      <c r="B658" s="18"/>
      <c r="F658" s="5"/>
    </row>
    <row r="659">
      <c r="B659" s="18"/>
      <c r="F659" s="5"/>
    </row>
    <row r="660">
      <c r="B660" s="18"/>
      <c r="F660" s="5"/>
    </row>
    <row r="661">
      <c r="B661" s="18"/>
      <c r="F661" s="5"/>
    </row>
    <row r="662">
      <c r="B662" s="18"/>
      <c r="F662" s="5"/>
    </row>
    <row r="663">
      <c r="B663" s="18"/>
      <c r="F663" s="5"/>
    </row>
    <row r="664">
      <c r="B664" s="18"/>
      <c r="F664" s="5"/>
    </row>
    <row r="665">
      <c r="B665" s="18"/>
      <c r="F665" s="5"/>
    </row>
    <row r="666">
      <c r="B666" s="18"/>
      <c r="F666" s="5"/>
    </row>
    <row r="667">
      <c r="B667" s="18"/>
      <c r="F667" s="5"/>
    </row>
    <row r="668">
      <c r="B668" s="18"/>
      <c r="F668" s="5"/>
    </row>
    <row r="669">
      <c r="B669" s="18"/>
      <c r="F669" s="5"/>
    </row>
    <row r="670">
      <c r="B670" s="18"/>
      <c r="F670" s="5"/>
    </row>
    <row r="671">
      <c r="B671" s="18"/>
      <c r="F671" s="5"/>
    </row>
    <row r="672">
      <c r="B672" s="18"/>
      <c r="F672" s="5"/>
    </row>
    <row r="673">
      <c r="B673" s="18"/>
      <c r="F673" s="5"/>
    </row>
    <row r="674">
      <c r="B674" s="18"/>
      <c r="F674" s="5"/>
    </row>
    <row r="675">
      <c r="B675" s="18"/>
      <c r="F675" s="5"/>
    </row>
    <row r="676">
      <c r="B676" s="18"/>
      <c r="F676" s="5"/>
    </row>
    <row r="677">
      <c r="B677" s="18"/>
      <c r="F677" s="5"/>
    </row>
    <row r="678">
      <c r="B678" s="18"/>
      <c r="F678" s="5"/>
    </row>
    <row r="679">
      <c r="B679" s="18"/>
      <c r="F679" s="5"/>
    </row>
    <row r="680">
      <c r="B680" s="18"/>
      <c r="F680" s="5"/>
    </row>
    <row r="681">
      <c r="B681" s="18"/>
      <c r="F681" s="5"/>
    </row>
    <row r="682">
      <c r="B682" s="18"/>
      <c r="F682" s="5"/>
    </row>
    <row r="683">
      <c r="B683" s="18"/>
      <c r="F683" s="5"/>
    </row>
    <row r="684">
      <c r="B684" s="18"/>
      <c r="F684" s="5"/>
    </row>
    <row r="685">
      <c r="B685" s="18"/>
      <c r="F685" s="5"/>
    </row>
    <row r="686">
      <c r="B686" s="18"/>
      <c r="F686" s="5"/>
    </row>
    <row r="687">
      <c r="B687" s="18"/>
      <c r="F687" s="5"/>
    </row>
    <row r="688">
      <c r="B688" s="18"/>
      <c r="F688" s="5"/>
    </row>
    <row r="689">
      <c r="B689" s="18"/>
      <c r="F689" s="5"/>
    </row>
    <row r="690">
      <c r="B690" s="18"/>
      <c r="F690" s="5"/>
    </row>
    <row r="691">
      <c r="B691" s="18"/>
      <c r="F691" s="5"/>
    </row>
    <row r="692">
      <c r="B692" s="18"/>
      <c r="F692" s="5"/>
    </row>
    <row r="693">
      <c r="B693" s="18"/>
      <c r="F693" s="5"/>
    </row>
    <row r="694">
      <c r="B694" s="18"/>
      <c r="F694" s="5"/>
    </row>
    <row r="695">
      <c r="B695" s="18"/>
      <c r="F695" s="5"/>
    </row>
    <row r="696">
      <c r="B696" s="18"/>
      <c r="F696" s="5"/>
    </row>
    <row r="697">
      <c r="B697" s="18"/>
      <c r="F697" s="5"/>
    </row>
    <row r="698">
      <c r="B698" s="18"/>
      <c r="F698" s="5"/>
    </row>
    <row r="699">
      <c r="B699" s="18"/>
      <c r="F699" s="5"/>
    </row>
    <row r="700">
      <c r="B700" s="18"/>
      <c r="F700" s="5"/>
    </row>
    <row r="701">
      <c r="B701" s="18"/>
      <c r="F701" s="5"/>
    </row>
    <row r="702">
      <c r="B702" s="18"/>
      <c r="F702" s="5"/>
    </row>
    <row r="703">
      <c r="B703" s="18"/>
      <c r="F703" s="5"/>
    </row>
    <row r="704">
      <c r="B704" s="18"/>
      <c r="F704" s="5"/>
    </row>
    <row r="705">
      <c r="B705" s="18"/>
      <c r="F705" s="5"/>
    </row>
    <row r="706">
      <c r="B706" s="18"/>
      <c r="F706" s="5"/>
    </row>
    <row r="707">
      <c r="B707" s="18"/>
      <c r="F707" s="5"/>
    </row>
    <row r="708">
      <c r="B708" s="18"/>
      <c r="F708" s="5"/>
    </row>
    <row r="709">
      <c r="B709" s="18"/>
      <c r="F709" s="5"/>
    </row>
    <row r="710">
      <c r="B710" s="18"/>
      <c r="F710" s="5"/>
    </row>
    <row r="711">
      <c r="B711" s="18"/>
      <c r="F711" s="5"/>
    </row>
    <row r="712">
      <c r="B712" s="18"/>
      <c r="F712" s="5"/>
    </row>
    <row r="713">
      <c r="B713" s="18"/>
      <c r="F713" s="5"/>
    </row>
    <row r="714">
      <c r="B714" s="18"/>
      <c r="F714" s="5"/>
    </row>
    <row r="715">
      <c r="B715" s="18"/>
      <c r="F715" s="5"/>
    </row>
    <row r="716">
      <c r="B716" s="18"/>
      <c r="F716" s="5"/>
    </row>
    <row r="717">
      <c r="B717" s="18"/>
      <c r="F717" s="5"/>
    </row>
    <row r="718">
      <c r="B718" s="18"/>
      <c r="F718" s="5"/>
    </row>
    <row r="719">
      <c r="B719" s="18"/>
      <c r="F719" s="5"/>
    </row>
    <row r="720">
      <c r="B720" s="18"/>
      <c r="F720" s="5"/>
    </row>
    <row r="721">
      <c r="B721" s="18"/>
      <c r="F721" s="5"/>
    </row>
    <row r="722">
      <c r="B722" s="18"/>
      <c r="F722" s="5"/>
    </row>
    <row r="723">
      <c r="B723" s="18"/>
      <c r="F723" s="5"/>
    </row>
    <row r="724">
      <c r="B724" s="18"/>
      <c r="F724" s="5"/>
    </row>
    <row r="725">
      <c r="B725" s="18"/>
      <c r="F725" s="5"/>
    </row>
    <row r="726">
      <c r="B726" s="18"/>
      <c r="F726" s="5"/>
    </row>
    <row r="727">
      <c r="B727" s="18"/>
      <c r="F727" s="5"/>
    </row>
    <row r="728">
      <c r="B728" s="18"/>
      <c r="F728" s="5"/>
    </row>
    <row r="729">
      <c r="B729" s="18"/>
      <c r="F729" s="5"/>
    </row>
    <row r="730">
      <c r="B730" s="18"/>
      <c r="F730" s="5"/>
    </row>
    <row r="731">
      <c r="B731" s="18"/>
      <c r="F731" s="5"/>
    </row>
    <row r="732">
      <c r="B732" s="18"/>
      <c r="F732" s="5"/>
    </row>
    <row r="733">
      <c r="B733" s="18"/>
      <c r="F733" s="5"/>
    </row>
    <row r="734">
      <c r="B734" s="18"/>
      <c r="F734" s="5"/>
    </row>
    <row r="735">
      <c r="B735" s="18"/>
      <c r="F735" s="5"/>
    </row>
    <row r="736">
      <c r="B736" s="18"/>
      <c r="F736" s="5"/>
    </row>
    <row r="737">
      <c r="B737" s="18"/>
      <c r="F737" s="5"/>
    </row>
    <row r="738">
      <c r="B738" s="18"/>
      <c r="F738" s="5"/>
    </row>
    <row r="739">
      <c r="B739" s="18"/>
      <c r="F739" s="5"/>
    </row>
    <row r="740">
      <c r="B740" s="18"/>
      <c r="F740" s="5"/>
    </row>
    <row r="741">
      <c r="B741" s="18"/>
      <c r="F741" s="5"/>
    </row>
    <row r="742">
      <c r="B742" s="18"/>
      <c r="F742" s="5"/>
    </row>
    <row r="743">
      <c r="B743" s="18"/>
      <c r="F743" s="5"/>
    </row>
    <row r="744">
      <c r="B744" s="18"/>
      <c r="F744" s="5"/>
    </row>
    <row r="745">
      <c r="B745" s="18"/>
      <c r="F745" s="5"/>
    </row>
    <row r="746">
      <c r="B746" s="18"/>
      <c r="F746" s="5"/>
    </row>
    <row r="747">
      <c r="B747" s="18"/>
      <c r="F747" s="5"/>
    </row>
    <row r="748">
      <c r="B748" s="18"/>
      <c r="F748" s="5"/>
    </row>
    <row r="749">
      <c r="B749" s="18"/>
      <c r="F749" s="5"/>
    </row>
    <row r="750">
      <c r="B750" s="18"/>
      <c r="F750" s="5"/>
    </row>
    <row r="751">
      <c r="B751" s="18"/>
      <c r="F751" s="5"/>
    </row>
    <row r="752">
      <c r="B752" s="18"/>
      <c r="F752" s="5"/>
    </row>
    <row r="753">
      <c r="B753" s="18"/>
      <c r="F753" s="5"/>
    </row>
    <row r="754">
      <c r="B754" s="18"/>
      <c r="F754" s="5"/>
    </row>
    <row r="755">
      <c r="B755" s="18"/>
      <c r="F755" s="5"/>
    </row>
    <row r="756">
      <c r="B756" s="18"/>
      <c r="F756" s="5"/>
    </row>
    <row r="757">
      <c r="B757" s="18"/>
      <c r="F757" s="5"/>
    </row>
    <row r="758">
      <c r="B758" s="18"/>
      <c r="F758" s="5"/>
    </row>
    <row r="759">
      <c r="B759" s="18"/>
      <c r="F759" s="5"/>
    </row>
    <row r="760">
      <c r="B760" s="18"/>
      <c r="F760" s="5"/>
    </row>
    <row r="761">
      <c r="B761" s="18"/>
      <c r="F761" s="5"/>
    </row>
    <row r="762">
      <c r="B762" s="18"/>
      <c r="F762" s="5"/>
    </row>
    <row r="763">
      <c r="B763" s="18"/>
      <c r="F763" s="5"/>
    </row>
    <row r="764">
      <c r="B764" s="18"/>
      <c r="F764" s="5"/>
    </row>
    <row r="765">
      <c r="B765" s="18"/>
      <c r="F765" s="5"/>
    </row>
    <row r="766">
      <c r="B766" s="18"/>
      <c r="F766" s="5"/>
    </row>
    <row r="767">
      <c r="B767" s="18"/>
      <c r="F767" s="5"/>
    </row>
    <row r="768">
      <c r="B768" s="18"/>
      <c r="F768" s="5"/>
    </row>
    <row r="769">
      <c r="B769" s="18"/>
      <c r="F769" s="5"/>
    </row>
    <row r="770">
      <c r="B770" s="18"/>
      <c r="F770" s="5"/>
    </row>
    <row r="771">
      <c r="B771" s="18"/>
      <c r="F771" s="5"/>
    </row>
    <row r="772">
      <c r="B772" s="18"/>
      <c r="F772" s="5"/>
    </row>
    <row r="773">
      <c r="B773" s="18"/>
      <c r="F773" s="5"/>
    </row>
    <row r="774">
      <c r="B774" s="18"/>
      <c r="F774" s="5"/>
    </row>
    <row r="775">
      <c r="B775" s="18"/>
      <c r="F775" s="5"/>
    </row>
    <row r="776">
      <c r="B776" s="18"/>
      <c r="F776" s="5"/>
    </row>
    <row r="777">
      <c r="B777" s="18"/>
      <c r="F777" s="5"/>
    </row>
    <row r="778">
      <c r="B778" s="18"/>
      <c r="F778" s="5"/>
    </row>
    <row r="779">
      <c r="B779" s="18"/>
      <c r="F779" s="5"/>
    </row>
    <row r="780">
      <c r="B780" s="18"/>
      <c r="F780" s="5"/>
    </row>
    <row r="781">
      <c r="B781" s="18"/>
      <c r="F781" s="5"/>
    </row>
    <row r="782">
      <c r="B782" s="18"/>
      <c r="F782" s="5"/>
    </row>
    <row r="783">
      <c r="B783" s="18"/>
      <c r="F783" s="5"/>
    </row>
    <row r="784">
      <c r="B784" s="18"/>
      <c r="F784" s="5"/>
    </row>
    <row r="785">
      <c r="B785" s="18"/>
      <c r="F785" s="5"/>
    </row>
    <row r="786">
      <c r="B786" s="18"/>
      <c r="F786" s="5"/>
    </row>
    <row r="787">
      <c r="B787" s="18"/>
      <c r="F787" s="5"/>
    </row>
    <row r="788">
      <c r="B788" s="18"/>
      <c r="F788" s="5"/>
    </row>
    <row r="789">
      <c r="B789" s="18"/>
      <c r="F789" s="5"/>
    </row>
    <row r="790">
      <c r="B790" s="18"/>
      <c r="F790" s="5"/>
    </row>
    <row r="791">
      <c r="B791" s="18"/>
      <c r="F791" s="5"/>
    </row>
    <row r="792">
      <c r="B792" s="18"/>
      <c r="F792" s="5"/>
    </row>
    <row r="793">
      <c r="B793" s="18"/>
      <c r="F793" s="5"/>
    </row>
    <row r="794">
      <c r="B794" s="18"/>
      <c r="F794" s="5"/>
    </row>
    <row r="795">
      <c r="B795" s="18"/>
      <c r="F795" s="5"/>
    </row>
    <row r="796">
      <c r="B796" s="18"/>
      <c r="F796" s="5"/>
    </row>
    <row r="797">
      <c r="B797" s="18"/>
      <c r="F797" s="5"/>
    </row>
    <row r="798">
      <c r="B798" s="18"/>
      <c r="F798" s="5"/>
    </row>
    <row r="799">
      <c r="B799" s="18"/>
      <c r="F799" s="5"/>
    </row>
    <row r="800">
      <c r="B800" s="18"/>
      <c r="F800" s="5"/>
    </row>
    <row r="801">
      <c r="B801" s="18"/>
      <c r="F801" s="5"/>
    </row>
    <row r="802">
      <c r="B802" s="18"/>
      <c r="F802" s="5"/>
    </row>
    <row r="803">
      <c r="B803" s="18"/>
      <c r="F803" s="5"/>
    </row>
    <row r="804">
      <c r="B804" s="18"/>
      <c r="F804" s="5"/>
    </row>
    <row r="805">
      <c r="B805" s="18"/>
      <c r="F805" s="5"/>
    </row>
    <row r="806">
      <c r="B806" s="18"/>
      <c r="F806" s="5"/>
    </row>
    <row r="807">
      <c r="B807" s="18"/>
      <c r="F807" s="5"/>
    </row>
    <row r="808">
      <c r="B808" s="18"/>
      <c r="F808" s="5"/>
    </row>
    <row r="809">
      <c r="B809" s="18"/>
      <c r="F809" s="5"/>
    </row>
    <row r="810">
      <c r="B810" s="18"/>
      <c r="F810" s="5"/>
    </row>
    <row r="811">
      <c r="B811" s="18"/>
      <c r="F811" s="5"/>
    </row>
    <row r="812">
      <c r="B812" s="18"/>
      <c r="F812" s="5"/>
    </row>
    <row r="813">
      <c r="B813" s="18"/>
      <c r="F813" s="5"/>
    </row>
    <row r="814">
      <c r="B814" s="18"/>
      <c r="F814" s="5"/>
    </row>
    <row r="815">
      <c r="B815" s="18"/>
      <c r="F815" s="5"/>
    </row>
    <row r="816">
      <c r="B816" s="18"/>
      <c r="F816" s="5"/>
    </row>
    <row r="817">
      <c r="B817" s="18"/>
      <c r="F817" s="5"/>
    </row>
    <row r="818">
      <c r="B818" s="18"/>
      <c r="F818" s="5"/>
    </row>
    <row r="819">
      <c r="B819" s="18"/>
      <c r="F819" s="5"/>
    </row>
    <row r="820">
      <c r="B820" s="18"/>
      <c r="F820" s="5"/>
    </row>
    <row r="821">
      <c r="B821" s="18"/>
      <c r="F821" s="5"/>
    </row>
    <row r="822">
      <c r="B822" s="18"/>
      <c r="F822" s="5"/>
    </row>
    <row r="823">
      <c r="B823" s="18"/>
      <c r="F823" s="5"/>
    </row>
    <row r="824">
      <c r="B824" s="18"/>
      <c r="F824" s="5"/>
    </row>
    <row r="825">
      <c r="B825" s="18"/>
      <c r="F825" s="5"/>
    </row>
    <row r="826">
      <c r="B826" s="18"/>
      <c r="F826" s="5"/>
    </row>
    <row r="827">
      <c r="B827" s="18"/>
      <c r="F827" s="5"/>
    </row>
    <row r="828">
      <c r="B828" s="18"/>
      <c r="F828" s="5"/>
    </row>
    <row r="829">
      <c r="B829" s="18"/>
      <c r="F829" s="5"/>
    </row>
    <row r="830">
      <c r="B830" s="18"/>
      <c r="F830" s="5"/>
    </row>
    <row r="831">
      <c r="B831" s="18"/>
      <c r="F831" s="5"/>
    </row>
    <row r="832">
      <c r="B832" s="18"/>
      <c r="F832" s="5"/>
    </row>
    <row r="833">
      <c r="B833" s="18"/>
      <c r="F833" s="5"/>
    </row>
    <row r="834">
      <c r="B834" s="18"/>
      <c r="F834" s="5"/>
    </row>
    <row r="835">
      <c r="B835" s="18"/>
      <c r="F835" s="5"/>
    </row>
    <row r="836">
      <c r="B836" s="18"/>
      <c r="F836" s="5"/>
    </row>
    <row r="837">
      <c r="B837" s="18"/>
      <c r="F837" s="5"/>
    </row>
    <row r="838">
      <c r="B838" s="18"/>
      <c r="F838" s="5"/>
    </row>
    <row r="839">
      <c r="B839" s="18"/>
      <c r="F839" s="5"/>
    </row>
    <row r="840">
      <c r="B840" s="18"/>
      <c r="F840" s="5"/>
    </row>
    <row r="841">
      <c r="B841" s="18"/>
      <c r="F841" s="5"/>
    </row>
    <row r="842">
      <c r="B842" s="18"/>
      <c r="F842" s="5"/>
    </row>
    <row r="843">
      <c r="B843" s="18"/>
      <c r="F843" s="5"/>
    </row>
    <row r="844">
      <c r="B844" s="18"/>
      <c r="F844" s="5"/>
    </row>
    <row r="845">
      <c r="B845" s="18"/>
      <c r="F845" s="5"/>
    </row>
    <row r="846">
      <c r="B846" s="18"/>
      <c r="F846" s="5"/>
    </row>
    <row r="847">
      <c r="B847" s="18"/>
      <c r="F847" s="5"/>
    </row>
    <row r="848">
      <c r="B848" s="18"/>
      <c r="F848" s="5"/>
    </row>
    <row r="849">
      <c r="B849" s="18"/>
      <c r="F849" s="5"/>
    </row>
    <row r="850">
      <c r="B850" s="18"/>
      <c r="F850" s="5"/>
    </row>
    <row r="851">
      <c r="B851" s="18"/>
      <c r="F851" s="5"/>
    </row>
    <row r="852">
      <c r="B852" s="18"/>
      <c r="F852" s="5"/>
    </row>
    <row r="853">
      <c r="B853" s="18"/>
      <c r="F853" s="5"/>
    </row>
    <row r="854">
      <c r="B854" s="18"/>
      <c r="F854" s="5"/>
    </row>
    <row r="855">
      <c r="B855" s="18"/>
      <c r="F855" s="5"/>
    </row>
    <row r="856">
      <c r="B856" s="18"/>
      <c r="F856" s="5"/>
    </row>
    <row r="857">
      <c r="B857" s="18"/>
      <c r="F857" s="5"/>
    </row>
    <row r="858">
      <c r="B858" s="18"/>
      <c r="F858" s="5"/>
    </row>
    <row r="859">
      <c r="B859" s="18"/>
      <c r="F859" s="5"/>
    </row>
    <row r="860">
      <c r="B860" s="18"/>
      <c r="F860" s="5"/>
    </row>
    <row r="861">
      <c r="B861" s="18"/>
      <c r="F861" s="5"/>
    </row>
    <row r="862">
      <c r="B862" s="18"/>
      <c r="F862" s="5"/>
    </row>
    <row r="863">
      <c r="B863" s="18"/>
      <c r="F863" s="5"/>
    </row>
    <row r="864">
      <c r="B864" s="18"/>
      <c r="F864" s="5"/>
    </row>
    <row r="865">
      <c r="B865" s="18"/>
      <c r="F865" s="5"/>
    </row>
    <row r="866">
      <c r="B866" s="18"/>
      <c r="F866" s="5"/>
    </row>
    <row r="867">
      <c r="B867" s="18"/>
      <c r="F867" s="5"/>
    </row>
    <row r="868">
      <c r="B868" s="18"/>
      <c r="F868" s="5"/>
    </row>
    <row r="869">
      <c r="B869" s="18"/>
      <c r="F869" s="5"/>
    </row>
    <row r="870">
      <c r="B870" s="18"/>
      <c r="F870" s="5"/>
    </row>
    <row r="871">
      <c r="B871" s="18"/>
      <c r="F871" s="5"/>
    </row>
    <row r="872">
      <c r="B872" s="18"/>
      <c r="F872" s="5"/>
    </row>
    <row r="873">
      <c r="B873" s="18"/>
      <c r="F873" s="5"/>
    </row>
    <row r="874">
      <c r="B874" s="18"/>
      <c r="F874" s="5"/>
    </row>
    <row r="875">
      <c r="B875" s="18"/>
      <c r="F875" s="5"/>
    </row>
    <row r="876">
      <c r="B876" s="18"/>
      <c r="F876" s="5"/>
    </row>
    <row r="877">
      <c r="B877" s="18"/>
      <c r="F877" s="5"/>
    </row>
    <row r="878">
      <c r="B878" s="18"/>
      <c r="F878" s="5"/>
    </row>
    <row r="879">
      <c r="B879" s="18"/>
      <c r="F879" s="5"/>
    </row>
    <row r="880">
      <c r="B880" s="18"/>
      <c r="F880" s="5"/>
    </row>
    <row r="881">
      <c r="B881" s="18"/>
      <c r="F881" s="5"/>
    </row>
    <row r="882">
      <c r="B882" s="18"/>
      <c r="F882" s="5"/>
    </row>
    <row r="883">
      <c r="B883" s="18"/>
      <c r="F883" s="5"/>
    </row>
    <row r="884">
      <c r="B884" s="18"/>
      <c r="F884" s="5"/>
    </row>
    <row r="885">
      <c r="B885" s="18"/>
      <c r="F885" s="5"/>
    </row>
    <row r="886">
      <c r="B886" s="18"/>
      <c r="F886" s="5"/>
    </row>
    <row r="887">
      <c r="B887" s="18"/>
      <c r="F887" s="5"/>
    </row>
    <row r="888">
      <c r="B888" s="18"/>
      <c r="F888" s="5"/>
    </row>
    <row r="889">
      <c r="B889" s="18"/>
      <c r="F889" s="5"/>
    </row>
    <row r="890">
      <c r="B890" s="18"/>
      <c r="F890" s="5"/>
    </row>
    <row r="891">
      <c r="B891" s="18"/>
      <c r="F891" s="5"/>
    </row>
    <row r="892">
      <c r="B892" s="18"/>
      <c r="F892" s="5"/>
    </row>
    <row r="893">
      <c r="B893" s="18"/>
      <c r="F893" s="5"/>
    </row>
    <row r="894">
      <c r="B894" s="18"/>
      <c r="F894" s="5"/>
    </row>
    <row r="895">
      <c r="B895" s="18"/>
      <c r="F895" s="5"/>
    </row>
    <row r="896">
      <c r="B896" s="18"/>
      <c r="F896" s="5"/>
    </row>
    <row r="897">
      <c r="B897" s="18"/>
      <c r="F897" s="5"/>
    </row>
    <row r="898">
      <c r="B898" s="18"/>
      <c r="F898" s="5"/>
    </row>
    <row r="899">
      <c r="B899" s="18"/>
      <c r="F899" s="5"/>
    </row>
    <row r="900">
      <c r="B900" s="18"/>
      <c r="F900" s="5"/>
    </row>
    <row r="901">
      <c r="B901" s="18"/>
      <c r="F901" s="5"/>
    </row>
    <row r="902">
      <c r="B902" s="18"/>
      <c r="F902" s="5"/>
    </row>
    <row r="903">
      <c r="B903" s="18"/>
      <c r="F903" s="5"/>
    </row>
    <row r="904">
      <c r="B904" s="18"/>
      <c r="F904" s="5"/>
    </row>
    <row r="905">
      <c r="B905" s="18"/>
      <c r="F905" s="5"/>
    </row>
    <row r="906">
      <c r="B906" s="18"/>
      <c r="F906" s="5"/>
    </row>
    <row r="907">
      <c r="B907" s="18"/>
      <c r="F907" s="5"/>
    </row>
    <row r="908">
      <c r="B908" s="18"/>
      <c r="F908" s="5"/>
    </row>
    <row r="909">
      <c r="B909" s="18"/>
      <c r="F909" s="5"/>
    </row>
    <row r="910">
      <c r="B910" s="18"/>
      <c r="F910" s="5"/>
    </row>
    <row r="911">
      <c r="B911" s="18"/>
      <c r="F911" s="5"/>
    </row>
    <row r="912">
      <c r="B912" s="18"/>
      <c r="F912" s="5"/>
    </row>
    <row r="913">
      <c r="B913" s="18"/>
      <c r="F913" s="5"/>
    </row>
    <row r="914">
      <c r="B914" s="18"/>
      <c r="F914" s="5"/>
    </row>
    <row r="915">
      <c r="B915" s="18"/>
      <c r="F915" s="5"/>
    </row>
    <row r="916">
      <c r="B916" s="18"/>
      <c r="F916" s="5"/>
    </row>
    <row r="917">
      <c r="B917" s="18"/>
      <c r="F917" s="5"/>
    </row>
    <row r="918">
      <c r="B918" s="18"/>
      <c r="F918" s="5"/>
    </row>
    <row r="919">
      <c r="B919" s="18"/>
      <c r="F919" s="5"/>
    </row>
    <row r="920">
      <c r="B920" s="18"/>
      <c r="F920" s="5"/>
    </row>
    <row r="921">
      <c r="B921" s="18"/>
      <c r="F921" s="5"/>
    </row>
    <row r="922">
      <c r="B922" s="18"/>
      <c r="F922" s="5"/>
    </row>
    <row r="923">
      <c r="B923" s="18"/>
      <c r="F923" s="5"/>
    </row>
    <row r="924">
      <c r="B924" s="18"/>
      <c r="F924" s="5"/>
    </row>
    <row r="925">
      <c r="B925" s="18"/>
      <c r="F925" s="5"/>
    </row>
    <row r="926">
      <c r="B926" s="18"/>
      <c r="F926" s="5"/>
    </row>
    <row r="927">
      <c r="B927" s="18"/>
      <c r="F927" s="5"/>
    </row>
    <row r="928">
      <c r="B928" s="18"/>
      <c r="F928" s="5"/>
    </row>
    <row r="929">
      <c r="B929" s="18"/>
      <c r="F929" s="5"/>
    </row>
    <row r="930">
      <c r="B930" s="18"/>
      <c r="F930" s="5"/>
    </row>
    <row r="931">
      <c r="B931" s="18"/>
      <c r="F931" s="5"/>
    </row>
    <row r="932">
      <c r="B932" s="18"/>
      <c r="F932" s="5"/>
    </row>
    <row r="933">
      <c r="B933" s="18"/>
      <c r="F933" s="5"/>
    </row>
    <row r="934">
      <c r="B934" s="18"/>
      <c r="F934" s="5"/>
    </row>
    <row r="935">
      <c r="B935" s="18"/>
      <c r="F935" s="5"/>
    </row>
    <row r="936">
      <c r="B936" s="18"/>
      <c r="F936" s="5"/>
    </row>
    <row r="937">
      <c r="B937" s="18"/>
      <c r="F937" s="5"/>
    </row>
    <row r="938">
      <c r="B938" s="18"/>
      <c r="F938" s="5"/>
    </row>
    <row r="939">
      <c r="B939" s="18"/>
      <c r="F939" s="5"/>
    </row>
    <row r="940">
      <c r="B940" s="18"/>
      <c r="F940" s="5"/>
    </row>
    <row r="941">
      <c r="B941" s="18"/>
      <c r="F941" s="5"/>
    </row>
    <row r="942">
      <c r="B942" s="18"/>
      <c r="F942" s="5"/>
    </row>
    <row r="943">
      <c r="B943" s="18"/>
      <c r="F943" s="5"/>
    </row>
    <row r="944">
      <c r="B944" s="18"/>
      <c r="F944" s="5"/>
    </row>
    <row r="945">
      <c r="B945" s="18"/>
      <c r="F945" s="5"/>
    </row>
    <row r="946">
      <c r="B946" s="18"/>
      <c r="F946" s="5"/>
    </row>
    <row r="947">
      <c r="B947" s="18"/>
      <c r="F947" s="5"/>
    </row>
    <row r="948">
      <c r="B948" s="18"/>
      <c r="F948" s="5"/>
    </row>
    <row r="949">
      <c r="B949" s="18"/>
      <c r="F949" s="5"/>
    </row>
    <row r="950">
      <c r="B950" s="18"/>
      <c r="F950" s="5"/>
    </row>
    <row r="951">
      <c r="B951" s="18"/>
      <c r="F951" s="5"/>
    </row>
    <row r="952">
      <c r="B952" s="18"/>
      <c r="F952" s="5"/>
    </row>
    <row r="953">
      <c r="B953" s="18"/>
      <c r="F953" s="5"/>
    </row>
    <row r="954">
      <c r="B954" s="18"/>
      <c r="F954" s="5"/>
    </row>
    <row r="955">
      <c r="B955" s="18"/>
      <c r="F955" s="5"/>
    </row>
    <row r="956">
      <c r="B956" s="18"/>
      <c r="F956" s="5"/>
    </row>
    <row r="957">
      <c r="B957" s="18"/>
      <c r="F957" s="5"/>
    </row>
    <row r="958">
      <c r="B958" s="18"/>
      <c r="F958" s="5"/>
    </row>
    <row r="959">
      <c r="B959" s="18"/>
      <c r="F959" s="5"/>
    </row>
    <row r="960">
      <c r="B960" s="18"/>
      <c r="F960" s="5"/>
    </row>
    <row r="961">
      <c r="B961" s="18"/>
      <c r="F961" s="5"/>
    </row>
    <row r="962">
      <c r="B962" s="18"/>
      <c r="F962" s="5"/>
    </row>
    <row r="963">
      <c r="B963" s="18"/>
      <c r="F963" s="5"/>
    </row>
    <row r="964">
      <c r="B964" s="18"/>
      <c r="F964" s="5"/>
    </row>
    <row r="965">
      <c r="B965" s="18"/>
      <c r="F965" s="5"/>
    </row>
    <row r="966">
      <c r="B966" s="18"/>
      <c r="F966" s="5"/>
    </row>
    <row r="967">
      <c r="B967" s="18"/>
      <c r="F967" s="5"/>
    </row>
    <row r="968">
      <c r="B968" s="18"/>
      <c r="F968" s="5"/>
    </row>
    <row r="969">
      <c r="B969" s="18"/>
      <c r="F969" s="5"/>
    </row>
    <row r="970">
      <c r="B970" s="18"/>
      <c r="F970" s="5"/>
    </row>
    <row r="971">
      <c r="B971" s="18"/>
      <c r="F971" s="5"/>
    </row>
    <row r="972">
      <c r="B972" s="18"/>
      <c r="F972" s="5"/>
    </row>
    <row r="973">
      <c r="B973" s="18"/>
      <c r="F973" s="5"/>
    </row>
    <row r="974">
      <c r="B974" s="18"/>
      <c r="F974" s="5"/>
    </row>
    <row r="975">
      <c r="B975" s="18"/>
      <c r="F975" s="5"/>
    </row>
    <row r="976">
      <c r="B976" s="18"/>
      <c r="F976" s="5"/>
    </row>
    <row r="977">
      <c r="B977" s="18"/>
      <c r="F977" s="5"/>
    </row>
    <row r="978">
      <c r="B978" s="18"/>
      <c r="F978" s="5"/>
    </row>
    <row r="979">
      <c r="B979" s="18"/>
      <c r="F979" s="5"/>
    </row>
    <row r="980">
      <c r="B980" s="18"/>
      <c r="F980" s="5"/>
    </row>
    <row r="981">
      <c r="B981" s="18"/>
      <c r="F981" s="5"/>
    </row>
    <row r="982">
      <c r="B982" s="18"/>
      <c r="F982" s="5"/>
    </row>
    <row r="983">
      <c r="B983" s="18"/>
      <c r="F983" s="5"/>
    </row>
    <row r="984">
      <c r="B984" s="18"/>
      <c r="F984" s="5"/>
    </row>
    <row r="985">
      <c r="B985" s="18"/>
      <c r="F985" s="5"/>
    </row>
    <row r="986">
      <c r="B986" s="18"/>
      <c r="F986" s="5"/>
    </row>
    <row r="987">
      <c r="B987" s="18"/>
      <c r="F987" s="5"/>
    </row>
    <row r="988">
      <c r="B988" s="18"/>
      <c r="F988" s="5"/>
    </row>
    <row r="989">
      <c r="B989" s="18"/>
      <c r="F989" s="5"/>
    </row>
    <row r="990">
      <c r="B990" s="18"/>
      <c r="F990" s="5"/>
    </row>
    <row r="991">
      <c r="B991" s="18"/>
      <c r="F991" s="5"/>
    </row>
    <row r="992">
      <c r="B992" s="18"/>
      <c r="F992" s="5"/>
    </row>
    <row r="993">
      <c r="B993" s="18"/>
      <c r="F993" s="5"/>
    </row>
    <row r="994">
      <c r="B994" s="18"/>
      <c r="F994" s="5"/>
    </row>
    <row r="995">
      <c r="B995" s="18"/>
      <c r="F995" s="5"/>
    </row>
    <row r="996">
      <c r="B996" s="18"/>
      <c r="F996" s="5"/>
    </row>
    <row r="997">
      <c r="B997" s="18"/>
      <c r="F997" s="5"/>
    </row>
    <row r="998">
      <c r="B998" s="18"/>
      <c r="F998" s="5"/>
    </row>
    <row r="999">
      <c r="B999" s="18"/>
      <c r="F999" s="5"/>
    </row>
    <row r="1000">
      <c r="B1000" s="18"/>
      <c r="F1000" s="5"/>
    </row>
  </sheetData>
  <hyperlinks>
    <hyperlink display="1a" location="Cas 1a!A1" ref="A4"/>
    <hyperlink display="2a" location="Cas 2a!A1" ref="A5"/>
    <hyperlink display="3a" location="Cas 3a!A1" ref="A6"/>
    <hyperlink display="4a" location="Cas 4a!A1" ref="A7"/>
    <hyperlink display="1b" location="Cas 1b!A1" ref="A9"/>
    <hyperlink display="2b" location="Cas 2b!A1" ref="A10"/>
    <hyperlink display="3b" location="Cas 3b!A1" ref="A11"/>
    <hyperlink display="4b" location="Cas 4b!A1" ref="A12"/>
    <hyperlink display="1c" location="Cas 1c!A1" ref="A14"/>
    <hyperlink display="2c" location="Cas 2c!A1" ref="A15"/>
    <hyperlink display="3c" location="Cas 3c!A1" ref="A16"/>
    <hyperlink display="4c" location="Cas 4c!A1" ref="A17"/>
    <hyperlink display="1d" location="Cas 1d!A1" ref="A19"/>
    <hyperlink display="1e" location="Cas 1e!A1" ref="A21"/>
    <hyperlink display="2e" location="Cas 2e!A1" ref="A22"/>
    <hyperlink display="3e" location="Cas 3e!A1" ref="A23"/>
    <hyperlink display="4e" location="Cas 4e!A1" ref="A24"/>
    <hyperlink display="1f" location="Cas 1f!A1" ref="A26"/>
    <hyperlink display="1g" location="Cas 1g!A1" ref="A28"/>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0"/>
    <col customWidth="1" min="5" max="5" width="20.43"/>
    <col customWidth="1" min="6" max="6" width="26.29"/>
    <col customWidth="1" min="7" max="7" width="22.29"/>
    <col customWidth="1" min="10" max="10" width="29.29"/>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2091</v>
      </c>
      <c r="B2" s="22">
        <v>26734.0</v>
      </c>
      <c r="C2" s="23" t="str">
        <f>HYPERLINK("http://ecotaxoserver.obs-vlfr.fr/browsetaxo/?id=11762","11762")</f>
        <v>11762</v>
      </c>
      <c r="D2" s="23" t="str">
        <f>HYPERLINK("http://www.marinespecies.org/aphia.php?p=taxdetails&amp;id=235747","235747")</f>
        <v>235747</v>
      </c>
      <c r="E2" s="22" t="s">
        <v>869</v>
      </c>
      <c r="F2" s="22" t="s">
        <v>2092</v>
      </c>
      <c r="G2" s="22" t="s">
        <v>2093</v>
      </c>
      <c r="I2" s="23" t="str">
        <f>HYPERLINK("http://www.marinespecies.org/aphia.php?p=taxdetails&amp;id=586732","586732")</f>
        <v>586732</v>
      </c>
      <c r="J2" s="22" t="s">
        <v>99</v>
      </c>
      <c r="K2" s="22" t="s">
        <v>94</v>
      </c>
      <c r="L2" s="23" t="str">
        <f>HYPERLINK("http://www.marinespecies.org/aphia.php?p=taxdetails&amp;id=586732","586732")</f>
        <v>586732</v>
      </c>
      <c r="M2" s="22" t="s">
        <v>94</v>
      </c>
    </row>
    <row r="3">
      <c r="A3" s="22" t="s">
        <v>2094</v>
      </c>
      <c r="B3" s="22">
        <v>936.0</v>
      </c>
      <c r="C3" s="23" t="str">
        <f>HYPERLINK("http://ecotaxoserver.obs-vlfr.fr/browsetaxo/?id=82415","82415")</f>
        <v>82415</v>
      </c>
      <c r="D3" s="23" t="str">
        <f>HYPERLINK("http://www.marinespecies.org/aphia.php?p=taxdetails&amp;id=104249","104249")</f>
        <v>104249</v>
      </c>
      <c r="E3" s="22" t="s">
        <v>109</v>
      </c>
      <c r="F3" s="22" t="s">
        <v>109</v>
      </c>
      <c r="G3" s="22" t="s">
        <v>2046</v>
      </c>
      <c r="I3" s="23" t="str">
        <f>HYPERLINK("http://www.marinespecies.org/aphia.php?p=taxdetails&amp;id=345919","345919")</f>
        <v>345919</v>
      </c>
      <c r="J3" s="22" t="s">
        <v>2095</v>
      </c>
      <c r="K3" s="22" t="s">
        <v>94</v>
      </c>
      <c r="L3" s="23" t="str">
        <f>HYPERLINK("http://www.marinespecies.org/aphia.php?p=taxdetails&amp;id=345919","345919")</f>
        <v>345919</v>
      </c>
      <c r="M3" s="22" t="s">
        <v>94</v>
      </c>
    </row>
    <row r="4">
      <c r="A4" s="22" t="s">
        <v>2096</v>
      </c>
      <c r="B4" s="22">
        <v>1336.0</v>
      </c>
      <c r="C4" s="23" t="str">
        <f>HYPERLINK("http://ecotaxoserver.obs-vlfr.fr/browsetaxo/?id=87695","87695")</f>
        <v>87695</v>
      </c>
      <c r="D4" s="23" t="str">
        <f>HYPERLINK("http://www.marinespecies.org/aphia.php?p=taxdetails&amp;id=416523","416523")</f>
        <v>416523</v>
      </c>
      <c r="E4" s="22" t="s">
        <v>109</v>
      </c>
      <c r="F4" s="22" t="s">
        <v>109</v>
      </c>
      <c r="G4" s="22" t="s">
        <v>2046</v>
      </c>
      <c r="H4" s="22" t="s">
        <v>2097</v>
      </c>
      <c r="I4" s="23" t="str">
        <f>HYPERLINK("http://www.marinespecies.org/aphia.php?p=taxdetails&amp;id=149755","149755")</f>
        <v>149755</v>
      </c>
      <c r="J4" s="22" t="s">
        <v>2098</v>
      </c>
      <c r="K4" s="22" t="s">
        <v>94</v>
      </c>
      <c r="L4" s="23" t="str">
        <f>HYPERLINK("http://www.marinespecies.org/aphia.php?p=taxdetails&amp;id=149755","149755")</f>
        <v>149755</v>
      </c>
      <c r="M4" s="22" t="s">
        <v>94</v>
      </c>
    </row>
    <row r="5">
      <c r="A5" s="22" t="s">
        <v>2099</v>
      </c>
      <c r="B5" s="22">
        <v>9127.0</v>
      </c>
      <c r="C5" s="23" t="str">
        <f>HYPERLINK("http://ecotaxoserver.obs-vlfr.fr/browsetaxo/?id=82423","82423")</f>
        <v>82423</v>
      </c>
      <c r="D5" s="23" t="str">
        <f>HYPERLINK("http://www.marinespecies.org/aphia.php?p=taxdetails&amp;id=104252","104252")</f>
        <v>104252</v>
      </c>
      <c r="E5" s="22" t="s">
        <v>109</v>
      </c>
      <c r="F5" s="22" t="s">
        <v>109</v>
      </c>
      <c r="G5" s="22" t="s">
        <v>2046</v>
      </c>
      <c r="I5" s="23" t="str">
        <f>HYPERLINK("http://www.marinespecies.org/aphia.php?p=taxdetails&amp;id=346026","346026")</f>
        <v>346026</v>
      </c>
      <c r="J5" s="22" t="s">
        <v>2100</v>
      </c>
      <c r="K5" s="22" t="s">
        <v>94</v>
      </c>
      <c r="L5" s="23" t="str">
        <f>HYPERLINK("http://www.marinespecies.org/aphia.php?p=taxdetails&amp;id=346026","346026")</f>
        <v>346026</v>
      </c>
      <c r="M5" s="22" t="s">
        <v>94</v>
      </c>
    </row>
    <row r="6">
      <c r="A6" s="22" t="s">
        <v>2101</v>
      </c>
      <c r="B6" s="22">
        <v>72.0</v>
      </c>
      <c r="C6" s="23" t="str">
        <f>HYPERLINK("http://ecotaxoserver.obs-vlfr.fr/browsetaxo/?id=82422","82422")</f>
        <v>82422</v>
      </c>
      <c r="D6" s="23" t="str">
        <f>HYPERLINK("http://www.marinespecies.org/aphia.php?p=taxdetails&amp;id=361525","361525")</f>
        <v>361525</v>
      </c>
      <c r="E6" s="22" t="s">
        <v>109</v>
      </c>
      <c r="F6" s="22" t="s">
        <v>109</v>
      </c>
      <c r="G6" s="22" t="s">
        <v>2046</v>
      </c>
      <c r="I6" s="23" t="str">
        <f>HYPERLINK("http://www.marinespecies.org/aphia.php?p=taxdetails&amp;id=346035","346035")</f>
        <v>346035</v>
      </c>
      <c r="J6" s="22" t="s">
        <v>2102</v>
      </c>
      <c r="K6" s="22" t="s">
        <v>94</v>
      </c>
      <c r="L6" s="23" t="str">
        <f>HYPERLINK("http://www.marinespecies.org/aphia.php?p=taxdetails&amp;id=346035","346035")</f>
        <v>346035</v>
      </c>
      <c r="M6" s="22" t="s">
        <v>94</v>
      </c>
    </row>
    <row r="7">
      <c r="A7" s="22" t="s">
        <v>2103</v>
      </c>
      <c r="B7" s="22">
        <v>1256.0</v>
      </c>
      <c r="C7" s="23" t="str">
        <f>HYPERLINK("http://ecotaxoserver.obs-vlfr.fr/browsetaxo/?id=82421","82421")</f>
        <v>82421</v>
      </c>
      <c r="D7" s="23" t="str">
        <f>HYPERLINK("http://www.marinespecies.org/aphia.php?p=taxdetails&amp;id=104257","104257")</f>
        <v>104257</v>
      </c>
      <c r="E7" s="22" t="s">
        <v>109</v>
      </c>
      <c r="F7" s="22" t="s">
        <v>109</v>
      </c>
      <c r="G7" s="22" t="s">
        <v>2046</v>
      </c>
      <c r="I7" s="23" t="str">
        <f>HYPERLINK("http://www.marinespecies.org/aphia.php?p=taxdetails&amp;id=346037","346037")</f>
        <v>346037</v>
      </c>
      <c r="J7" s="22" t="s">
        <v>2104</v>
      </c>
      <c r="K7" s="22" t="s">
        <v>94</v>
      </c>
      <c r="L7" s="23" t="str">
        <f>HYPERLINK("http://www.marinespecies.org/aphia.php?p=taxdetails&amp;id=346037","346037")</f>
        <v>346037</v>
      </c>
      <c r="M7" s="22" t="s">
        <v>94</v>
      </c>
    </row>
    <row r="8">
      <c r="A8" s="22" t="s">
        <v>2105</v>
      </c>
      <c r="B8" s="22">
        <v>13.0</v>
      </c>
      <c r="C8" s="23" t="str">
        <f>HYPERLINK("http://ecotaxoserver.obs-vlfr.fr/browsetaxo/?id=82416","82416")</f>
        <v>82416</v>
      </c>
      <c r="D8" s="23" t="str">
        <f>HYPERLINK("http://www.marinespecies.org/aphia.php?p=taxdetails&amp;id=104262","104262")</f>
        <v>104262</v>
      </c>
      <c r="E8" s="22" t="s">
        <v>109</v>
      </c>
      <c r="F8" s="22" t="s">
        <v>109</v>
      </c>
      <c r="G8" s="22" t="s">
        <v>2046</v>
      </c>
      <c r="I8" s="23" t="str">
        <f>HYPERLINK("http://www.marinespecies.org/aphia.php?p=taxdetails&amp;id=345943","345943")</f>
        <v>345943</v>
      </c>
      <c r="J8" s="22" t="s">
        <v>2106</v>
      </c>
      <c r="K8" s="22" t="s">
        <v>94</v>
      </c>
      <c r="L8" s="23" t="str">
        <f>HYPERLINK("http://www.marinespecies.org/aphia.php?p=taxdetails&amp;id=345943","345943")</f>
        <v>345943</v>
      </c>
      <c r="M8" s="22" t="s">
        <v>94</v>
      </c>
    </row>
    <row r="9">
      <c r="A9" s="34" t="s">
        <v>2007</v>
      </c>
      <c r="B9" s="25">
        <v>4.0</v>
      </c>
      <c r="C9" s="26" t="str">
        <f>HYPERLINK("http://ecotaxoserver.obs-vlfr.fr/browsetaxo/?id=56018","56018")</f>
        <v>56018</v>
      </c>
      <c r="D9" s="26" t="str">
        <f>HYPERLINK("http://www.marinespecies.org/aphia.php?p=taxdetails&amp;id=966920","966920")</f>
        <v>966920</v>
      </c>
      <c r="E9" s="25" t="s">
        <v>131</v>
      </c>
      <c r="F9" s="25" t="s">
        <v>131</v>
      </c>
      <c r="G9" s="25" t="s">
        <v>2046</v>
      </c>
      <c r="H9" s="25"/>
      <c r="I9" s="26" t="str">
        <f>HYPERLINK("http://www.marinespecies.org/aphia.php?p=taxdetails&amp;id=977636","977636")</f>
        <v>977636</v>
      </c>
      <c r="J9" s="25" t="s">
        <v>2107</v>
      </c>
      <c r="K9" s="25" t="s">
        <v>94</v>
      </c>
      <c r="L9" s="35" t="str">
        <f>HYPERLINK("http://www.marinespecies.org/aphia.php?p=taxdetails&amp;id=977636","977636")</f>
        <v>977636</v>
      </c>
      <c r="M9" s="22" t="s">
        <v>94</v>
      </c>
    </row>
    <row r="10">
      <c r="A10" s="22" t="s">
        <v>2108</v>
      </c>
      <c r="B10" s="22">
        <v>10.0</v>
      </c>
      <c r="C10" s="23" t="str">
        <f>HYPERLINK("http://ecotaxoserver.obs-vlfr.fr/browsetaxo/?id=92218","92218")</f>
        <v>92218</v>
      </c>
      <c r="D10" s="23" t="str">
        <f>HYPERLINK("http://www.marinespecies.org/aphia.php?p=taxdetails&amp;id=980685","980685")</f>
        <v>980685</v>
      </c>
      <c r="E10" s="22" t="s">
        <v>131</v>
      </c>
      <c r="F10" s="22" t="s">
        <v>2109</v>
      </c>
      <c r="G10" s="22" t="s">
        <v>2046</v>
      </c>
      <c r="I10" s="23" t="str">
        <f>HYPERLINK("http://www.marinespecies.org/aphia.php?p=taxdetails&amp;id=162794","162794")</f>
        <v>162794</v>
      </c>
      <c r="J10" s="22" t="s">
        <v>2110</v>
      </c>
      <c r="K10" s="22" t="s">
        <v>94</v>
      </c>
      <c r="L10" s="23" t="str">
        <f>HYPERLINK("http://www.marinespecies.org/aphia.php?p=taxdetails&amp;id=162794","162794")</f>
        <v>162794</v>
      </c>
      <c r="M10" s="22" t="s">
        <v>94</v>
      </c>
    </row>
    <row r="11">
      <c r="A11" s="22" t="s">
        <v>2111</v>
      </c>
      <c r="B11" s="22">
        <v>2.0</v>
      </c>
      <c r="C11" s="23" t="str">
        <f>HYPERLINK("http://ecotaxoserver.obs-vlfr.fr/browsetaxo/?id=92219","92219")</f>
        <v>92219</v>
      </c>
      <c r="D11" s="23" t="str">
        <f>HYPERLINK("http://www.marinespecies.org/aphia.php?p=taxdetails&amp;id=149164","149164")</f>
        <v>149164</v>
      </c>
      <c r="E11" s="22" t="s">
        <v>131</v>
      </c>
      <c r="F11" s="22" t="s">
        <v>131</v>
      </c>
      <c r="G11" s="22" t="s">
        <v>2093</v>
      </c>
      <c r="H11" s="22" t="s">
        <v>2112</v>
      </c>
      <c r="I11" s="23" t="str">
        <f>HYPERLINK("http://www.marinespecies.org/aphia.php?p=taxdetails&amp;id=162770","162770")</f>
        <v>162770</v>
      </c>
      <c r="J11" s="22" t="s">
        <v>2113</v>
      </c>
      <c r="K11" s="22" t="s">
        <v>94</v>
      </c>
      <c r="L11" s="23" t="str">
        <f>HYPERLINK("http://www.marinespecies.org/aphia.php?p=taxdetails&amp;id=162770","162770")</f>
        <v>162770</v>
      </c>
      <c r="M11" s="22" t="s">
        <v>94</v>
      </c>
    </row>
    <row r="12">
      <c r="A12" s="22" t="s">
        <v>2114</v>
      </c>
      <c r="B12" s="22">
        <v>2.0</v>
      </c>
      <c r="C12" s="23" t="str">
        <f>HYPERLINK("http://ecotaxoserver.obs-vlfr.fr/browsetaxo/?id=92221","92221")</f>
        <v>92221</v>
      </c>
      <c r="D12" s="23" t="str">
        <f>HYPERLINK("http://www.marinespecies.org/aphia.php?p=taxdetails&amp;id=160650","160650")</f>
        <v>160650</v>
      </c>
      <c r="E12" s="22" t="s">
        <v>131</v>
      </c>
      <c r="F12" s="22" t="s">
        <v>2111</v>
      </c>
      <c r="G12" s="22" t="s">
        <v>2046</v>
      </c>
      <c r="I12" s="23" t="str">
        <f>HYPERLINK("http://www.marinespecies.org/aphia.php?p=taxdetails&amp;id=162803","162803")</f>
        <v>162803</v>
      </c>
      <c r="J12" s="22" t="s">
        <v>2115</v>
      </c>
      <c r="K12" s="22" t="s">
        <v>94</v>
      </c>
      <c r="L12" s="23" t="str">
        <f>HYPERLINK("http://www.marinespecies.org/aphia.php?p=taxdetails&amp;id=162803","162803")</f>
        <v>162803</v>
      </c>
      <c r="M12" s="22" t="s">
        <v>94</v>
      </c>
    </row>
    <row r="13">
      <c r="A13" s="22" t="s">
        <v>2116</v>
      </c>
      <c r="B13" s="22">
        <v>3.0</v>
      </c>
      <c r="C13" s="23" t="str">
        <f>HYPERLINK("http://ecotaxoserver.obs-vlfr.fr/browsetaxo/?id=81686","81686")</f>
        <v>81686</v>
      </c>
      <c r="D13" s="23" t="str">
        <f>HYPERLINK("http://www.marinespecies.org/aphia.php?p=taxdetails&amp;id=117268","117268")</f>
        <v>117268</v>
      </c>
      <c r="E13" s="22" t="s">
        <v>141</v>
      </c>
      <c r="F13" s="22" t="s">
        <v>141</v>
      </c>
      <c r="G13" s="22" t="s">
        <v>2093</v>
      </c>
      <c r="H13" s="22" t="s">
        <v>2117</v>
      </c>
      <c r="I13" s="23" t="str">
        <f>HYPERLINK("http://www.marinespecies.org/aphia.php?p=taxdetails&amp;id=117270","117270")</f>
        <v>117270</v>
      </c>
      <c r="J13" s="22" t="s">
        <v>2118</v>
      </c>
      <c r="K13" s="22" t="s">
        <v>94</v>
      </c>
      <c r="L13" s="23" t="str">
        <f>HYPERLINK("http://www.marinespecies.org/aphia.php?p=taxdetails&amp;id=117270","117270")</f>
        <v>117270</v>
      </c>
      <c r="M13" s="22" t="s">
        <v>94</v>
      </c>
    </row>
    <row r="14">
      <c r="A14" s="22" t="s">
        <v>2119</v>
      </c>
      <c r="B14" s="22">
        <v>881.0</v>
      </c>
      <c r="C14" s="23" t="str">
        <f>HYPERLINK("http://ecotaxoserver.obs-vlfr.fr/browsetaxo/?id=25632","25632")</f>
        <v>25632</v>
      </c>
      <c r="D14" s="23" t="str">
        <f>HYPERLINK("http://www.marinespecies.org/aphia.php?p=taxdetails&amp;id=1444456","1444456")</f>
        <v>1444456</v>
      </c>
      <c r="E14" s="22" t="s">
        <v>239</v>
      </c>
      <c r="F14" s="22" t="s">
        <v>1128</v>
      </c>
      <c r="G14" s="22" t="s">
        <v>2093</v>
      </c>
      <c r="H14" s="22" t="s">
        <v>2120</v>
      </c>
      <c r="I14" s="23" t="str">
        <f>HYPERLINK("http://www.marinespecies.org/aphia.php?p=taxdetails&amp;id=932","932")</f>
        <v>932</v>
      </c>
      <c r="J14" s="22" t="s">
        <v>2121</v>
      </c>
      <c r="K14" s="22" t="s">
        <v>94</v>
      </c>
      <c r="L14" s="23" t="str">
        <f>HYPERLINK("http://www.marinespecies.org/aphia.php?p=taxdetails&amp;id=932","932")</f>
        <v>932</v>
      </c>
      <c r="M14" s="22" t="s">
        <v>94</v>
      </c>
    </row>
    <row r="15">
      <c r="A15" s="22" t="s">
        <v>2122</v>
      </c>
      <c r="B15" s="22">
        <v>303.0</v>
      </c>
      <c r="C15" s="23" t="str">
        <f>HYPERLINK("http://ecotaxoserver.obs-vlfr.fr/browsetaxo/?id=55324","55324")</f>
        <v>55324</v>
      </c>
      <c r="D15" s="23" t="str">
        <f>HYPERLINK("http://www.marinespecies.org/aphia.php?p=taxdetails&amp;id=149139","149139")</f>
        <v>149139</v>
      </c>
      <c r="E15" s="22" t="s">
        <v>260</v>
      </c>
      <c r="F15" s="22" t="s">
        <v>260</v>
      </c>
      <c r="G15" s="22" t="s">
        <v>2046</v>
      </c>
      <c r="I15" s="23" t="str">
        <f>HYPERLINK("http://www.marinespecies.org/aphia.php?p=taxdetails&amp;id=148955","148955")</f>
        <v>148955</v>
      </c>
      <c r="J15" s="22" t="s">
        <v>2123</v>
      </c>
      <c r="K15" s="22" t="s">
        <v>94</v>
      </c>
      <c r="L15" s="23" t="str">
        <f>HYPERLINK("http://www.marinespecies.org/aphia.php?p=taxdetails&amp;id=148955","148955")</f>
        <v>148955</v>
      </c>
      <c r="M15" s="22" t="s">
        <v>94</v>
      </c>
    </row>
    <row r="16">
      <c r="A16" s="22" t="s">
        <v>2124</v>
      </c>
      <c r="B16" s="22">
        <v>17.0</v>
      </c>
      <c r="C16" s="23" t="str">
        <f>HYPERLINK("http://ecotaxoserver.obs-vlfr.fr/browsetaxo/?id=92146","92146")</f>
        <v>92146</v>
      </c>
      <c r="D16" s="23" t="str">
        <f>HYPERLINK("http://www.marinespecies.org/aphia.php?p=taxdetails&amp;id=162258","162258")</f>
        <v>162258</v>
      </c>
      <c r="E16" s="22" t="s">
        <v>268</v>
      </c>
      <c r="F16" s="22" t="s">
        <v>268</v>
      </c>
      <c r="G16" s="22" t="s">
        <v>2046</v>
      </c>
      <c r="I16" s="23" t="str">
        <f>HYPERLINK("http://www.marinespecies.org/aphia.php?p=taxdetails&amp;id=573599","573599")</f>
        <v>573599</v>
      </c>
      <c r="J16" s="22" t="s">
        <v>2125</v>
      </c>
      <c r="K16" s="22" t="s">
        <v>94</v>
      </c>
      <c r="L16" s="23" t="str">
        <f>HYPERLINK("http://www.marinespecies.org/aphia.php?p=taxdetails&amp;id=573599","573599")</f>
        <v>573599</v>
      </c>
      <c r="M16" s="22" t="s">
        <v>94</v>
      </c>
    </row>
    <row r="17">
      <c r="A17" s="22" t="s">
        <v>2126</v>
      </c>
      <c r="B17" s="22">
        <v>1.0</v>
      </c>
      <c r="C17" s="23" t="str">
        <f>HYPERLINK("http://ecotaxoserver.obs-vlfr.fr/browsetaxo/?id=92150","92150")</f>
        <v>92150</v>
      </c>
      <c r="D17" s="23" t="str">
        <f>HYPERLINK("http://www.marinespecies.org/aphia.php?p=taxdetails&amp;id=652200","652200")</f>
        <v>652200</v>
      </c>
      <c r="E17" s="22" t="s">
        <v>268</v>
      </c>
      <c r="F17" s="22" t="s">
        <v>268</v>
      </c>
      <c r="G17" s="22" t="s">
        <v>2046</v>
      </c>
      <c r="I17" s="23" t="str">
        <f>HYPERLINK("http://www.marinespecies.org/aphia.php?p=taxdetails&amp;id=652174","652174")</f>
        <v>652174</v>
      </c>
      <c r="J17" s="22" t="s">
        <v>2127</v>
      </c>
      <c r="K17" s="22" t="s">
        <v>94</v>
      </c>
      <c r="L17" s="23" t="str">
        <f>HYPERLINK("http://www.marinespecies.org/aphia.php?p=taxdetails&amp;id=652174","652174")</f>
        <v>652174</v>
      </c>
      <c r="M17" s="22" t="s">
        <v>94</v>
      </c>
    </row>
    <row r="18">
      <c r="A18" s="24" t="s">
        <v>262</v>
      </c>
      <c r="C18" s="23" t="str">
        <f>HYPERLINK("http://ecotaxoserver.obs-vlfr.fr/browsetaxo/?id=92151","92151")</f>
        <v>92151</v>
      </c>
      <c r="D18" s="23" t="str">
        <f>HYPERLINK("http://www.marinespecies.org/aphia.php?p=taxdetails&amp;id=162250","162250")</f>
        <v>162250</v>
      </c>
      <c r="I18" s="23" t="str">
        <f>HYPERLINK("http://www.marinespecies.org/aphia.php?p=taxdetails&amp;id=162250","162250")</f>
        <v>162250</v>
      </c>
      <c r="L18" s="23" t="str">
        <f>HYPERLINK("http://www.marinespecies.org/aphia.php?p=taxdetails&amp;id=162250","162250")</f>
        <v>162250</v>
      </c>
    </row>
    <row r="19">
      <c r="A19" s="22" t="s">
        <v>2128</v>
      </c>
      <c r="B19" s="22">
        <v>1.0</v>
      </c>
      <c r="C19" s="23" t="str">
        <f>HYPERLINK("http://ecotaxoserver.obs-vlfr.fr/browsetaxo/?id=92165","92165")</f>
        <v>92165</v>
      </c>
      <c r="D19" s="23" t="str">
        <f>HYPERLINK("http://www.marinespecies.org/aphia.php?p=taxdetails&amp;id=418543","418543")</f>
        <v>418543</v>
      </c>
      <c r="E19" s="22" t="s">
        <v>303</v>
      </c>
      <c r="F19" s="22" t="s">
        <v>303</v>
      </c>
      <c r="G19" s="22" t="s">
        <v>2046</v>
      </c>
      <c r="I19" s="23" t="str">
        <f>HYPERLINK("http://www.marinespecies.org/aphia.php?p=taxdetails&amp;id=977643","977643")</f>
        <v>977643</v>
      </c>
      <c r="J19" s="22" t="s">
        <v>2129</v>
      </c>
      <c r="K19" s="22" t="s">
        <v>94</v>
      </c>
      <c r="L19" s="23" t="str">
        <f>HYPERLINK("http://www.marinespecies.org/aphia.php?p=taxdetails&amp;id=977643","977643")</f>
        <v>977643</v>
      </c>
      <c r="M19" s="22" t="s">
        <v>94</v>
      </c>
    </row>
    <row r="20">
      <c r="A20" s="22" t="s">
        <v>2130</v>
      </c>
      <c r="B20" s="22">
        <v>1.0</v>
      </c>
      <c r="C20" s="23" t="str">
        <f>HYPERLINK("http://ecotaxoserver.obs-vlfr.fr/browsetaxo/?id=92163","92163")</f>
        <v>92163</v>
      </c>
      <c r="D20" s="23" t="str">
        <f>HYPERLINK("http://www.marinespecies.org/aphia.php?p=taxdetails&amp;id=418544","418544")</f>
        <v>418544</v>
      </c>
      <c r="E20" s="22" t="s">
        <v>303</v>
      </c>
      <c r="F20" s="22" t="s">
        <v>303</v>
      </c>
      <c r="G20" s="22" t="s">
        <v>2046</v>
      </c>
      <c r="I20" s="23" t="str">
        <f>HYPERLINK("http://www.marinespecies.org/aphia.php?p=taxdetails&amp;id=969470","969470")</f>
        <v>969470</v>
      </c>
      <c r="J20" s="22" t="s">
        <v>2131</v>
      </c>
      <c r="K20" s="22" t="s">
        <v>94</v>
      </c>
      <c r="L20" s="23" t="str">
        <f>HYPERLINK("http://www.marinespecies.org/aphia.php?p=taxdetails&amp;id=969470","969470")</f>
        <v>969470</v>
      </c>
      <c r="M20" s="22" t="s">
        <v>94</v>
      </c>
    </row>
    <row r="21">
      <c r="A21" s="22" t="s">
        <v>2132</v>
      </c>
      <c r="B21" s="22">
        <v>6.0</v>
      </c>
      <c r="C21" s="23" t="str">
        <f>HYPERLINK("http://ecotaxoserver.obs-vlfr.fr/browsetaxo/?id=92162","92162")</f>
        <v>92162</v>
      </c>
      <c r="D21" s="23" t="str">
        <f>HYPERLINK("http://www.marinespecies.org/aphia.php?p=taxdetails&amp;id=149651","149651")</f>
        <v>149651</v>
      </c>
      <c r="E21" s="22" t="s">
        <v>303</v>
      </c>
      <c r="F21" s="22" t="s">
        <v>303</v>
      </c>
      <c r="G21" s="22" t="s">
        <v>2046</v>
      </c>
      <c r="I21" s="23" t="str">
        <f>HYPERLINK("http://www.marinespecies.org/aphia.php?p=taxdetails&amp;id=148993","148993")</f>
        <v>148993</v>
      </c>
      <c r="J21" s="22" t="s">
        <v>2133</v>
      </c>
      <c r="K21" s="22" t="s">
        <v>94</v>
      </c>
      <c r="L21" s="23" t="str">
        <f>HYPERLINK("http://www.marinespecies.org/aphia.php?p=taxdetails&amp;id=148993","148993")</f>
        <v>148993</v>
      </c>
      <c r="M21" s="22" t="s">
        <v>94</v>
      </c>
    </row>
    <row r="22">
      <c r="A22" s="22" t="s">
        <v>2134</v>
      </c>
      <c r="B22" s="22">
        <v>38471.0</v>
      </c>
      <c r="C22" s="23" t="str">
        <f>HYPERLINK("http://ecotaxoserver.obs-vlfr.fr/browsetaxo/?id=11816","11816")</f>
        <v>11816</v>
      </c>
      <c r="D22" s="23" t="str">
        <f>HYPERLINK("http://www.marinespecies.org/aphia.php?p=taxdetails&amp;id=148898","148898")</f>
        <v>148898</v>
      </c>
      <c r="E22" s="22" t="s">
        <v>521</v>
      </c>
      <c r="F22" s="22" t="s">
        <v>2135</v>
      </c>
      <c r="G22" s="22" t="s">
        <v>2093</v>
      </c>
      <c r="I22" s="23" t="str">
        <f>HYPERLINK("http://www.marinespecies.org/aphia.php?p=taxdetails&amp;id=148899","148899")</f>
        <v>148899</v>
      </c>
      <c r="J22" s="22" t="s">
        <v>119</v>
      </c>
      <c r="K22" s="22" t="s">
        <v>94</v>
      </c>
      <c r="L22" s="23" t="str">
        <f>HYPERLINK("http://www.marinespecies.org/aphia.php?p=taxdetails&amp;id=148899","148899")</f>
        <v>148899</v>
      </c>
      <c r="M22" s="22" t="s">
        <v>94</v>
      </c>
    </row>
    <row r="23">
      <c r="A23" s="22" t="s">
        <v>2136</v>
      </c>
      <c r="B23" s="22">
        <v>94.0</v>
      </c>
      <c r="C23" s="23" t="str">
        <f>HYPERLINK("http://ecotaxoserver.obs-vlfr.fr/browsetaxo/?id=93598","93598")</f>
        <v>93598</v>
      </c>
      <c r="D23" s="23" t="str">
        <f>HYPERLINK("http://www.marinespecies.org/aphia.php?p=taxdetails&amp;id=341541","341541")</f>
        <v>341541</v>
      </c>
      <c r="E23" s="22" t="s">
        <v>119</v>
      </c>
      <c r="F23" s="22" t="s">
        <v>2137</v>
      </c>
      <c r="G23" s="22" t="s">
        <v>2046</v>
      </c>
      <c r="I23" s="23" t="str">
        <f>HYPERLINK("http://www.marinespecies.org/aphia.php?p=taxdetails&amp;id=979790","979790")</f>
        <v>979790</v>
      </c>
      <c r="J23" s="22" t="s">
        <v>2138</v>
      </c>
      <c r="K23" s="22" t="s">
        <v>94</v>
      </c>
      <c r="L23" s="23" t="str">
        <f>HYPERLINK("http://www.marinespecies.org/aphia.php?p=taxdetails&amp;id=979790","979790")</f>
        <v>979790</v>
      </c>
      <c r="M23" s="22" t="s">
        <v>94</v>
      </c>
    </row>
    <row r="24">
      <c r="A24" s="22" t="s">
        <v>2139</v>
      </c>
      <c r="B24" s="22">
        <v>2305.0</v>
      </c>
      <c r="C24" s="23" t="str">
        <f>HYPERLINK("http://ecotaxoserver.obs-vlfr.fr/browsetaxo/?id=82431","82431")</f>
        <v>82431</v>
      </c>
      <c r="D24" s="23" t="str">
        <f>HYPERLINK("http://www.marinespecies.org/aphia.php?p=taxdetails&amp;id=104464","104464")</f>
        <v>104464</v>
      </c>
      <c r="E24" s="22" t="s">
        <v>386</v>
      </c>
      <c r="F24" s="22" t="s">
        <v>386</v>
      </c>
      <c r="G24" s="22" t="s">
        <v>2093</v>
      </c>
      <c r="I24" s="23" t="str">
        <f>HYPERLINK("http://www.marinespecies.org/aphia.php?p=taxdetails&amp;id=1453014","1453014")</f>
        <v>1453014</v>
      </c>
      <c r="J24" s="22" t="s">
        <v>2140</v>
      </c>
      <c r="K24" s="22" t="s">
        <v>94</v>
      </c>
      <c r="L24" s="23" t="str">
        <f>HYPERLINK("http://www.marinespecies.org/aphia.php?p=taxdetails&amp;id=1453014","1453014")</f>
        <v>1453014</v>
      </c>
      <c r="M24" s="22" t="s">
        <v>94</v>
      </c>
    </row>
    <row r="25">
      <c r="A25" s="22" t="s">
        <v>2141</v>
      </c>
      <c r="B25" s="22">
        <v>5.0</v>
      </c>
      <c r="C25" s="23" t="str">
        <f>HYPERLINK("http://ecotaxoserver.obs-vlfr.fr/browsetaxo/?id=27245","27245")</f>
        <v>27245</v>
      </c>
      <c r="D25" s="23" t="str">
        <f>HYPERLINK("http://www.marinespecies.org/aphia.php?p=taxdetails&amp;id=235868","235868")</f>
        <v>235868</v>
      </c>
      <c r="E25" s="22" t="s">
        <v>2142</v>
      </c>
      <c r="F25" s="22" t="s">
        <v>2142</v>
      </c>
      <c r="G25" s="22" t="s">
        <v>2093</v>
      </c>
      <c r="H25" s="22" t="s">
        <v>2112</v>
      </c>
      <c r="I25" s="23" t="str">
        <f>HYPERLINK("http://www.marinespecies.org/aphia.php?p=taxdetails&amp;id=619120","619120")</f>
        <v>619120</v>
      </c>
      <c r="J25" s="22" t="s">
        <v>2143</v>
      </c>
      <c r="K25" s="22" t="s">
        <v>94</v>
      </c>
      <c r="L25" s="23" t="str">
        <f>HYPERLINK("http://www.marinespecies.org/aphia.php?p=taxdetails&amp;id=619120","619120")</f>
        <v>619120</v>
      </c>
      <c r="M25" s="22" t="s">
        <v>94</v>
      </c>
    </row>
    <row r="26">
      <c r="A26" s="22" t="s">
        <v>2144</v>
      </c>
      <c r="B26" s="22">
        <v>1763.0</v>
      </c>
      <c r="C26" s="23" t="str">
        <f>HYPERLINK("http://ecotaxoserver.obs-vlfr.fr/browsetaxo/?id=55838","55838")</f>
        <v>55838</v>
      </c>
      <c r="D26" s="23" t="str">
        <f>HYPERLINK("http://www.marinespecies.org/aphia.php?p=taxdetails&amp;id=149619","149619")</f>
        <v>149619</v>
      </c>
      <c r="E26" s="22" t="s">
        <v>450</v>
      </c>
      <c r="F26" s="22" t="s">
        <v>450</v>
      </c>
      <c r="G26" s="22" t="s">
        <v>2046</v>
      </c>
      <c r="I26" s="23" t="str">
        <f>HYPERLINK("http://www.marinespecies.org/aphia.php?p=taxdetails&amp;id=961694","961694")</f>
        <v>961694</v>
      </c>
      <c r="J26" s="22" t="s">
        <v>2145</v>
      </c>
      <c r="K26" s="22" t="s">
        <v>94</v>
      </c>
      <c r="L26" s="23" t="str">
        <f>HYPERLINK("http://www.marinespecies.org/aphia.php?p=taxdetails&amp;id=961694","961694")</f>
        <v>961694</v>
      </c>
      <c r="M26" s="22" t="s">
        <v>94</v>
      </c>
    </row>
    <row r="27">
      <c r="A27" s="22" t="s">
        <v>2146</v>
      </c>
      <c r="B27" s="22">
        <v>190.0</v>
      </c>
      <c r="C27" s="23" t="str">
        <f>HYPERLINK("http://ecotaxoserver.obs-vlfr.fr/browsetaxo/?id=55840","55840")</f>
        <v>55840</v>
      </c>
      <c r="D27" s="23" t="str">
        <f>HYPERLINK("http://www.marinespecies.org/aphia.php?p=taxdetails&amp;id=149128","149128")</f>
        <v>149128</v>
      </c>
      <c r="E27" s="22" t="s">
        <v>467</v>
      </c>
      <c r="F27" s="22" t="s">
        <v>467</v>
      </c>
      <c r="G27" s="22" t="s">
        <v>2046</v>
      </c>
      <c r="I27" s="23" t="str">
        <f>HYPERLINK("http://www.marinespecies.org/aphia.php?p=taxdetails&amp;id=163042","163042")</f>
        <v>163042</v>
      </c>
      <c r="J27" s="22" t="s">
        <v>2147</v>
      </c>
      <c r="K27" s="22" t="s">
        <v>94</v>
      </c>
      <c r="L27" s="23" t="str">
        <f>HYPERLINK("http://www.marinespecies.org/aphia.php?p=taxdetails&amp;id=163042","163042")</f>
        <v>163042</v>
      </c>
      <c r="M27" s="22" t="s">
        <v>94</v>
      </c>
    </row>
    <row r="28">
      <c r="A28" s="22" t="s">
        <v>1932</v>
      </c>
      <c r="B28" s="22">
        <v>1240.0</v>
      </c>
      <c r="C28" s="23" t="str">
        <f>HYPERLINK("http://ecotaxoserver.obs-vlfr.fr/browsetaxo/?id=92166","92166")</f>
        <v>92166</v>
      </c>
      <c r="D28" s="23" t="str">
        <f>HYPERLINK("http://www.marinespecies.org/aphia.php?p=taxdetails&amp;id=148983","148983")</f>
        <v>148983</v>
      </c>
      <c r="E28" s="22" t="s">
        <v>266</v>
      </c>
      <c r="F28" s="22" t="s">
        <v>281</v>
      </c>
      <c r="G28" s="22" t="s">
        <v>2093</v>
      </c>
      <c r="I28" s="23" t="str">
        <f>HYPERLINK("http://www.marinespecies.org/aphia.php?p=taxdetails&amp;id=591197","591197")</f>
        <v>591197</v>
      </c>
      <c r="J28" s="22" t="s">
        <v>1080</v>
      </c>
      <c r="K28" s="22" t="s">
        <v>94</v>
      </c>
      <c r="L28" s="23" t="str">
        <f>HYPERLINK("http://www.marinespecies.org/aphia.php?p=taxdetails&amp;id=591197","591197")</f>
        <v>591197</v>
      </c>
      <c r="M28" s="22" t="s">
        <v>94</v>
      </c>
    </row>
    <row r="29">
      <c r="A29" s="22" t="s">
        <v>1079</v>
      </c>
      <c r="B29" s="22">
        <v>69.0</v>
      </c>
      <c r="C29" s="23" t="str">
        <f>HYPERLINK("http://ecotaxoserver.obs-vlfr.fr/browsetaxo/?id=13460","13460")</f>
        <v>13460</v>
      </c>
      <c r="D29" s="23" t="str">
        <f>HYPERLINK("http://www.marinespecies.org/aphia.php?p=taxdetails&amp;id=148900","148900")</f>
        <v>148900</v>
      </c>
      <c r="E29" s="22" t="s">
        <v>2134</v>
      </c>
      <c r="F29" s="22" t="s">
        <v>309</v>
      </c>
      <c r="G29" s="22" t="s">
        <v>2093</v>
      </c>
      <c r="I29" s="23" t="str">
        <f>HYPERLINK("http://www.marinespecies.org/aphia.php?p=taxdetails&amp;id=148971","148971")</f>
        <v>148971</v>
      </c>
      <c r="J29" s="22" t="s">
        <v>266</v>
      </c>
      <c r="K29" s="22" t="s">
        <v>94</v>
      </c>
      <c r="L29" s="23" t="str">
        <f>HYPERLINK("http://www.marinespecies.org/aphia.php?p=taxdetails&amp;id=148971","148971")</f>
        <v>148971</v>
      </c>
      <c r="M29" s="22" t="s">
        <v>94</v>
      </c>
    </row>
    <row r="30">
      <c r="A30" s="22" t="s">
        <v>2148</v>
      </c>
      <c r="B30" s="22">
        <v>205.0</v>
      </c>
      <c r="C30" s="23" t="str">
        <f>HYPERLINK("http://ecotaxoserver.obs-vlfr.fr/browsetaxo/?id=74174","74174")</f>
        <v>74174</v>
      </c>
      <c r="D30" s="23" t="str">
        <f>HYPERLINK("http://www.marinespecies.org/aphia.php?p=taxdetails&amp;id=605988","605988")</f>
        <v>605988</v>
      </c>
      <c r="E30" s="22" t="s">
        <v>624</v>
      </c>
      <c r="F30" s="22" t="s">
        <v>624</v>
      </c>
      <c r="G30" s="22" t="s">
        <v>2093</v>
      </c>
      <c r="I30" s="23" t="str">
        <f>HYPERLINK("http://www.marinespecies.org/aphia.php?p=taxdetails&amp;id=139034","139034")</f>
        <v>139034</v>
      </c>
      <c r="J30" s="22" t="s">
        <v>625</v>
      </c>
      <c r="K30" s="22" t="s">
        <v>94</v>
      </c>
      <c r="L30" s="23" t="str">
        <f>HYPERLINK("http://www.marinespecies.org/aphia.php?p=taxdetails&amp;id=139034","139034")</f>
        <v>139034</v>
      </c>
      <c r="M30" s="22" t="s">
        <v>94</v>
      </c>
    </row>
    <row r="31">
      <c r="A31" s="22" t="s">
        <v>648</v>
      </c>
      <c r="B31" s="22">
        <v>4.0</v>
      </c>
      <c r="C31" s="23" t="str">
        <f>HYPERLINK("http://ecotaxoserver.obs-vlfr.fr/browsetaxo/?id=26526","26526")</f>
        <v>26526</v>
      </c>
      <c r="D31" s="23" t="str">
        <f>HYPERLINK("http://www.marinespecies.org/aphia.php?p=taxdetails&amp;id=411906","411906")</f>
        <v>411906</v>
      </c>
      <c r="E31" s="22" t="s">
        <v>432</v>
      </c>
      <c r="F31" s="22" t="s">
        <v>433</v>
      </c>
      <c r="G31" s="22" t="s">
        <v>2093</v>
      </c>
      <c r="I31" s="23" t="str">
        <f>HYPERLINK("http://www.marinespecies.org/aphia.php?p=taxdetails&amp;id=23000","23000")</f>
        <v>23000</v>
      </c>
      <c r="J31" s="22" t="s">
        <v>429</v>
      </c>
      <c r="K31" s="22" t="s">
        <v>94</v>
      </c>
      <c r="L31" s="23" t="str">
        <f>HYPERLINK("http://www.marinespecies.org/aphia.php?p=taxdetails&amp;id=23000","23000")</f>
        <v>23000</v>
      </c>
      <c r="M31" s="22" t="s">
        <v>94</v>
      </c>
    </row>
    <row r="32">
      <c r="A32" s="22" t="s">
        <v>2149</v>
      </c>
      <c r="B32" s="22">
        <v>201.0</v>
      </c>
      <c r="C32" s="23" t="str">
        <f>HYPERLINK("http://ecotaxoserver.obs-vlfr.fr/browsetaxo/?id=92132","92132")</f>
        <v>92132</v>
      </c>
      <c r="D32" s="23" t="str">
        <f>HYPERLINK("http://www.marinespecies.org/aphia.php?p=taxdetails&amp;id=224475","224475")</f>
        <v>224475</v>
      </c>
      <c r="E32" s="22" t="s">
        <v>432</v>
      </c>
      <c r="F32" s="22" t="s">
        <v>2150</v>
      </c>
      <c r="G32" s="22" t="s">
        <v>2093</v>
      </c>
      <c r="H32" s="22" t="s">
        <v>2151</v>
      </c>
      <c r="I32" s="23" t="str">
        <f>HYPERLINK("http://www.marinespecies.org/aphia.php?p=taxdetails&amp;id=139494","139494")</f>
        <v>139494</v>
      </c>
      <c r="J32" s="22" t="s">
        <v>2152</v>
      </c>
      <c r="K32" s="22" t="s">
        <v>94</v>
      </c>
      <c r="L32" s="23" t="str">
        <f>HYPERLINK("http://www.marinespecies.org/aphia.php?p=taxdetails&amp;id=139494","139494")</f>
        <v>139494</v>
      </c>
      <c r="M32" s="22" t="s">
        <v>94</v>
      </c>
    </row>
    <row r="33">
      <c r="A33" s="22" t="s">
        <v>2153</v>
      </c>
      <c r="B33" s="22">
        <v>3.0</v>
      </c>
      <c r="C33" s="23" t="str">
        <f>HYPERLINK("http://ecotaxoserver.obs-vlfr.fr/browsetaxo/?id=57386","57386")</f>
        <v>57386</v>
      </c>
      <c r="D33" s="23" t="str">
        <f>HYPERLINK("http://www.marinespecies.org/aphia.php?p=taxdetails&amp;id=235760","235760")</f>
        <v>235760</v>
      </c>
      <c r="E33" s="22" t="s">
        <v>685</v>
      </c>
      <c r="F33" s="22" t="s">
        <v>685</v>
      </c>
      <c r="G33" s="22" t="s">
        <v>2093</v>
      </c>
      <c r="H33" s="22" t="s">
        <v>2154</v>
      </c>
      <c r="I33" s="23" t="str">
        <f>HYPERLINK("http://www.marinespecies.org/aphia.php?p=taxdetails&amp;id=736284","736284")</f>
        <v>736284</v>
      </c>
      <c r="J33" s="22" t="s">
        <v>2155</v>
      </c>
      <c r="K33" s="22" t="s">
        <v>94</v>
      </c>
      <c r="L33" s="23" t="str">
        <f>HYPERLINK("http://www.marinespecies.org/aphia.php?p=taxdetails&amp;id=736284","736284")</f>
        <v>736284</v>
      </c>
      <c r="M33" s="22" t="s">
        <v>94</v>
      </c>
    </row>
    <row r="34">
      <c r="A34" s="22" t="s">
        <v>2156</v>
      </c>
      <c r="B34" s="22">
        <v>4.0</v>
      </c>
      <c r="C34" s="23" t="str">
        <f>HYPERLINK("http://ecotaxoserver.obs-vlfr.fr/browsetaxo/?id=85532","85532")</f>
        <v>85532</v>
      </c>
      <c r="D34" s="23" t="str">
        <f>HYPERLINK("http://www.marinespecies.org/aphia.php?p=taxdetails&amp;id=179786","179786")</f>
        <v>179786</v>
      </c>
      <c r="E34" s="22" t="s">
        <v>687</v>
      </c>
      <c r="F34" s="22" t="s">
        <v>687</v>
      </c>
      <c r="G34" s="22" t="s">
        <v>2046</v>
      </c>
      <c r="I34" s="23" t="str">
        <f>HYPERLINK("http://www.marinespecies.org/aphia.php?p=taxdetails&amp;id=975336","975336")</f>
        <v>975336</v>
      </c>
      <c r="J34" s="22" t="s">
        <v>2157</v>
      </c>
      <c r="K34" s="22" t="s">
        <v>94</v>
      </c>
      <c r="L34" s="23" t="str">
        <f>HYPERLINK("http://www.marinespecies.org/aphia.php?p=taxdetails&amp;id=975336","975336")</f>
        <v>975336</v>
      </c>
      <c r="M34" s="22" t="s">
        <v>94</v>
      </c>
    </row>
    <row r="35">
      <c r="A35" s="22" t="s">
        <v>2158</v>
      </c>
      <c r="B35" s="22">
        <v>282.0</v>
      </c>
      <c r="C35" s="23" t="str">
        <f>HYPERLINK("http://ecotaxoserver.obs-vlfr.fr/browsetaxo/?id=56061","56061")</f>
        <v>56061</v>
      </c>
      <c r="D35" s="23" t="str">
        <f>HYPERLINK("http://www.marinespecies.org/aphia.php?p=taxdetails&amp;id=149310","149310")</f>
        <v>149310</v>
      </c>
      <c r="E35" s="22" t="s">
        <v>687</v>
      </c>
      <c r="F35" s="22" t="s">
        <v>687</v>
      </c>
      <c r="G35" s="22" t="s">
        <v>2046</v>
      </c>
      <c r="I35" s="23" t="str">
        <f>HYPERLINK("http://www.marinespecies.org/aphia.php?p=taxdetails&amp;id=985165","985165")</f>
        <v>985165</v>
      </c>
      <c r="J35" s="22" t="s">
        <v>2159</v>
      </c>
      <c r="K35" s="22" t="s">
        <v>94</v>
      </c>
      <c r="L35" s="23" t="str">
        <f>HYPERLINK("http://www.marinespecies.org/aphia.php?p=taxdetails&amp;id=985165","985165")</f>
        <v>985165</v>
      </c>
      <c r="M35" s="22" t="s">
        <v>94</v>
      </c>
    </row>
    <row r="36">
      <c r="A36" s="22" t="s">
        <v>2160</v>
      </c>
      <c r="B36" s="22">
        <v>7.0</v>
      </c>
      <c r="C36" s="23" t="str">
        <f>HYPERLINK("http://ecotaxoserver.obs-vlfr.fr/browsetaxo/?id=55883","55883")</f>
        <v>55883</v>
      </c>
      <c r="D36" s="23" t="str">
        <f>HYPERLINK("http://www.marinespecies.org/aphia.php?p=taxdetails&amp;id=149647","149647")</f>
        <v>149647</v>
      </c>
      <c r="E36" s="22" t="s">
        <v>2161</v>
      </c>
      <c r="F36" s="22" t="s">
        <v>2161</v>
      </c>
      <c r="G36" s="22" t="s">
        <v>2046</v>
      </c>
      <c r="I36" s="23" t="str">
        <f>HYPERLINK("http://www.marinespecies.org/aphia.php?p=taxdetails&amp;id=163226","163226")</f>
        <v>163226</v>
      </c>
      <c r="J36" s="22" t="s">
        <v>2162</v>
      </c>
      <c r="K36" s="22" t="s">
        <v>94</v>
      </c>
      <c r="L36" s="23" t="str">
        <f>HYPERLINK("http://www.marinespecies.org/aphia.php?p=taxdetails&amp;id=163226","163226")</f>
        <v>163226</v>
      </c>
      <c r="M36" s="22" t="s">
        <v>94</v>
      </c>
    </row>
    <row r="37">
      <c r="A37" s="22" t="s">
        <v>2163</v>
      </c>
      <c r="B37" s="22">
        <v>1.0</v>
      </c>
      <c r="C37" s="23" t="str">
        <f>HYPERLINK("http://ecotaxoserver.obs-vlfr.fr/browsetaxo/?id=74199","74199")</f>
        <v>74199</v>
      </c>
      <c r="D37" s="23" t="str">
        <f>HYPERLINK("http://www.marinespecies.org/aphia.php?p=taxdetails&amp;id=139042","139042")</f>
        <v>139042</v>
      </c>
      <c r="E37" s="22" t="s">
        <v>710</v>
      </c>
      <c r="F37" s="22" t="s">
        <v>710</v>
      </c>
      <c r="G37" s="22" t="s">
        <v>2093</v>
      </c>
      <c r="I37" s="23" t="str">
        <f>HYPERLINK("http://www.marinespecies.org/aphia.php?p=taxdetails&amp;id=1419957","1419957")</f>
        <v>1419957</v>
      </c>
      <c r="J37" s="22" t="s">
        <v>2164</v>
      </c>
      <c r="K37" s="22" t="s">
        <v>94</v>
      </c>
      <c r="L37" s="23" t="str">
        <f>HYPERLINK("http://www.marinespecies.org/aphia.php?p=taxdetails&amp;id=1419957","1419957")</f>
        <v>1419957</v>
      </c>
      <c r="M37" s="22" t="s">
        <v>94</v>
      </c>
    </row>
    <row r="38">
      <c r="A38" s="22" t="s">
        <v>2165</v>
      </c>
      <c r="B38" s="22">
        <v>3938.0</v>
      </c>
      <c r="C38" s="23" t="str">
        <f>HYPERLINK("http://ecotaxoserver.obs-vlfr.fr/browsetaxo/?id=28437","28437")</f>
        <v>28437</v>
      </c>
      <c r="D38" s="23" t="str">
        <f>HYPERLINK("http://www.marinespecies.org/aphia.php?p=taxdetails&amp;id=157260","157260")</f>
        <v>157260</v>
      </c>
      <c r="E38" s="22" t="s">
        <v>717</v>
      </c>
      <c r="F38" s="22" t="s">
        <v>717</v>
      </c>
      <c r="G38" s="22" t="s">
        <v>2093</v>
      </c>
      <c r="I38" s="23" t="str">
        <f>HYPERLINK("http://www.marinespecies.org/aphia.php?p=taxdetails&amp;id=1310442","1310442")</f>
        <v>1310442</v>
      </c>
      <c r="J38" s="22" t="s">
        <v>2166</v>
      </c>
      <c r="K38" s="22" t="s">
        <v>94</v>
      </c>
      <c r="L38" s="23" t="str">
        <f>HYPERLINK("http://www.marinespecies.org/aphia.php?p=taxdetails&amp;id=1310442","1310442")</f>
        <v>1310442</v>
      </c>
      <c r="M38" s="22" t="s">
        <v>94</v>
      </c>
    </row>
    <row r="39">
      <c r="A39" s="22" t="s">
        <v>2167</v>
      </c>
      <c r="B39" s="22">
        <v>6.0</v>
      </c>
      <c r="C39" s="23" t="str">
        <f>HYPERLINK("http://ecotaxoserver.obs-vlfr.fr/browsetaxo/?id=72276","72276")</f>
        <v>72276</v>
      </c>
      <c r="D39" s="23" t="str">
        <f>HYPERLINK("http://www.marinespecies.org/aphia.php?p=taxdetails&amp;id=117069","117069")</f>
        <v>117069</v>
      </c>
      <c r="E39" s="22" t="s">
        <v>606</v>
      </c>
      <c r="F39" s="22" t="s">
        <v>606</v>
      </c>
      <c r="G39" s="22" t="s">
        <v>2093</v>
      </c>
      <c r="I39" s="23" t="str">
        <f>HYPERLINK("http://www.marinespecies.org/aphia.php?p=taxdetails&amp;id=565147","565147")</f>
        <v>565147</v>
      </c>
      <c r="J39" s="22" t="s">
        <v>2168</v>
      </c>
      <c r="K39" s="22" t="s">
        <v>94</v>
      </c>
      <c r="L39" s="23" t="str">
        <f>HYPERLINK("http://www.marinespecies.org/aphia.php?p=taxdetails&amp;id=565147","565147")</f>
        <v>565147</v>
      </c>
      <c r="M39" s="22" t="s">
        <v>94</v>
      </c>
    </row>
    <row r="40">
      <c r="A40" s="22" t="s">
        <v>2169</v>
      </c>
      <c r="B40" s="22">
        <v>2.0</v>
      </c>
      <c r="C40" s="23" t="str">
        <f>HYPERLINK("http://ecotaxoserver.obs-vlfr.fr/browsetaxo/?id=18772","18772")</f>
        <v>18772</v>
      </c>
      <c r="D40" s="23" t="str">
        <f>HYPERLINK("http://www.marinespecies.org/aphia.php?p=taxdetails&amp;id=109569","109569")</f>
        <v>109569</v>
      </c>
      <c r="E40" s="22" t="s">
        <v>2170</v>
      </c>
      <c r="F40" s="22" t="s">
        <v>1580</v>
      </c>
      <c r="G40" s="22" t="s">
        <v>2093</v>
      </c>
      <c r="H40" s="22" t="s">
        <v>2112</v>
      </c>
      <c r="I40" s="23" t="str">
        <f>HYPERLINK("http://www.marinespecies.org/aphia.php?p=taxdetails&amp;id=109571","109571")</f>
        <v>109571</v>
      </c>
      <c r="J40" s="22" t="s">
        <v>1582</v>
      </c>
      <c r="K40" s="22" t="s">
        <v>94</v>
      </c>
      <c r="L40" s="23" t="str">
        <f>HYPERLINK("http://www.marinespecies.org/aphia.php?p=taxdetails&amp;id=109571","109571")</f>
        <v>109571</v>
      </c>
      <c r="M40" s="22" t="s">
        <v>94</v>
      </c>
    </row>
    <row r="41">
      <c r="A41" s="22" t="s">
        <v>2171</v>
      </c>
      <c r="B41" s="22">
        <v>3.0</v>
      </c>
      <c r="C41" s="23" t="str">
        <f>HYPERLINK("http://ecotaxoserver.obs-vlfr.fr/browsetaxo/?id=85513","85513")</f>
        <v>85513</v>
      </c>
      <c r="D41" s="23" t="str">
        <f>HYPERLINK("http://www.marinespecies.org/aphia.php?p=taxdetails&amp;id=248058","248058")</f>
        <v>248058</v>
      </c>
      <c r="E41" s="22" t="s">
        <v>812</v>
      </c>
      <c r="F41" s="22" t="s">
        <v>812</v>
      </c>
      <c r="G41" s="22" t="s">
        <v>2046</v>
      </c>
      <c r="I41" s="23" t="str">
        <f>HYPERLINK("http://www.marinespecies.org/aphia.php?p=taxdetails&amp;id=1324082","1324082")</f>
        <v>1324082</v>
      </c>
      <c r="J41" s="22" t="s">
        <v>2172</v>
      </c>
      <c r="K41" s="22" t="s">
        <v>94</v>
      </c>
      <c r="L41" s="23" t="str">
        <f>HYPERLINK("http://www.marinespecies.org/aphia.php?p=taxdetails&amp;id=1324082","1324082")</f>
        <v>1324082</v>
      </c>
      <c r="M41" s="22" t="s">
        <v>94</v>
      </c>
    </row>
    <row r="42">
      <c r="A42" s="22" t="s">
        <v>819</v>
      </c>
      <c r="B42" s="22">
        <v>872.0</v>
      </c>
      <c r="C42" s="23" t="str">
        <f>HYPERLINK("http://ecotaxoserver.obs-vlfr.fr/browsetaxo/?id=12507","12507")</f>
        <v>12507</v>
      </c>
      <c r="D42" s="23" t="str">
        <f>HYPERLINK("http://www.marinespecies.org/aphia.php?p=taxdetails&amp;id=21000","21000")</f>
        <v>21000</v>
      </c>
      <c r="E42" s="22" t="s">
        <v>821</v>
      </c>
      <c r="F42" s="22" t="s">
        <v>2173</v>
      </c>
      <c r="G42" s="22" t="s">
        <v>2093</v>
      </c>
      <c r="I42" s="23" t="str">
        <f>HYPERLINK("http://www.marinespecies.org/aphia.php?p=taxdetails&amp;id=582209","582209")</f>
        <v>582209</v>
      </c>
      <c r="J42" s="22" t="s">
        <v>821</v>
      </c>
      <c r="K42" s="22" t="s">
        <v>94</v>
      </c>
      <c r="L42" s="23" t="str">
        <f>HYPERLINK("http://www.marinespecies.org/aphia.php?p=taxdetails&amp;id=582209","582209")</f>
        <v>582209</v>
      </c>
      <c r="M42" s="22" t="s">
        <v>94</v>
      </c>
    </row>
    <row r="43">
      <c r="A43" s="22" t="s">
        <v>2174</v>
      </c>
      <c r="B43" s="22">
        <v>1126.0</v>
      </c>
      <c r="C43" s="23" t="str">
        <f>HYPERLINK("http://ecotaxoserver.obs-vlfr.fr/browsetaxo/?id=83336","83336")</f>
        <v>83336</v>
      </c>
      <c r="D43" s="23" t="str">
        <f>HYPERLINK("http://www.marinespecies.org/aphia.php?p=taxdetails&amp;id=104872","104872")</f>
        <v>104872</v>
      </c>
      <c r="E43" s="22" t="s">
        <v>838</v>
      </c>
      <c r="F43" s="22" t="s">
        <v>838</v>
      </c>
      <c r="G43" s="22" t="s">
        <v>2093</v>
      </c>
      <c r="I43" s="23" t="str">
        <f>HYPERLINK("http://www.marinespecies.org/aphia.php?p=taxdetails&amp;id=1416974","1416974")</f>
        <v>1416974</v>
      </c>
      <c r="J43" s="22" t="s">
        <v>2175</v>
      </c>
      <c r="K43" s="22" t="s">
        <v>94</v>
      </c>
      <c r="L43" s="23" t="str">
        <f>HYPERLINK("http://www.marinespecies.org/aphia.php?p=taxdetails&amp;id=1416974","1416974")</f>
        <v>1416974</v>
      </c>
      <c r="M43" s="22" t="s">
        <v>94</v>
      </c>
    </row>
    <row r="44">
      <c r="A44" s="22" t="s">
        <v>2176</v>
      </c>
      <c r="B44" s="22">
        <v>25.0</v>
      </c>
      <c r="C44" s="23" t="str">
        <f>HYPERLINK("http://ecotaxoserver.obs-vlfr.fr/browsetaxo/?id=92336","92336")</f>
        <v>92336</v>
      </c>
      <c r="D44" s="23" t="str">
        <f>HYPERLINK("http://www.marinespecies.org/aphia.php?p=taxdetails&amp;id=366281","366281")</f>
        <v>366281</v>
      </c>
      <c r="E44" s="22" t="s">
        <v>128</v>
      </c>
      <c r="F44" s="22" t="s">
        <v>875</v>
      </c>
      <c r="G44" s="22" t="s">
        <v>2046</v>
      </c>
      <c r="I44" s="23" t="str">
        <f>HYPERLINK("http://www.marinespecies.org/aphia.php?p=taxdetails&amp;id=573607","573607")</f>
        <v>573607</v>
      </c>
      <c r="J44" s="22" t="s">
        <v>2177</v>
      </c>
      <c r="K44" s="22" t="s">
        <v>94</v>
      </c>
      <c r="L44" s="23" t="str">
        <f>HYPERLINK("http://www.marinespecies.org/aphia.php?p=taxdetails&amp;id=573607","573607")</f>
        <v>573607</v>
      </c>
      <c r="M44" s="22" t="s">
        <v>94</v>
      </c>
    </row>
    <row r="45">
      <c r="A45" s="22" t="s">
        <v>2178</v>
      </c>
      <c r="B45" s="22">
        <v>482.0</v>
      </c>
      <c r="C45" s="23" t="str">
        <f>HYPERLINK("http://ecotaxoserver.obs-vlfr.fr/browsetaxo/?id=85422","85422")</f>
        <v>85422</v>
      </c>
      <c r="D45" s="23" t="str">
        <f>HYPERLINK("http://www.marinespecies.org/aphia.php?p=taxdetails&amp;id=341555","341555")</f>
        <v>341555</v>
      </c>
      <c r="E45" s="22" t="s">
        <v>875</v>
      </c>
      <c r="F45" s="22" t="s">
        <v>875</v>
      </c>
      <c r="G45" s="22" t="s">
        <v>2046</v>
      </c>
      <c r="I45" s="23" t="str">
        <f>HYPERLINK("http://www.marinespecies.org/aphia.php?p=taxdetails&amp;id=573621","573621")</f>
        <v>573621</v>
      </c>
      <c r="J45" s="22" t="s">
        <v>2179</v>
      </c>
      <c r="K45" s="22" t="s">
        <v>94</v>
      </c>
      <c r="L45" s="23" t="str">
        <f>HYPERLINK("http://www.marinespecies.org/aphia.php?p=taxdetails&amp;id=573621","573621")</f>
        <v>573621</v>
      </c>
      <c r="M45" s="22" t="s">
        <v>94</v>
      </c>
    </row>
    <row r="46">
      <c r="A46" s="22" t="s">
        <v>2180</v>
      </c>
      <c r="B46" s="22">
        <v>62.0</v>
      </c>
      <c r="C46" s="23" t="str">
        <f>HYPERLINK("http://ecotaxoserver.obs-vlfr.fr/browsetaxo/?id=92450","92450")</f>
        <v>92450</v>
      </c>
      <c r="D46" s="23" t="str">
        <f>HYPERLINK("http://www.marinespecies.org/aphia.php?p=taxdetails&amp;id=233386","233386")</f>
        <v>233386</v>
      </c>
      <c r="E46" s="22" t="s">
        <v>128</v>
      </c>
      <c r="F46" s="22" t="s">
        <v>2181</v>
      </c>
      <c r="G46" s="22" t="s">
        <v>2093</v>
      </c>
      <c r="I46" s="23" t="str">
        <f>HYPERLINK("http://www.marinespecies.org/aphia.php?p=taxdetails&amp;id=196828","196828")</f>
        <v>196828</v>
      </c>
      <c r="J46" s="22" t="s">
        <v>2182</v>
      </c>
      <c r="K46" s="22" t="s">
        <v>94</v>
      </c>
      <c r="L46" s="23" t="str">
        <f>HYPERLINK("http://www.marinespecies.org/aphia.php?p=taxdetails&amp;id=196828","196828")</f>
        <v>196828</v>
      </c>
      <c r="M46" s="22" t="s">
        <v>94</v>
      </c>
    </row>
    <row r="47">
      <c r="A47" s="22" t="s">
        <v>2183</v>
      </c>
      <c r="B47" s="22">
        <v>2.0</v>
      </c>
      <c r="C47" s="23" t="str">
        <f>HYPERLINK("http://ecotaxoserver.obs-vlfr.fr/browsetaxo/?id=92339","92339")</f>
        <v>92339</v>
      </c>
      <c r="D47" s="23" t="str">
        <f>HYPERLINK("http://www.marinespecies.org/aphia.php?p=taxdetails&amp;id=163241","163241")</f>
        <v>163241</v>
      </c>
      <c r="E47" s="22" t="s">
        <v>128</v>
      </c>
      <c r="F47" s="22" t="s">
        <v>935</v>
      </c>
      <c r="G47" s="22" t="s">
        <v>2046</v>
      </c>
      <c r="I47" s="23" t="str">
        <f>HYPERLINK("http://www.marinespecies.org/aphia.php?p=taxdetails&amp;id=163242","163242")</f>
        <v>163242</v>
      </c>
      <c r="J47" s="22" t="s">
        <v>2184</v>
      </c>
      <c r="K47" s="22" t="s">
        <v>94</v>
      </c>
      <c r="L47" s="23" t="str">
        <f>HYPERLINK("http://www.marinespecies.org/aphia.php?p=taxdetails&amp;id=163242","163242")</f>
        <v>163242</v>
      </c>
      <c r="M47" s="22" t="s">
        <v>94</v>
      </c>
    </row>
    <row r="48">
      <c r="A48" s="22" t="s">
        <v>2185</v>
      </c>
      <c r="B48" s="22">
        <v>882.0</v>
      </c>
      <c r="C48" s="23" t="str">
        <f>HYPERLINK("http://ecotaxoserver.obs-vlfr.fr/browsetaxo/?id=56065","56065")</f>
        <v>56065</v>
      </c>
      <c r="D48" s="23" t="str">
        <f>HYPERLINK("http://www.marinespecies.org/aphia.php?p=taxdetails&amp;id=149112","149112")</f>
        <v>149112</v>
      </c>
      <c r="E48" s="22" t="s">
        <v>935</v>
      </c>
      <c r="F48" s="22" t="s">
        <v>935</v>
      </c>
      <c r="G48" s="22" t="s">
        <v>2046</v>
      </c>
      <c r="I48" s="23" t="str">
        <f>HYPERLINK("http://www.marinespecies.org/aphia.php?p=taxdetails&amp;id=149114","149114")</f>
        <v>149114</v>
      </c>
      <c r="J48" s="22" t="s">
        <v>2186</v>
      </c>
      <c r="K48" s="22" t="s">
        <v>94</v>
      </c>
      <c r="L48" s="23" t="str">
        <f>HYPERLINK("http://www.marinespecies.org/aphia.php?p=taxdetails&amp;id=149114","149114")</f>
        <v>149114</v>
      </c>
      <c r="M48" s="22" t="s">
        <v>94</v>
      </c>
    </row>
    <row r="49">
      <c r="A49" s="22" t="s">
        <v>2187</v>
      </c>
      <c r="B49" s="22">
        <v>8.0</v>
      </c>
      <c r="C49" s="23" t="str">
        <f>HYPERLINK("http://ecotaxoserver.obs-vlfr.fr/browsetaxo/?id=56064","56064")</f>
        <v>56064</v>
      </c>
      <c r="D49" s="23" t="str">
        <f>HYPERLINK("http://www.marinespecies.org/aphia.php?p=taxdetails&amp;id=149132","149132")</f>
        <v>149132</v>
      </c>
      <c r="E49" s="22" t="s">
        <v>935</v>
      </c>
      <c r="F49" s="22" t="s">
        <v>935</v>
      </c>
      <c r="G49" s="22" t="s">
        <v>2046</v>
      </c>
      <c r="I49" s="23" t="str">
        <f>HYPERLINK("http://www.marinespecies.org/aphia.php?p=taxdetails&amp;id=160530","160530")</f>
        <v>160530</v>
      </c>
      <c r="J49" s="22" t="s">
        <v>2188</v>
      </c>
      <c r="K49" s="22" t="s">
        <v>94</v>
      </c>
      <c r="L49" s="23" t="str">
        <f>HYPERLINK("http://www.marinespecies.org/aphia.php?p=taxdetails&amp;id=160530","160530")</f>
        <v>160530</v>
      </c>
      <c r="M49" s="22" t="s">
        <v>94</v>
      </c>
    </row>
    <row r="50">
      <c r="A50" s="22" t="s">
        <v>2039</v>
      </c>
      <c r="B50" s="22">
        <v>90.0</v>
      </c>
      <c r="C50" s="23" t="str">
        <f>HYPERLINK("http://ecotaxoserver.obs-vlfr.fr/browsetaxo/?id=56062","56062")</f>
        <v>56062</v>
      </c>
      <c r="D50" s="23" t="str">
        <f>HYPERLINK("http://www.marinespecies.org/aphia.php?p=taxdetails&amp;id=149113","149113")</f>
        <v>149113</v>
      </c>
      <c r="E50" s="22" t="s">
        <v>935</v>
      </c>
      <c r="F50" s="22" t="s">
        <v>935</v>
      </c>
      <c r="G50" s="22" t="s">
        <v>2046</v>
      </c>
      <c r="I50" s="23" t="str">
        <f>HYPERLINK("http://www.marinespecies.org/aphia.php?p=taxdetails&amp;id=163243","163243")</f>
        <v>163243</v>
      </c>
      <c r="J50" s="22" t="s">
        <v>2189</v>
      </c>
      <c r="K50" s="22" t="s">
        <v>94</v>
      </c>
      <c r="L50" s="23" t="str">
        <f>HYPERLINK("http://www.marinespecies.org/aphia.php?p=taxdetails&amp;id=163243","163243")</f>
        <v>163243</v>
      </c>
      <c r="M50" s="22" t="s">
        <v>94</v>
      </c>
    </row>
    <row r="51">
      <c r="A51" s="22" t="s">
        <v>2190</v>
      </c>
      <c r="B51" s="22">
        <v>15.0</v>
      </c>
      <c r="C51" s="23" t="str">
        <f>HYPERLINK("http://ecotaxoserver.obs-vlfr.fr/browsetaxo/?id=55571","55571")</f>
        <v>55571</v>
      </c>
      <c r="D51" s="23" t="str">
        <f>HYPERLINK("http://www.marinespecies.org/aphia.php?p=taxdetails&amp;id=149494","149494")</f>
        <v>149494</v>
      </c>
      <c r="E51" s="22" t="s">
        <v>943</v>
      </c>
      <c r="F51" s="22" t="s">
        <v>943</v>
      </c>
      <c r="G51" s="22" t="s">
        <v>2046</v>
      </c>
      <c r="I51" s="23" t="str">
        <f>HYPERLINK("http://www.marinespecies.org/aphia.php?p=taxdetails&amp;id=172535","172535")</f>
        <v>172535</v>
      </c>
      <c r="J51" s="22" t="s">
        <v>2191</v>
      </c>
      <c r="K51" s="22" t="s">
        <v>94</v>
      </c>
      <c r="L51" s="23" t="str">
        <f>HYPERLINK("http://www.marinespecies.org/aphia.php?p=taxdetails&amp;id=172535","172535")</f>
        <v>172535</v>
      </c>
      <c r="M51" s="22" t="s">
        <v>94</v>
      </c>
    </row>
    <row r="52">
      <c r="A52" s="22" t="s">
        <v>2192</v>
      </c>
      <c r="B52" s="22">
        <v>382.0</v>
      </c>
      <c r="C52" s="23" t="str">
        <f>HYPERLINK("http://ecotaxoserver.obs-vlfr.fr/browsetaxo/?id=86373","86373")</f>
        <v>86373</v>
      </c>
      <c r="D52" s="23" t="str">
        <f>HYPERLINK("http://www.marinespecies.org/aphia.php?p=taxdetails&amp;id=14775","14775")</f>
        <v>14775</v>
      </c>
      <c r="E52" s="22" t="s">
        <v>2193</v>
      </c>
      <c r="F52" s="22" t="s">
        <v>1573</v>
      </c>
      <c r="G52" s="22" t="s">
        <v>2093</v>
      </c>
      <c r="H52" s="22" t="s">
        <v>2194</v>
      </c>
      <c r="I52" s="23" t="str">
        <f>HYPERLINK("http://www.marinespecies.org/aphia.php?p=taxdetails&amp;id=387338","387338")</f>
        <v>387338</v>
      </c>
      <c r="J52" s="22" t="s">
        <v>1572</v>
      </c>
      <c r="K52" s="22" t="s">
        <v>94</v>
      </c>
      <c r="L52" s="23" t="str">
        <f>HYPERLINK("http://www.marinespecies.org/aphia.php?p=taxdetails&amp;id=387338","387338")</f>
        <v>387338</v>
      </c>
      <c r="M52" s="22" t="s">
        <v>94</v>
      </c>
    </row>
    <row r="53">
      <c r="A53" s="22" t="s">
        <v>2195</v>
      </c>
      <c r="B53" s="22">
        <v>1.0</v>
      </c>
      <c r="C53" s="23" t="str">
        <f>HYPERLINK("http://ecotaxoserver.obs-vlfr.fr/browsetaxo/?id=92640","92640")</f>
        <v>92640</v>
      </c>
      <c r="D53" s="23" t="str">
        <f>HYPERLINK("http://www.marinespecies.org/aphia.php?p=taxdetails&amp;id=669448","669448")</f>
        <v>669448</v>
      </c>
      <c r="E53" s="22" t="s">
        <v>128</v>
      </c>
      <c r="F53" s="22" t="s">
        <v>2196</v>
      </c>
      <c r="G53" s="22" t="s">
        <v>2093</v>
      </c>
      <c r="H53" s="22" t="s">
        <v>2112</v>
      </c>
      <c r="I53" s="23" t="str">
        <f>HYPERLINK("http://www.marinespecies.org/aphia.php?p=taxdetails&amp;id=624966","624966")</f>
        <v>624966</v>
      </c>
      <c r="J53" s="22" t="s">
        <v>1543</v>
      </c>
      <c r="K53" s="22" t="s">
        <v>94</v>
      </c>
      <c r="L53" s="23" t="str">
        <f>HYPERLINK("http://www.marinespecies.org/aphia.php?p=taxdetails&amp;id=624966","624966")</f>
        <v>624966</v>
      </c>
      <c r="M53" s="22" t="s">
        <v>94</v>
      </c>
    </row>
    <row r="54">
      <c r="A54" s="22" t="s">
        <v>2197</v>
      </c>
      <c r="B54" s="22">
        <v>11.0</v>
      </c>
      <c r="C54" s="23" t="str">
        <f>HYPERLINK("http://ecotaxoserver.obs-vlfr.fr/browsetaxo/?id=79846","79846")</f>
        <v>79846</v>
      </c>
      <c r="D54" s="23" t="str">
        <f>HYPERLINK("http://www.marinespecies.org/aphia.php?p=taxdetails&amp;id=118715","118715")</f>
        <v>118715</v>
      </c>
      <c r="E54" s="22" t="s">
        <v>2198</v>
      </c>
      <c r="F54" s="22" t="s">
        <v>2198</v>
      </c>
      <c r="G54" s="22" t="s">
        <v>2046</v>
      </c>
      <c r="I54" s="23" t="str">
        <f>HYPERLINK("http://www.marinespecies.org/aphia.php?p=taxdetails&amp;id=264171","264171")</f>
        <v>264171</v>
      </c>
      <c r="J54" s="22" t="s">
        <v>2199</v>
      </c>
      <c r="K54" s="22" t="s">
        <v>94</v>
      </c>
      <c r="L54" s="23" t="str">
        <f>HYPERLINK("http://www.marinespecies.org/aphia.php?p=taxdetails&amp;id=264171","264171")</f>
        <v>264171</v>
      </c>
      <c r="M54" s="22" t="s">
        <v>94</v>
      </c>
    </row>
    <row r="55">
      <c r="A55" s="22" t="s">
        <v>2200</v>
      </c>
      <c r="B55" s="22">
        <v>806.0</v>
      </c>
      <c r="C55" s="23" t="str">
        <f>HYPERLINK("http://ecotaxoserver.obs-vlfr.fr/browsetaxo/?id=80298","80298")</f>
        <v>80298</v>
      </c>
      <c r="D55" s="23" t="str">
        <f>HYPERLINK("http://www.marinespecies.org/aphia.php?p=taxdetails&amp;id=135782","135782")</f>
        <v>135782</v>
      </c>
      <c r="E55" s="22" t="s">
        <v>2201</v>
      </c>
      <c r="F55" s="22" t="s">
        <v>2201</v>
      </c>
      <c r="G55" s="22" t="s">
        <v>2046</v>
      </c>
      <c r="I55" s="23" t="str">
        <f>HYPERLINK("http://www.marinespecies.org/aphia.php?p=taxdetails&amp;id=762378","762378")</f>
        <v>762378</v>
      </c>
      <c r="J55" s="22" t="s">
        <v>2202</v>
      </c>
      <c r="K55" s="22" t="s">
        <v>94</v>
      </c>
      <c r="L55" s="23" t="str">
        <f>HYPERLINK("http://www.marinespecies.org/aphia.php?p=taxdetails&amp;id=762378","762378")</f>
        <v>762378</v>
      </c>
      <c r="M55" s="22" t="s">
        <v>94</v>
      </c>
    </row>
    <row r="56">
      <c r="A56" s="22" t="s">
        <v>2203</v>
      </c>
      <c r="B56" s="22">
        <v>129.0</v>
      </c>
      <c r="C56" s="23" t="str">
        <f>HYPERLINK("http://ecotaxoserver.obs-vlfr.fr/browsetaxo/?id=92344","92344")</f>
        <v>92344</v>
      </c>
      <c r="D56" s="23" t="str">
        <f>HYPERLINK("http://www.marinespecies.org/aphia.php?p=taxdetails&amp;id=149230","149230")</f>
        <v>149230</v>
      </c>
      <c r="E56" s="22" t="s">
        <v>128</v>
      </c>
      <c r="F56" s="22" t="s">
        <v>1081</v>
      </c>
      <c r="G56" s="22" t="s">
        <v>2046</v>
      </c>
      <c r="I56" s="23" t="str">
        <f>HYPERLINK("http://www.marinespecies.org/aphia.php?p=taxdetails&amp;id=163261","163261")</f>
        <v>163261</v>
      </c>
      <c r="J56" s="22" t="s">
        <v>2204</v>
      </c>
      <c r="K56" s="22" t="s">
        <v>94</v>
      </c>
      <c r="L56" s="23" t="str">
        <f>HYPERLINK("http://www.marinespecies.org/aphia.php?p=taxdetails&amp;id=163261","163261")</f>
        <v>163261</v>
      </c>
      <c r="M56" s="22" t="s">
        <v>94</v>
      </c>
    </row>
    <row r="57">
      <c r="A57" s="22" t="s">
        <v>2205</v>
      </c>
      <c r="B57" s="22">
        <v>11.0</v>
      </c>
      <c r="C57" s="23" t="str">
        <f>HYPERLINK("http://ecotaxoserver.obs-vlfr.fr/browsetaxo/?id=26009","26009")</f>
        <v>26009</v>
      </c>
      <c r="D57" s="23" t="str">
        <f>HYPERLINK("http://www.marinespecies.org/aphia.php?p=taxdetails&amp;id=120263","120263")</f>
        <v>120263</v>
      </c>
      <c r="E57" s="22" t="s">
        <v>2206</v>
      </c>
      <c r="F57" s="22" t="s">
        <v>2207</v>
      </c>
      <c r="G57" s="22" t="s">
        <v>2093</v>
      </c>
      <c r="I57" s="23" t="str">
        <f>HYPERLINK("http://www.marinespecies.org/aphia.php?p=taxdetails&amp;id=120262","120262")</f>
        <v>120262</v>
      </c>
      <c r="J57" s="22" t="s">
        <v>2208</v>
      </c>
      <c r="K57" s="22" t="s">
        <v>94</v>
      </c>
      <c r="L57" s="23" t="str">
        <f>HYPERLINK("http://www.marinespecies.org/aphia.php?p=taxdetails&amp;id=120262","120262")</f>
        <v>120262</v>
      </c>
      <c r="M57" s="22" t="s">
        <v>94</v>
      </c>
    </row>
    <row r="58">
      <c r="A58" s="22" t="s">
        <v>2209</v>
      </c>
      <c r="B58" s="22">
        <v>2837.0</v>
      </c>
      <c r="C58" s="23" t="str">
        <f>HYPERLINK("http://ecotaxoserver.obs-vlfr.fr/browsetaxo/?id=78153","78153")</f>
        <v>78153</v>
      </c>
      <c r="D58" s="23" t="str">
        <f>HYPERLINK("http://www.marinespecies.org/aphia.php?p=taxdetails&amp;id=140225","140225")</f>
        <v>140225</v>
      </c>
      <c r="E58" s="22" t="s">
        <v>1110</v>
      </c>
      <c r="F58" s="22" t="s">
        <v>1110</v>
      </c>
      <c r="G58" s="22" t="s">
        <v>2093</v>
      </c>
      <c r="I58" s="23" t="str">
        <f>HYPERLINK("http://www.marinespecies.org/aphia.php?p=taxdetails&amp;id=605965","605965")</f>
        <v>605965</v>
      </c>
      <c r="J58" s="22" t="s">
        <v>2210</v>
      </c>
      <c r="K58" s="22" t="s">
        <v>94</v>
      </c>
      <c r="L58" s="23" t="str">
        <f>HYPERLINK("http://www.marinespecies.org/aphia.php?p=taxdetails&amp;id=605965","605965")</f>
        <v>605965</v>
      </c>
      <c r="M58" s="22" t="s">
        <v>94</v>
      </c>
    </row>
    <row r="59">
      <c r="A59" s="22" t="s">
        <v>2211</v>
      </c>
      <c r="B59" s="22">
        <v>8.0</v>
      </c>
      <c r="C59" s="23" t="str">
        <f>HYPERLINK("http://ecotaxoserver.obs-vlfr.fr/browsetaxo/?id=92345","92345")</f>
        <v>92345</v>
      </c>
      <c r="D59" s="23" t="str">
        <f>HYPERLINK("http://www.marinespecies.org/aphia.php?p=taxdetails&amp;id=292728","292728")</f>
        <v>292728</v>
      </c>
      <c r="E59" s="22" t="s">
        <v>128</v>
      </c>
      <c r="F59" s="22" t="s">
        <v>1119</v>
      </c>
      <c r="G59" s="22" t="s">
        <v>2046</v>
      </c>
      <c r="I59" s="23" t="str">
        <f>HYPERLINK("http://www.marinespecies.org/aphia.php?p=taxdetails&amp;id=502171","502171")</f>
        <v>502171</v>
      </c>
      <c r="J59" s="22" t="s">
        <v>2212</v>
      </c>
      <c r="K59" s="22" t="s">
        <v>94</v>
      </c>
      <c r="L59" s="23" t="str">
        <f>HYPERLINK("http://www.marinespecies.org/aphia.php?p=taxdetails&amp;id=502171","502171")</f>
        <v>502171</v>
      </c>
      <c r="M59" s="22" t="s">
        <v>94</v>
      </c>
    </row>
    <row r="60">
      <c r="A60" s="22" t="s">
        <v>2213</v>
      </c>
      <c r="B60" s="22">
        <v>2.0</v>
      </c>
      <c r="C60" s="23" t="str">
        <f>HYPERLINK("http://ecotaxoserver.obs-vlfr.fr/browsetaxo/?id=92347","92347")</f>
        <v>92347</v>
      </c>
      <c r="D60" s="23" t="str">
        <f>HYPERLINK("http://www.marinespecies.org/aphia.php?p=taxdetails&amp;id=418646","418646")</f>
        <v>418646</v>
      </c>
      <c r="E60" s="22" t="s">
        <v>128</v>
      </c>
      <c r="F60" s="22" t="s">
        <v>1119</v>
      </c>
      <c r="G60" s="22" t="s">
        <v>2046</v>
      </c>
      <c r="I60" s="23" t="str">
        <f>HYPERLINK("http://www.marinespecies.org/aphia.php?p=taxdetails&amp;id=573664","573664")</f>
        <v>573664</v>
      </c>
      <c r="J60" s="22" t="s">
        <v>2214</v>
      </c>
      <c r="K60" s="22" t="s">
        <v>94</v>
      </c>
      <c r="L60" s="23" t="str">
        <f>HYPERLINK("http://www.marinespecies.org/aphia.php?p=taxdetails&amp;id=573664","573664")</f>
        <v>573664</v>
      </c>
      <c r="M60" s="22" t="s">
        <v>94</v>
      </c>
    </row>
    <row r="61">
      <c r="A61" s="22" t="s">
        <v>2215</v>
      </c>
      <c r="B61" s="22">
        <v>3.0</v>
      </c>
      <c r="C61" s="23" t="str">
        <f>HYPERLINK("http://ecotaxoserver.obs-vlfr.fr/browsetaxo/?id=82501","82501")</f>
        <v>82501</v>
      </c>
      <c r="D61" s="23" t="str">
        <f>HYPERLINK("http://www.marinespecies.org/aphia.php?p=taxdetails&amp;id=104633","104633")</f>
        <v>104633</v>
      </c>
      <c r="E61" s="22" t="s">
        <v>1188</v>
      </c>
      <c r="F61" s="22" t="s">
        <v>1188</v>
      </c>
      <c r="G61" s="22" t="s">
        <v>2046</v>
      </c>
      <c r="I61" s="23" t="str">
        <f>HYPERLINK("http://www.marinespecies.org/aphia.php?p=taxdetails&amp;id=850801","850801")</f>
        <v>850801</v>
      </c>
      <c r="J61" s="22" t="s">
        <v>2216</v>
      </c>
      <c r="K61" s="22" t="s">
        <v>94</v>
      </c>
      <c r="L61" s="23" t="str">
        <f>HYPERLINK("http://www.marinespecies.org/aphia.php?p=taxdetails&amp;id=850801","850801")</f>
        <v>850801</v>
      </c>
      <c r="M61" s="22" t="s">
        <v>94</v>
      </c>
    </row>
    <row r="62">
      <c r="A62" s="22" t="s">
        <v>2217</v>
      </c>
      <c r="B62" s="22">
        <v>607.0</v>
      </c>
      <c r="C62" s="23" t="str">
        <f>HYPERLINK("http://ecotaxoserver.obs-vlfr.fr/browsetaxo/?id=56788","56788")</f>
        <v>56788</v>
      </c>
      <c r="D62" s="23" t="str">
        <f>HYPERLINK("http://www.marinespecies.org/aphia.php?p=taxdetails&amp;id=292896","292896")</f>
        <v>292896</v>
      </c>
      <c r="E62" s="22" t="s">
        <v>2218</v>
      </c>
      <c r="F62" s="22" t="s">
        <v>2218</v>
      </c>
      <c r="G62" s="22" t="s">
        <v>2093</v>
      </c>
      <c r="H62" s="22" t="s">
        <v>2154</v>
      </c>
      <c r="I62" s="23" t="str">
        <f>HYPERLINK("http://www.marinespecies.org/aphia.php?p=taxdetails&amp;id=232069","232069")</f>
        <v>232069</v>
      </c>
      <c r="J62" s="22" t="s">
        <v>1181</v>
      </c>
      <c r="K62" s="22" t="s">
        <v>94</v>
      </c>
      <c r="L62" s="23" t="str">
        <f>HYPERLINK("http://www.marinespecies.org/aphia.php?p=taxdetails&amp;id=232069","232069")</f>
        <v>232069</v>
      </c>
      <c r="M62" s="22" t="s">
        <v>94</v>
      </c>
    </row>
    <row r="63">
      <c r="A63" s="22" t="s">
        <v>2219</v>
      </c>
      <c r="B63" s="22">
        <v>66.0</v>
      </c>
      <c r="C63" s="23" t="str">
        <f>HYPERLINK("http://ecotaxoserver.obs-vlfr.fr/browsetaxo/?id=31603","31603")</f>
        <v>31603</v>
      </c>
      <c r="D63" s="23" t="str">
        <f>HYPERLINK("http://www.marinespecies.org/aphia.php?p=taxdetails&amp;id=495630","495630")</f>
        <v>495630</v>
      </c>
      <c r="E63" s="22" t="s">
        <v>1250</v>
      </c>
      <c r="F63" s="22" t="s">
        <v>1250</v>
      </c>
      <c r="G63" s="22" t="s">
        <v>2093</v>
      </c>
      <c r="I63" s="23" t="str">
        <f>HYPERLINK("http://www.marinespecies.org/aphia.php?p=taxdetails&amp;id=841182","841182")</f>
        <v>841182</v>
      </c>
      <c r="J63" s="22" t="s">
        <v>1850</v>
      </c>
      <c r="K63" s="22" t="s">
        <v>94</v>
      </c>
      <c r="L63" s="23" t="str">
        <f>HYPERLINK("http://www.marinespecies.org/aphia.php?p=taxdetails&amp;id=841182","841182")</f>
        <v>841182</v>
      </c>
      <c r="M63" s="22" t="s">
        <v>94</v>
      </c>
    </row>
    <row r="64">
      <c r="A64" s="22" t="s">
        <v>2220</v>
      </c>
      <c r="B64" s="22">
        <v>845.0</v>
      </c>
      <c r="C64" s="23" t="str">
        <f>HYPERLINK("http://ecotaxoserver.obs-vlfr.fr/browsetaxo/?id=31601","31601")</f>
        <v>31601</v>
      </c>
      <c r="D64" s="23" t="str">
        <f>HYPERLINK("http://www.marinespecies.org/aphia.php?p=taxdetails&amp;id=495640","495640")</f>
        <v>495640</v>
      </c>
      <c r="E64" s="22" t="s">
        <v>1250</v>
      </c>
      <c r="F64" s="22" t="s">
        <v>1250</v>
      </c>
      <c r="G64" s="22" t="s">
        <v>2093</v>
      </c>
      <c r="I64" s="23" t="str">
        <f>HYPERLINK("http://www.marinespecies.org/aphia.php?p=taxdetails&amp;id=841193","841193")</f>
        <v>841193</v>
      </c>
      <c r="J64" s="22" t="s">
        <v>2221</v>
      </c>
      <c r="K64" s="22" t="s">
        <v>94</v>
      </c>
      <c r="L64" s="23" t="str">
        <f>HYPERLINK("http://www.marinespecies.org/aphia.php?p=taxdetails&amp;id=841193","841193")</f>
        <v>841193</v>
      </c>
      <c r="M64" s="22" t="s">
        <v>94</v>
      </c>
    </row>
    <row r="65">
      <c r="A65" s="22" t="s">
        <v>2222</v>
      </c>
      <c r="B65" s="22">
        <v>39.0</v>
      </c>
      <c r="C65" s="23" t="str">
        <f>HYPERLINK("http://ecotaxoserver.obs-vlfr.fr/browsetaxo/?id=92858","92858")</f>
        <v>92858</v>
      </c>
      <c r="D65" s="23" t="str">
        <f>HYPERLINK("http://www.marinespecies.org/aphia.php?p=taxdetails&amp;id=495646","495646")</f>
        <v>495646</v>
      </c>
      <c r="E65" s="22" t="s">
        <v>1250</v>
      </c>
      <c r="F65" s="22" t="s">
        <v>1250</v>
      </c>
      <c r="G65" s="22" t="s">
        <v>2093</v>
      </c>
      <c r="I65" s="23" t="str">
        <f>HYPERLINK("http://www.marinespecies.org/aphia.php?p=taxdetails&amp;id=841200","841200")</f>
        <v>841200</v>
      </c>
      <c r="J65" s="22" t="s">
        <v>2223</v>
      </c>
      <c r="K65" s="22" t="s">
        <v>94</v>
      </c>
      <c r="L65" s="23" t="str">
        <f>HYPERLINK("http://www.marinespecies.org/aphia.php?p=taxdetails&amp;id=841200","841200")</f>
        <v>841200</v>
      </c>
      <c r="M65" s="22" t="s">
        <v>94</v>
      </c>
    </row>
    <row r="66">
      <c r="A66" s="22" t="s">
        <v>2224</v>
      </c>
      <c r="B66" s="22">
        <v>6.0</v>
      </c>
      <c r="C66" s="23" t="str">
        <f>HYPERLINK("http://ecotaxoserver.obs-vlfr.fr/browsetaxo/?id=31599","31599")</f>
        <v>31599</v>
      </c>
      <c r="D66" s="23" t="str">
        <f>HYPERLINK("http://www.marinespecies.org/aphia.php?p=taxdetails&amp;id=495647","495647")</f>
        <v>495647</v>
      </c>
      <c r="E66" s="22" t="s">
        <v>1250</v>
      </c>
      <c r="F66" s="22" t="s">
        <v>1250</v>
      </c>
      <c r="G66" s="22" t="s">
        <v>2093</v>
      </c>
      <c r="I66" s="23" t="str">
        <f>HYPERLINK("http://www.marinespecies.org/aphia.php?p=taxdetails&amp;id=837452","837452")</f>
        <v>837452</v>
      </c>
      <c r="J66" s="22" t="s">
        <v>2225</v>
      </c>
      <c r="K66" s="22" t="s">
        <v>94</v>
      </c>
      <c r="L66" s="23" t="str">
        <f>HYPERLINK("http://www.marinespecies.org/aphia.php?p=taxdetails&amp;id=837452","837452")</f>
        <v>837452</v>
      </c>
      <c r="M66" s="22" t="s">
        <v>94</v>
      </c>
    </row>
    <row r="67">
      <c r="A67" s="22" t="s">
        <v>2226</v>
      </c>
      <c r="B67" s="22">
        <v>495.0</v>
      </c>
      <c r="C67" s="23" t="str">
        <f>HYPERLINK("http://ecotaxoserver.obs-vlfr.fr/browsetaxo/?id=31598","31598")</f>
        <v>31598</v>
      </c>
      <c r="D67" s="23" t="str">
        <f>HYPERLINK("http://www.marinespecies.org/aphia.php?p=taxdetails&amp;id=495648","495648")</f>
        <v>495648</v>
      </c>
      <c r="E67" s="22" t="s">
        <v>1250</v>
      </c>
      <c r="F67" s="22" t="s">
        <v>1250</v>
      </c>
      <c r="G67" s="22" t="s">
        <v>2093</v>
      </c>
      <c r="I67" s="23" t="str">
        <f>HYPERLINK("http://www.marinespecies.org/aphia.php?p=taxdetails&amp;id=841202","841202")</f>
        <v>841202</v>
      </c>
      <c r="J67" s="22" t="s">
        <v>1854</v>
      </c>
      <c r="K67" s="22" t="s">
        <v>94</v>
      </c>
      <c r="L67" s="23" t="str">
        <f>HYPERLINK("http://www.marinespecies.org/aphia.php?p=taxdetails&amp;id=841202","841202")</f>
        <v>841202</v>
      </c>
      <c r="M67" s="22" t="s">
        <v>94</v>
      </c>
    </row>
    <row r="68">
      <c r="A68" s="22" t="s">
        <v>2227</v>
      </c>
      <c r="B68" s="22">
        <v>30.0</v>
      </c>
      <c r="C68" s="23" t="str">
        <f>HYPERLINK("http://ecotaxoserver.obs-vlfr.fr/browsetaxo/?id=31597","31597")</f>
        <v>31597</v>
      </c>
      <c r="D68" s="23" t="str">
        <f>HYPERLINK("http://www.marinespecies.org/aphia.php?p=taxdetails&amp;id=495651","495651")</f>
        <v>495651</v>
      </c>
      <c r="E68" s="22" t="s">
        <v>1250</v>
      </c>
      <c r="F68" s="22" t="s">
        <v>1250</v>
      </c>
      <c r="G68" s="22" t="s">
        <v>2093</v>
      </c>
      <c r="I68" s="23" t="str">
        <f>HYPERLINK("http://www.marinespecies.org/aphia.php?p=taxdetails&amp;id=841206","841206")</f>
        <v>841206</v>
      </c>
      <c r="J68" s="22" t="s">
        <v>1855</v>
      </c>
      <c r="K68" s="22" t="s">
        <v>94</v>
      </c>
      <c r="L68" s="23" t="str">
        <f>HYPERLINK("http://www.marinespecies.org/aphia.php?p=taxdetails&amp;id=841206","841206")</f>
        <v>841206</v>
      </c>
      <c r="M68" s="22" t="s">
        <v>94</v>
      </c>
    </row>
    <row r="69">
      <c r="A69" s="22" t="s">
        <v>2228</v>
      </c>
      <c r="B69" s="22">
        <v>5.0</v>
      </c>
      <c r="C69" s="23" t="str">
        <f>HYPERLINK("http://ecotaxoserver.obs-vlfr.fr/browsetaxo/?id=31596","31596")</f>
        <v>31596</v>
      </c>
      <c r="D69" s="23" t="str">
        <f>HYPERLINK("http://www.marinespecies.org/aphia.php?p=taxdetails&amp;id=495654","495654")</f>
        <v>495654</v>
      </c>
      <c r="E69" s="22" t="s">
        <v>1250</v>
      </c>
      <c r="F69" s="22" t="s">
        <v>1250</v>
      </c>
      <c r="G69" s="22" t="s">
        <v>2093</v>
      </c>
      <c r="I69" s="23" t="str">
        <f>HYPERLINK("http://www.marinespecies.org/aphia.php?p=taxdetails&amp;id=841210","841210")</f>
        <v>841210</v>
      </c>
      <c r="J69" s="22" t="s">
        <v>2229</v>
      </c>
      <c r="K69" s="22" t="s">
        <v>94</v>
      </c>
      <c r="L69" s="23" t="str">
        <f>HYPERLINK("http://www.marinespecies.org/aphia.php?p=taxdetails&amp;id=841210","841210")</f>
        <v>841210</v>
      </c>
      <c r="M69" s="22" t="s">
        <v>94</v>
      </c>
    </row>
    <row r="70">
      <c r="A70" s="22" t="s">
        <v>2230</v>
      </c>
      <c r="B70" s="22">
        <v>1.0</v>
      </c>
      <c r="C70" s="23" t="str">
        <f>HYPERLINK("http://ecotaxoserver.obs-vlfr.fr/browsetaxo/?id=93068","93068")</f>
        <v>93068</v>
      </c>
      <c r="D70" s="23" t="str">
        <f>HYPERLINK("http://www.marinespecies.org/aphia.php?p=taxdetails&amp;id=495661","495661")</f>
        <v>495661</v>
      </c>
      <c r="E70" s="22" t="s">
        <v>1250</v>
      </c>
      <c r="F70" s="22" t="s">
        <v>1250</v>
      </c>
      <c r="G70" s="22" t="s">
        <v>2093</v>
      </c>
      <c r="I70" s="23" t="str">
        <f>HYPERLINK("http://www.marinespecies.org/aphia.php?p=taxdetails&amp;id=841242","841242")</f>
        <v>841242</v>
      </c>
      <c r="J70" s="22" t="s">
        <v>2231</v>
      </c>
      <c r="K70" s="22" t="s">
        <v>94</v>
      </c>
      <c r="L70" s="23" t="str">
        <f>HYPERLINK("http://www.marinespecies.org/aphia.php?p=taxdetails&amp;id=841242","841242")</f>
        <v>841242</v>
      </c>
      <c r="M70" s="22" t="s">
        <v>94</v>
      </c>
    </row>
    <row r="71">
      <c r="A71" s="22" t="s">
        <v>2232</v>
      </c>
      <c r="B71" s="22">
        <v>7.0</v>
      </c>
      <c r="C71" s="23" t="str">
        <f>HYPERLINK("http://ecotaxoserver.obs-vlfr.fr/browsetaxo/?id=31592","31592")</f>
        <v>31592</v>
      </c>
      <c r="D71" s="23" t="str">
        <f>HYPERLINK("http://www.marinespecies.org/aphia.php?p=taxdetails&amp;id=495663","495663")</f>
        <v>495663</v>
      </c>
      <c r="E71" s="22" t="s">
        <v>1250</v>
      </c>
      <c r="F71" s="22" t="s">
        <v>1250</v>
      </c>
      <c r="G71" s="22" t="s">
        <v>2093</v>
      </c>
      <c r="I71" s="23" t="str">
        <f>HYPERLINK("http://www.marinespecies.org/aphia.php?p=taxdetails&amp;id=841246","841246")</f>
        <v>841246</v>
      </c>
      <c r="J71" s="22" t="s">
        <v>2233</v>
      </c>
      <c r="K71" s="22" t="s">
        <v>94</v>
      </c>
      <c r="L71" s="23" t="str">
        <f>HYPERLINK("http://www.marinespecies.org/aphia.php?p=taxdetails&amp;id=841246","841246")</f>
        <v>841246</v>
      </c>
      <c r="M71" s="22" t="s">
        <v>94</v>
      </c>
    </row>
    <row r="72">
      <c r="A72" s="22" t="s">
        <v>2234</v>
      </c>
      <c r="B72" s="22">
        <v>2.0</v>
      </c>
      <c r="C72" s="23" t="str">
        <f>HYPERLINK("http://ecotaxoserver.obs-vlfr.fr/browsetaxo/?id=31590","31590")</f>
        <v>31590</v>
      </c>
      <c r="D72" s="23" t="str">
        <f>HYPERLINK("http://www.marinespecies.org/aphia.php?p=taxdetails&amp;id=495666","495666")</f>
        <v>495666</v>
      </c>
      <c r="E72" s="22" t="s">
        <v>1250</v>
      </c>
      <c r="F72" s="22" t="s">
        <v>1250</v>
      </c>
      <c r="G72" s="22" t="s">
        <v>2093</v>
      </c>
      <c r="I72" s="23" t="str">
        <f>HYPERLINK("http://www.marinespecies.org/aphia.php?p=taxdetails&amp;id=837453","837453")</f>
        <v>837453</v>
      </c>
      <c r="J72" s="22" t="s">
        <v>2235</v>
      </c>
      <c r="K72" s="22" t="s">
        <v>94</v>
      </c>
      <c r="L72" s="23" t="str">
        <f>HYPERLINK("http://www.marinespecies.org/aphia.php?p=taxdetails&amp;id=837453","837453")</f>
        <v>837453</v>
      </c>
      <c r="M72" s="22" t="s">
        <v>94</v>
      </c>
    </row>
    <row r="73">
      <c r="A73" s="22" t="s">
        <v>2236</v>
      </c>
      <c r="B73" s="22">
        <v>2.0</v>
      </c>
      <c r="C73" s="23" t="str">
        <f>HYPERLINK("http://ecotaxoserver.obs-vlfr.fr/browsetaxo/?id=93067","93067")</f>
        <v>93067</v>
      </c>
      <c r="D73" s="23" t="str">
        <f>HYPERLINK("http://www.marinespecies.org/aphia.php?p=taxdetails&amp;id=495668","495668")</f>
        <v>495668</v>
      </c>
      <c r="E73" s="22" t="s">
        <v>1250</v>
      </c>
      <c r="F73" s="22" t="s">
        <v>1250</v>
      </c>
      <c r="G73" s="22" t="s">
        <v>2093</v>
      </c>
      <c r="I73" s="23" t="str">
        <f>HYPERLINK("http://www.marinespecies.org/aphia.php?p=taxdetails&amp;id=841251","841251")</f>
        <v>841251</v>
      </c>
      <c r="J73" s="22" t="s">
        <v>2237</v>
      </c>
      <c r="K73" s="22" t="s">
        <v>94</v>
      </c>
      <c r="L73" s="23" t="str">
        <f>HYPERLINK("http://www.marinespecies.org/aphia.php?p=taxdetails&amp;id=841251","841251")</f>
        <v>841251</v>
      </c>
      <c r="M73" s="22" t="s">
        <v>94</v>
      </c>
    </row>
    <row r="74">
      <c r="A74" s="22" t="s">
        <v>2238</v>
      </c>
      <c r="B74" s="22">
        <v>385.0</v>
      </c>
      <c r="C74" s="23" t="str">
        <f>HYPERLINK("http://ecotaxoserver.obs-vlfr.fr/browsetaxo/?id=31588","31588")</f>
        <v>31588</v>
      </c>
      <c r="D74" s="23" t="str">
        <f>HYPERLINK("http://www.marinespecies.org/aphia.php?p=taxdetails&amp;id=495673","495673")</f>
        <v>495673</v>
      </c>
      <c r="E74" s="22" t="s">
        <v>1250</v>
      </c>
      <c r="F74" s="22" t="s">
        <v>1250</v>
      </c>
      <c r="G74" s="22" t="s">
        <v>2093</v>
      </c>
      <c r="I74" s="23" t="str">
        <f>HYPERLINK("http://www.marinespecies.org/aphia.php?p=taxdetails&amp;id=841258","841258")</f>
        <v>841258</v>
      </c>
      <c r="J74" s="22" t="s">
        <v>2239</v>
      </c>
      <c r="K74" s="22" t="s">
        <v>94</v>
      </c>
      <c r="L74" s="23" t="str">
        <f>HYPERLINK("http://www.marinespecies.org/aphia.php?p=taxdetails&amp;id=841258","841258")</f>
        <v>841258</v>
      </c>
      <c r="M74" s="22" t="s">
        <v>94</v>
      </c>
    </row>
    <row r="75">
      <c r="A75" s="22" t="s">
        <v>2240</v>
      </c>
      <c r="B75" s="22">
        <v>21.0</v>
      </c>
      <c r="C75" s="23" t="str">
        <f>HYPERLINK("http://ecotaxoserver.obs-vlfr.fr/browsetaxo/?id=85707","85707")</f>
        <v>85707</v>
      </c>
      <c r="D75" s="23" t="str">
        <f>HYPERLINK("http://www.marinespecies.org/aphia.php?p=taxdetails&amp;id=495674","495674")</f>
        <v>495674</v>
      </c>
      <c r="E75" s="22" t="s">
        <v>1250</v>
      </c>
      <c r="F75" s="22" t="s">
        <v>1250</v>
      </c>
      <c r="G75" s="22" t="s">
        <v>2093</v>
      </c>
      <c r="I75" s="23" t="str">
        <f>HYPERLINK("http://www.marinespecies.org/aphia.php?p=taxdetails&amp;id=837459","837459")</f>
        <v>837459</v>
      </c>
      <c r="J75" s="22" t="s">
        <v>1860</v>
      </c>
      <c r="K75" s="22" t="s">
        <v>94</v>
      </c>
      <c r="L75" s="23" t="str">
        <f>HYPERLINK("http://www.marinespecies.org/aphia.php?p=taxdetails&amp;id=837459","837459")</f>
        <v>837459</v>
      </c>
      <c r="M75" s="22" t="s">
        <v>94</v>
      </c>
    </row>
    <row r="76">
      <c r="A76" s="22" t="s">
        <v>2241</v>
      </c>
      <c r="B76" s="22">
        <v>9.0</v>
      </c>
      <c r="C76" s="23" t="str">
        <f>HYPERLINK("http://ecotaxoserver.obs-vlfr.fr/browsetaxo/?id=31587","31587")</f>
        <v>31587</v>
      </c>
      <c r="D76" s="23" t="str">
        <f>HYPERLINK("http://www.marinespecies.org/aphia.php?p=taxdetails&amp;id=495675","495675")</f>
        <v>495675</v>
      </c>
      <c r="E76" s="22" t="s">
        <v>1250</v>
      </c>
      <c r="F76" s="22" t="s">
        <v>1250</v>
      </c>
      <c r="G76" s="22" t="s">
        <v>2093</v>
      </c>
      <c r="I76" s="23" t="str">
        <f>HYPERLINK("http://www.marinespecies.org/aphia.php?p=taxdetails&amp;id=841259","841259")</f>
        <v>841259</v>
      </c>
      <c r="J76" s="22" t="s">
        <v>2242</v>
      </c>
      <c r="K76" s="22" t="s">
        <v>94</v>
      </c>
      <c r="L76" s="23" t="str">
        <f>HYPERLINK("http://www.marinespecies.org/aphia.php?p=taxdetails&amp;id=841259","841259")</f>
        <v>841259</v>
      </c>
      <c r="M76" s="22" t="s">
        <v>94</v>
      </c>
    </row>
    <row r="77">
      <c r="A77" s="22" t="s">
        <v>2243</v>
      </c>
      <c r="B77" s="22">
        <v>29.0</v>
      </c>
      <c r="C77" s="23" t="str">
        <f>HYPERLINK("http://ecotaxoserver.obs-vlfr.fr/browsetaxo/?id=92859","92859")</f>
        <v>92859</v>
      </c>
      <c r="D77" s="23" t="str">
        <f>HYPERLINK("http://www.marinespecies.org/aphia.php?p=taxdetails&amp;id=495678","495678")</f>
        <v>495678</v>
      </c>
      <c r="E77" s="22" t="s">
        <v>1250</v>
      </c>
      <c r="F77" s="22" t="s">
        <v>1250</v>
      </c>
      <c r="G77" s="22" t="s">
        <v>2093</v>
      </c>
      <c r="I77" s="23" t="str">
        <f>HYPERLINK("http://www.marinespecies.org/aphia.php?p=taxdetails&amp;id=841260","841260")</f>
        <v>841260</v>
      </c>
      <c r="J77" s="22" t="s">
        <v>1998</v>
      </c>
      <c r="K77" s="22" t="s">
        <v>94</v>
      </c>
      <c r="L77" s="23" t="str">
        <f>HYPERLINK("http://www.marinespecies.org/aphia.php?p=taxdetails&amp;id=841260","841260")</f>
        <v>841260</v>
      </c>
      <c r="M77" s="22" t="s">
        <v>94</v>
      </c>
    </row>
    <row r="78">
      <c r="A78" s="22" t="s">
        <v>2244</v>
      </c>
      <c r="B78" s="22">
        <v>52.0</v>
      </c>
      <c r="C78" s="23" t="str">
        <f>HYPERLINK("http://ecotaxoserver.obs-vlfr.fr/browsetaxo/?id=31586","31586")</f>
        <v>31586</v>
      </c>
      <c r="D78" s="23" t="str">
        <f>HYPERLINK("http://www.marinespecies.org/aphia.php?p=taxdetails&amp;id=495679","495679")</f>
        <v>495679</v>
      </c>
      <c r="E78" s="22" t="s">
        <v>1250</v>
      </c>
      <c r="F78" s="22" t="s">
        <v>1250</v>
      </c>
      <c r="G78" s="22" t="s">
        <v>2093</v>
      </c>
      <c r="I78" s="23" t="str">
        <f>HYPERLINK("http://www.marinespecies.org/aphia.php?p=taxdetails&amp;id=841261","841261")</f>
        <v>841261</v>
      </c>
      <c r="J78" s="22" t="s">
        <v>1861</v>
      </c>
      <c r="K78" s="22" t="s">
        <v>94</v>
      </c>
      <c r="L78" s="23" t="str">
        <f>HYPERLINK("http://www.marinespecies.org/aphia.php?p=taxdetails&amp;id=841261","841261")</f>
        <v>841261</v>
      </c>
      <c r="M78" s="22" t="s">
        <v>94</v>
      </c>
    </row>
    <row r="79">
      <c r="A79" s="22" t="s">
        <v>2245</v>
      </c>
      <c r="B79" s="22">
        <v>6079.0</v>
      </c>
      <c r="C79" s="23" t="str">
        <f>HYPERLINK("http://ecotaxoserver.obs-vlfr.fr/browsetaxo/?id=31583","31583")</f>
        <v>31583</v>
      </c>
      <c r="D79" s="23" t="str">
        <f>HYPERLINK("http://www.marinespecies.org/aphia.php?p=taxdetails&amp;id=495685","495685")</f>
        <v>495685</v>
      </c>
      <c r="E79" s="22" t="s">
        <v>1250</v>
      </c>
      <c r="F79" s="22" t="s">
        <v>1250</v>
      </c>
      <c r="G79" s="22" t="s">
        <v>2093</v>
      </c>
      <c r="I79" s="23" t="str">
        <f>HYPERLINK("http://www.marinespecies.org/aphia.php?p=taxdetails&amp;id=841746","841746")</f>
        <v>841746</v>
      </c>
      <c r="J79" s="22" t="s">
        <v>1864</v>
      </c>
      <c r="K79" s="22" t="s">
        <v>94</v>
      </c>
      <c r="L79" s="23" t="str">
        <f>HYPERLINK("http://www.marinespecies.org/aphia.php?p=taxdetails&amp;id=841746","841746")</f>
        <v>841746</v>
      </c>
      <c r="M79" s="22" t="s">
        <v>94</v>
      </c>
    </row>
    <row r="80">
      <c r="A80" s="22" t="s">
        <v>2246</v>
      </c>
      <c r="B80" s="22">
        <v>29.0</v>
      </c>
      <c r="C80" s="23" t="str">
        <f>HYPERLINK("http://ecotaxoserver.obs-vlfr.fr/browsetaxo/?id=31581","31581")</f>
        <v>31581</v>
      </c>
      <c r="D80" s="23" t="str">
        <f>HYPERLINK("http://www.marinespecies.org/aphia.php?p=taxdetails&amp;id=495687","495687")</f>
        <v>495687</v>
      </c>
      <c r="E80" s="22" t="s">
        <v>1250</v>
      </c>
      <c r="F80" s="22" t="s">
        <v>1250</v>
      </c>
      <c r="G80" s="22" t="s">
        <v>2093</v>
      </c>
      <c r="I80" s="23" t="str">
        <f>HYPERLINK("http://www.marinespecies.org/aphia.php?p=taxdetails&amp;id=837461","837461")</f>
        <v>837461</v>
      </c>
      <c r="J80" s="22" t="s">
        <v>2247</v>
      </c>
      <c r="K80" s="22" t="s">
        <v>94</v>
      </c>
      <c r="L80" s="23" t="str">
        <f>HYPERLINK("http://www.marinespecies.org/aphia.php?p=taxdetails&amp;id=837461","837461")</f>
        <v>837461</v>
      </c>
      <c r="M80" s="22" t="s">
        <v>94</v>
      </c>
    </row>
    <row r="81">
      <c r="A81" s="22" t="s">
        <v>2248</v>
      </c>
      <c r="B81" s="22">
        <v>136.0</v>
      </c>
      <c r="C81" s="23" t="str">
        <f>HYPERLINK("http://ecotaxoserver.obs-vlfr.fr/browsetaxo/?id=92832","92832")</f>
        <v>92832</v>
      </c>
      <c r="D81" s="23" t="str">
        <f>HYPERLINK("http://www.marinespecies.org/aphia.php?p=taxdetails&amp;id=495691","495691")</f>
        <v>495691</v>
      </c>
      <c r="E81" s="22" t="s">
        <v>1250</v>
      </c>
      <c r="F81" s="22" t="s">
        <v>1250</v>
      </c>
      <c r="G81" s="22" t="s">
        <v>2093</v>
      </c>
      <c r="I81" s="23" t="str">
        <f>HYPERLINK("http://www.marinespecies.org/aphia.php?p=taxdetails&amp;id=837234","837234")</f>
        <v>837234</v>
      </c>
      <c r="J81" s="22" t="s">
        <v>2249</v>
      </c>
      <c r="K81" s="22" t="s">
        <v>94</v>
      </c>
      <c r="L81" s="23" t="str">
        <f>HYPERLINK("http://www.marinespecies.org/aphia.php?p=taxdetails&amp;id=837234","837234")</f>
        <v>837234</v>
      </c>
      <c r="M81" s="22" t="s">
        <v>94</v>
      </c>
    </row>
    <row r="82">
      <c r="A82" s="22" t="s">
        <v>2250</v>
      </c>
      <c r="B82" s="22">
        <v>164.0</v>
      </c>
      <c r="C82" s="23" t="str">
        <f>HYPERLINK("http://ecotaxoserver.obs-vlfr.fr/browsetaxo/?id=31580","31580")</f>
        <v>31580</v>
      </c>
      <c r="D82" s="23" t="str">
        <f>HYPERLINK("http://www.marinespecies.org/aphia.php?p=taxdetails&amp;id=495697","495697")</f>
        <v>495697</v>
      </c>
      <c r="E82" s="22" t="s">
        <v>1250</v>
      </c>
      <c r="F82" s="22" t="s">
        <v>1250</v>
      </c>
      <c r="G82" s="22" t="s">
        <v>2093</v>
      </c>
      <c r="I82" s="23" t="str">
        <f>HYPERLINK("http://www.marinespecies.org/aphia.php?p=taxdetails&amp;id=841767","841767")</f>
        <v>841767</v>
      </c>
      <c r="J82" s="22" t="s">
        <v>2251</v>
      </c>
      <c r="K82" s="22" t="s">
        <v>94</v>
      </c>
      <c r="L82" s="23" t="str">
        <f>HYPERLINK("http://www.marinespecies.org/aphia.php?p=taxdetails&amp;id=841767","841767")</f>
        <v>841767</v>
      </c>
      <c r="M82" s="22" t="s">
        <v>94</v>
      </c>
    </row>
    <row r="83">
      <c r="A83" s="22" t="s">
        <v>2252</v>
      </c>
      <c r="B83" s="22">
        <v>696.0</v>
      </c>
      <c r="C83" s="23" t="str">
        <f>HYPERLINK("http://ecotaxoserver.obs-vlfr.fr/browsetaxo/?id=85706","85706")</f>
        <v>85706</v>
      </c>
      <c r="D83" s="23" t="str">
        <f>HYPERLINK("http://www.marinespecies.org/aphia.php?p=taxdetails&amp;id=495702","495702")</f>
        <v>495702</v>
      </c>
      <c r="E83" s="22" t="s">
        <v>1250</v>
      </c>
      <c r="F83" s="22" t="s">
        <v>1250</v>
      </c>
      <c r="G83" s="22" t="s">
        <v>2093</v>
      </c>
      <c r="I83" s="23" t="str">
        <f>HYPERLINK("http://www.marinespecies.org/aphia.php?p=taxdetails&amp;id=495363","495363")</f>
        <v>495363</v>
      </c>
      <c r="J83" s="22" t="s">
        <v>1863</v>
      </c>
      <c r="K83" s="22" t="s">
        <v>94</v>
      </c>
      <c r="L83" s="23" t="str">
        <f>HYPERLINK("http://www.marinespecies.org/aphia.php?p=taxdetails&amp;id=495363","495363")</f>
        <v>495363</v>
      </c>
      <c r="M83" s="22" t="s">
        <v>94</v>
      </c>
    </row>
    <row r="84">
      <c r="A84" s="22" t="s">
        <v>2253</v>
      </c>
      <c r="B84" s="22">
        <v>1.0</v>
      </c>
      <c r="C84" s="23" t="str">
        <f>HYPERLINK("http://ecotaxoserver.obs-vlfr.fr/browsetaxo/?id=92357","92357")</f>
        <v>92357</v>
      </c>
      <c r="D84" s="23" t="str">
        <f>HYPERLINK("http://www.marinespecies.org/aphia.php?p=taxdetails&amp;id=573497","573497")</f>
        <v>573497</v>
      </c>
      <c r="E84" s="22" t="s">
        <v>128</v>
      </c>
      <c r="F84" s="22" t="s">
        <v>2254</v>
      </c>
      <c r="G84" s="22" t="s">
        <v>2046</v>
      </c>
      <c r="I84" s="23" t="str">
        <f>HYPERLINK("http://www.marinespecies.org/aphia.php?p=taxdetails&amp;id=573613","573613")</f>
        <v>573613</v>
      </c>
      <c r="J84" s="22" t="s">
        <v>2255</v>
      </c>
      <c r="K84" s="22" t="s">
        <v>94</v>
      </c>
      <c r="L84" s="23" t="str">
        <f>HYPERLINK("http://www.marinespecies.org/aphia.php?p=taxdetails&amp;id=573613","573613")</f>
        <v>573613</v>
      </c>
      <c r="M84" s="22" t="s">
        <v>94</v>
      </c>
    </row>
    <row r="85">
      <c r="A85" s="22" t="s">
        <v>2256</v>
      </c>
      <c r="B85" s="22">
        <v>61.0</v>
      </c>
      <c r="C85" s="23" t="str">
        <f>HYPERLINK("http://ecotaxoserver.obs-vlfr.fr/browsetaxo/?id=82656","82656")</f>
        <v>82656</v>
      </c>
      <c r="D85" s="23" t="str">
        <f>HYPERLINK("http://www.marinespecies.org/aphia.php?p=taxdetails&amp;id=106643","106643")</f>
        <v>106643</v>
      </c>
      <c r="E85" s="22" t="s">
        <v>1297</v>
      </c>
      <c r="F85" s="22" t="s">
        <v>1297</v>
      </c>
      <c r="G85" s="22" t="s">
        <v>2046</v>
      </c>
      <c r="I85" s="23" t="str">
        <f>HYPERLINK("http://www.marinespecies.org/aphia.php?p=taxdetails&amp;id=367245","367245")</f>
        <v>367245</v>
      </c>
      <c r="J85" s="22" t="s">
        <v>2257</v>
      </c>
      <c r="K85" s="22" t="s">
        <v>94</v>
      </c>
      <c r="L85" s="23" t="str">
        <f>HYPERLINK("http://www.marinespecies.org/aphia.php?p=taxdetails&amp;id=367245","367245")</f>
        <v>367245</v>
      </c>
      <c r="M85" s="22" t="s">
        <v>94</v>
      </c>
    </row>
    <row r="86">
      <c r="A86" s="22" t="s">
        <v>2258</v>
      </c>
      <c r="B86" s="22">
        <v>2.0</v>
      </c>
      <c r="C86" s="23" t="str">
        <f>HYPERLINK("http://ecotaxoserver.obs-vlfr.fr/browsetaxo/?id=81853","81853")</f>
        <v>81853</v>
      </c>
      <c r="D86" s="23" t="str">
        <f>HYPERLINK("http://www.marinespecies.org/aphia.php?p=taxdetails&amp;id=117774","117774")</f>
        <v>117774</v>
      </c>
      <c r="E86" s="22" t="s">
        <v>1309</v>
      </c>
      <c r="F86" s="22" t="s">
        <v>1309</v>
      </c>
      <c r="G86" s="22" t="s">
        <v>2093</v>
      </c>
      <c r="H86" s="22" t="s">
        <v>2259</v>
      </c>
      <c r="I86" s="23" t="str">
        <f>HYPERLINK("http://www.marinespecies.org/aphia.php?p=taxdetails&amp;id=292470","292470")</f>
        <v>292470</v>
      </c>
      <c r="J86" s="22" t="s">
        <v>2260</v>
      </c>
      <c r="K86" s="22" t="s">
        <v>94</v>
      </c>
      <c r="L86" s="23" t="str">
        <f>HYPERLINK("http://www.marinespecies.org/aphia.php?p=taxdetails&amp;id=292470","292470")</f>
        <v>292470</v>
      </c>
      <c r="M86" s="22" t="s">
        <v>94</v>
      </c>
    </row>
    <row r="87">
      <c r="A87" s="22" t="s">
        <v>2261</v>
      </c>
      <c r="B87" s="22">
        <v>12.0</v>
      </c>
      <c r="C87" s="23" t="str">
        <f>HYPERLINK("http://ecotaxoserver.obs-vlfr.fr/browsetaxo/?id=92514","92514")</f>
        <v>92514</v>
      </c>
      <c r="D87" s="23" t="str">
        <f>HYPERLINK("http://www.marinespecies.org/aphia.php?p=taxdetails&amp;id=110103","110103")</f>
        <v>110103</v>
      </c>
      <c r="E87" s="22" t="s">
        <v>128</v>
      </c>
      <c r="F87" s="22" t="s">
        <v>1345</v>
      </c>
      <c r="G87" s="22" t="s">
        <v>2093</v>
      </c>
      <c r="I87" s="23" t="str">
        <f>HYPERLINK("http://www.marinespecies.org/aphia.php?p=taxdetails&amp;id=643805","643805")</f>
        <v>643805</v>
      </c>
      <c r="J87" s="22" t="s">
        <v>2262</v>
      </c>
      <c r="K87" s="22" t="s">
        <v>94</v>
      </c>
      <c r="L87" s="23" t="str">
        <f>HYPERLINK("http://www.marinespecies.org/aphia.php?p=taxdetails&amp;id=643805","643805")</f>
        <v>643805</v>
      </c>
      <c r="M87" s="22" t="s">
        <v>94</v>
      </c>
    </row>
    <row r="88">
      <c r="A88" s="22" t="s">
        <v>2263</v>
      </c>
      <c r="B88" s="22">
        <v>166.0</v>
      </c>
      <c r="C88" s="23" t="str">
        <f>HYPERLINK("http://ecotaxoserver.obs-vlfr.fr/browsetaxo/?id=82522","82522")</f>
        <v>82522</v>
      </c>
      <c r="D88" s="23" t="str">
        <f>HYPERLINK("http://www.marinespecies.org/aphia.php?p=taxdetails&amp;id=104685","104685")</f>
        <v>104685</v>
      </c>
      <c r="E88" s="22" t="s">
        <v>1363</v>
      </c>
      <c r="F88" s="22" t="s">
        <v>1363</v>
      </c>
      <c r="G88" s="22" t="s">
        <v>2046</v>
      </c>
      <c r="I88" s="23" t="str">
        <f>HYPERLINK("http://www.marinespecies.org/aphia.php?p=taxdetails&amp;id=745865","745865")</f>
        <v>745865</v>
      </c>
      <c r="J88" s="22" t="s">
        <v>2264</v>
      </c>
      <c r="K88" s="22" t="s">
        <v>94</v>
      </c>
      <c r="L88" s="23" t="str">
        <f>HYPERLINK("http://www.marinespecies.org/aphia.php?p=taxdetails&amp;id=745865","745865")</f>
        <v>745865</v>
      </c>
      <c r="M88" s="22" t="s">
        <v>94</v>
      </c>
    </row>
    <row r="89">
      <c r="A89" s="22" t="s">
        <v>2265</v>
      </c>
      <c r="B89" s="22">
        <v>1.0</v>
      </c>
      <c r="C89" s="23" t="str">
        <f>HYPERLINK("http://ecotaxoserver.obs-vlfr.fr/browsetaxo/?id=49307","49307")</f>
        <v>49307</v>
      </c>
      <c r="D89" s="23" t="str">
        <f>HYPERLINK("http://www.marinespecies.org/aphia.php?p=taxdetails&amp;id=325971","325971")</f>
        <v>325971</v>
      </c>
      <c r="E89" s="22" t="s">
        <v>499</v>
      </c>
      <c r="F89" s="22" t="s">
        <v>2266</v>
      </c>
      <c r="G89" s="22" t="s">
        <v>2093</v>
      </c>
      <c r="H89" s="22" t="s">
        <v>2267</v>
      </c>
      <c r="I89" s="23" t="str">
        <f>HYPERLINK("http://www.marinespecies.org/aphia.php?p=taxdetails&amp;id=129466","129466")</f>
        <v>129466</v>
      </c>
      <c r="J89" s="22" t="s">
        <v>2268</v>
      </c>
      <c r="K89" s="22" t="s">
        <v>94</v>
      </c>
      <c r="L89" s="23" t="str">
        <f>HYPERLINK("http://www.marinespecies.org/aphia.php?p=taxdetails&amp;id=129466","129466")</f>
        <v>129466</v>
      </c>
      <c r="M89" s="22" t="s">
        <v>94</v>
      </c>
    </row>
    <row r="90">
      <c r="A90" s="22" t="s">
        <v>2269</v>
      </c>
      <c r="B90" s="22">
        <v>1.0</v>
      </c>
      <c r="C90" s="23" t="str">
        <f>HYPERLINK("http://ecotaxoserver.obs-vlfr.fr/browsetaxo/?id=92361","92361")</f>
        <v>92361</v>
      </c>
      <c r="D90" s="23" t="str">
        <f>HYPERLINK("http://www.marinespecies.org/aphia.php?p=taxdetails&amp;id=149517","149517")</f>
        <v>149517</v>
      </c>
      <c r="E90" s="22" t="s">
        <v>128</v>
      </c>
      <c r="F90" s="22" t="s">
        <v>2270</v>
      </c>
      <c r="G90" s="22" t="s">
        <v>2046</v>
      </c>
      <c r="I90" s="23" t="str">
        <f>HYPERLINK("http://www.marinespecies.org/aphia.php?p=taxdetails&amp;id=983277","983277")</f>
        <v>983277</v>
      </c>
      <c r="J90" s="22" t="s">
        <v>2271</v>
      </c>
      <c r="K90" s="22" t="s">
        <v>94</v>
      </c>
      <c r="L90" s="23" t="str">
        <f>HYPERLINK("http://www.marinespecies.org/aphia.php?p=taxdetails&amp;id=983277","983277")</f>
        <v>983277</v>
      </c>
      <c r="M90" s="22" t="s">
        <v>94</v>
      </c>
    </row>
    <row r="91">
      <c r="A91" s="22" t="s">
        <v>2272</v>
      </c>
      <c r="B91" s="22">
        <v>1146.0</v>
      </c>
      <c r="C91" s="23" t="str">
        <f>HYPERLINK("http://ecotaxoserver.obs-vlfr.fr/browsetaxo/?id=55930","55930")</f>
        <v>55930</v>
      </c>
      <c r="D91" s="23" t="str">
        <f>HYPERLINK("http://www.marinespecies.org/aphia.php?p=taxdetails&amp;id=196815","196815")</f>
        <v>196815</v>
      </c>
      <c r="E91" s="22" t="s">
        <v>1436</v>
      </c>
      <c r="F91" s="22" t="s">
        <v>1436</v>
      </c>
      <c r="G91" s="22" t="s">
        <v>2046</v>
      </c>
      <c r="I91" s="23" t="str">
        <f>HYPERLINK("http://www.marinespecies.org/aphia.php?p=taxdetails&amp;id=573437","573437")</f>
        <v>573437</v>
      </c>
      <c r="J91" s="22" t="s">
        <v>2273</v>
      </c>
      <c r="K91" s="22" t="s">
        <v>94</v>
      </c>
      <c r="L91" s="23" t="str">
        <f>HYPERLINK("http://www.marinespecies.org/aphia.php?p=taxdetails&amp;id=573437","573437")</f>
        <v>573437</v>
      </c>
      <c r="M91" s="22" t="s">
        <v>94</v>
      </c>
    </row>
    <row r="92">
      <c r="A92" s="22" t="s">
        <v>599</v>
      </c>
      <c r="B92" s="22">
        <v>41717.0</v>
      </c>
      <c r="C92" s="23" t="str">
        <f>HYPERLINK("http://ecotaxoserver.obs-vlfr.fr/browsetaxo/?id=45067","45067")</f>
        <v>45067</v>
      </c>
      <c r="D92" s="23" t="str">
        <f>HYPERLINK("http://www.marinespecies.org/aphia.php?p=taxdetails&amp;id=1103","1103")</f>
        <v>1103</v>
      </c>
      <c r="E92" s="22" t="s">
        <v>383</v>
      </c>
      <c r="F92" s="22" t="s">
        <v>654</v>
      </c>
      <c r="G92" s="22" t="s">
        <v>2093</v>
      </c>
      <c r="H92" s="22" t="s">
        <v>2274</v>
      </c>
      <c r="I92" s="23" t="str">
        <f>HYPERLINK("http://www.marinespecies.org/aphia.php?p=taxdetails&amp;id=1381349","1381349")</f>
        <v>1381349</v>
      </c>
      <c r="J92" s="22" t="s">
        <v>600</v>
      </c>
      <c r="K92" s="22" t="s">
        <v>94</v>
      </c>
      <c r="L92" s="23" t="str">
        <f>HYPERLINK("http://www.marinespecies.org/aphia.php?p=taxdetails&amp;id=1381349","1381349")</f>
        <v>1381349</v>
      </c>
      <c r="M92" s="22" t="s">
        <v>94</v>
      </c>
    </row>
    <row r="93">
      <c r="A93" s="22" t="s">
        <v>2275</v>
      </c>
      <c r="B93" s="22">
        <v>18.0</v>
      </c>
      <c r="C93" s="23" t="str">
        <f>HYPERLINK("http://ecotaxoserver.obs-vlfr.fr/browsetaxo/?id=85702","85702")</f>
        <v>85702</v>
      </c>
      <c r="D93" s="23" t="str">
        <f>HYPERLINK("http://www.marinespecies.org/aphia.php?p=taxdetails&amp;id=110295","110295")</f>
        <v>110295</v>
      </c>
      <c r="E93" s="22" t="s">
        <v>1508</v>
      </c>
      <c r="F93" s="22" t="s">
        <v>1508</v>
      </c>
      <c r="G93" s="22" t="s">
        <v>2093</v>
      </c>
      <c r="H93" s="22" t="s">
        <v>2112</v>
      </c>
      <c r="I93" s="23" t="str">
        <f>HYPERLINK("http://www.marinespecies.org/aphia.php?p=taxdetails&amp;id=978142","978142")</f>
        <v>978142</v>
      </c>
      <c r="J93" s="22" t="s">
        <v>2276</v>
      </c>
      <c r="K93" s="22" t="s">
        <v>94</v>
      </c>
      <c r="L93" s="23" t="str">
        <f>HYPERLINK("http://www.marinespecies.org/aphia.php?p=taxdetails&amp;id=978142","978142")</f>
        <v>978142</v>
      </c>
      <c r="M93" s="22" t="s">
        <v>94</v>
      </c>
    </row>
    <row r="94">
      <c r="A94" s="22" t="s">
        <v>2277</v>
      </c>
      <c r="B94" s="22">
        <v>2325.0</v>
      </c>
      <c r="C94" s="23" t="str">
        <f>HYPERLINK("http://ecotaxoserver.obs-vlfr.fr/browsetaxo/?id=58539","58539")</f>
        <v>58539</v>
      </c>
      <c r="D94" s="23" t="str">
        <f>HYPERLINK("http://www.marinespecies.org/aphia.php?p=taxdetails&amp;id=110304","110304")</f>
        <v>110304</v>
      </c>
      <c r="E94" s="22" t="s">
        <v>1508</v>
      </c>
      <c r="F94" s="22" t="s">
        <v>1508</v>
      </c>
      <c r="G94" s="22" t="s">
        <v>2093</v>
      </c>
      <c r="I94" s="23" t="str">
        <f>HYPERLINK("http://www.marinespecies.org/aphia.php?p=taxdetails&amp;id=232376","232376")</f>
        <v>232376</v>
      </c>
      <c r="J94" s="22" t="s">
        <v>2278</v>
      </c>
      <c r="K94" s="22" t="s">
        <v>94</v>
      </c>
      <c r="L94" s="23" t="str">
        <f>HYPERLINK("http://www.marinespecies.org/aphia.php?p=taxdetails&amp;id=232376","232376")</f>
        <v>232376</v>
      </c>
      <c r="M94" s="22" t="s">
        <v>94</v>
      </c>
    </row>
    <row r="95">
      <c r="A95" s="22" t="s">
        <v>2279</v>
      </c>
      <c r="B95" s="22">
        <v>4872.0</v>
      </c>
      <c r="C95" s="23" t="str">
        <f>HYPERLINK("http://ecotaxoserver.obs-vlfr.fr/browsetaxo/?id=79073","79073")</f>
        <v>79073</v>
      </c>
      <c r="D95" s="23" t="str">
        <f>HYPERLINK("http://www.marinespecies.org/aphia.php?p=taxdetails&amp;id=110332","110332")</f>
        <v>110332</v>
      </c>
      <c r="E95" s="22" t="s">
        <v>1582</v>
      </c>
      <c r="F95" s="22" t="s">
        <v>1582</v>
      </c>
      <c r="G95" s="22" t="s">
        <v>2093</v>
      </c>
      <c r="I95" s="23" t="str">
        <f>HYPERLINK("http://www.marinespecies.org/aphia.php?p=taxdetails&amp;id=573782","573782")</f>
        <v>573782</v>
      </c>
      <c r="J95" s="22" t="s">
        <v>2280</v>
      </c>
      <c r="K95" s="22" t="s">
        <v>94</v>
      </c>
      <c r="L95" s="23" t="str">
        <f>HYPERLINK("http://www.marinespecies.org/aphia.php?p=taxdetails&amp;id=573782","573782")</f>
        <v>573782</v>
      </c>
      <c r="M95" s="22" t="s">
        <v>94</v>
      </c>
    </row>
    <row r="96">
      <c r="A96" s="22" t="s">
        <v>2281</v>
      </c>
      <c r="B96" s="22">
        <v>17.0</v>
      </c>
      <c r="C96" s="23" t="str">
        <f>HYPERLINK("http://ecotaxoserver.obs-vlfr.fr/browsetaxo/?id=92379","92379")</f>
        <v>92379</v>
      </c>
      <c r="D96" s="23" t="str">
        <f>HYPERLINK("http://www.marinespecies.org/aphia.php?p=taxdetails&amp;id=149105","149105")</f>
        <v>149105</v>
      </c>
      <c r="E96" s="22" t="s">
        <v>128</v>
      </c>
      <c r="F96" s="22" t="s">
        <v>2282</v>
      </c>
      <c r="G96" s="22" t="s">
        <v>2046</v>
      </c>
      <c r="I96" s="23" t="str">
        <f>HYPERLINK("http://www.marinespecies.org/aphia.php?p=taxdetails&amp;id=163388","163388")</f>
        <v>163388</v>
      </c>
      <c r="J96" s="22" t="s">
        <v>2283</v>
      </c>
      <c r="K96" s="22" t="s">
        <v>94</v>
      </c>
      <c r="L96" s="23" t="str">
        <f>HYPERLINK("http://www.marinespecies.org/aphia.php?p=taxdetails&amp;id=163388","163388")</f>
        <v>163388</v>
      </c>
      <c r="M96" s="22" t="s">
        <v>94</v>
      </c>
    </row>
    <row r="97">
      <c r="A97" s="22" t="s">
        <v>2284</v>
      </c>
      <c r="B97" s="22">
        <v>1.0</v>
      </c>
      <c r="C97" s="23" t="str">
        <f>HYPERLINK("http://ecotaxoserver.obs-vlfr.fr/browsetaxo/?id=92378","92378")</f>
        <v>92378</v>
      </c>
      <c r="D97" s="23" t="str">
        <f>HYPERLINK("http://www.marinespecies.org/aphia.php?p=taxdetails&amp;id=367196","367196")</f>
        <v>367196</v>
      </c>
      <c r="E97" s="22" t="s">
        <v>128</v>
      </c>
      <c r="F97" s="22" t="s">
        <v>2285</v>
      </c>
      <c r="G97" s="22" t="s">
        <v>2046</v>
      </c>
      <c r="I97" s="23" t="str">
        <f>HYPERLINK("http://www.marinespecies.org/aphia.php?p=taxdetails&amp;id=969048","969048")</f>
        <v>969048</v>
      </c>
      <c r="J97" s="22" t="s">
        <v>2286</v>
      </c>
      <c r="K97" s="22" t="s">
        <v>94</v>
      </c>
      <c r="L97" s="23" t="str">
        <f>HYPERLINK("http://www.marinespecies.org/aphia.php?p=taxdetails&amp;id=969048","969048")</f>
        <v>969048</v>
      </c>
      <c r="M97" s="22" t="s">
        <v>94</v>
      </c>
    </row>
    <row r="98">
      <c r="A98" s="22" t="s">
        <v>2287</v>
      </c>
      <c r="B98" s="22">
        <v>1.0</v>
      </c>
      <c r="C98" s="23" t="str">
        <f>HYPERLINK("http://ecotaxoserver.obs-vlfr.fr/browsetaxo/?id=71622","71622")</f>
        <v>71622</v>
      </c>
      <c r="D98" s="23" t="str">
        <f>HYPERLINK("http://www.marinespecies.org/aphia.php?p=taxdetails&amp;id=105450","105450")</f>
        <v>105450</v>
      </c>
      <c r="E98" s="22" t="s">
        <v>1623</v>
      </c>
      <c r="F98" s="22" t="s">
        <v>1623</v>
      </c>
      <c r="G98" s="22" t="s">
        <v>2093</v>
      </c>
      <c r="H98" s="22" t="s">
        <v>2288</v>
      </c>
      <c r="I98" s="23" t="str">
        <f>HYPERLINK("http://www.marinespecies.org/aphia.php?p=taxdetails&amp;id=105440","105440")</f>
        <v>105440</v>
      </c>
      <c r="J98" s="22" t="s">
        <v>1382</v>
      </c>
      <c r="K98" s="22" t="s">
        <v>94</v>
      </c>
      <c r="L98" s="23" t="str">
        <f>HYPERLINK("http://www.marinespecies.org/aphia.php?p=taxdetails&amp;id=105440","105440")</f>
        <v>105440</v>
      </c>
      <c r="M98" s="22" t="s">
        <v>94</v>
      </c>
    </row>
    <row r="99">
      <c r="A99" s="22" t="s">
        <v>2289</v>
      </c>
      <c r="B99" s="22">
        <v>8.0</v>
      </c>
      <c r="C99" s="23" t="str">
        <f>HYPERLINK("http://ecotaxoserver.obs-vlfr.fr/browsetaxo/?id=55937","55937")</f>
        <v>55937</v>
      </c>
      <c r="D99" s="23" t="str">
        <f>HYPERLINK("http://www.marinespecies.org/aphia.php?p=taxdetails&amp;id=841633","841633")</f>
        <v>841633</v>
      </c>
      <c r="E99" s="22" t="s">
        <v>2290</v>
      </c>
      <c r="F99" s="22" t="s">
        <v>2290</v>
      </c>
      <c r="G99" s="22" t="s">
        <v>2046</v>
      </c>
      <c r="I99" s="23" t="str">
        <f>HYPERLINK("http://www.marinespecies.org/aphia.php?p=taxdetails&amp;id=974857","974857")</f>
        <v>974857</v>
      </c>
      <c r="J99" s="22" t="s">
        <v>2291</v>
      </c>
      <c r="K99" s="22" t="s">
        <v>94</v>
      </c>
      <c r="L99" s="23" t="str">
        <f>HYPERLINK("http://www.marinespecies.org/aphia.php?p=taxdetails&amp;id=974857","974857")</f>
        <v>974857</v>
      </c>
      <c r="M99" s="22" t="s">
        <v>94</v>
      </c>
    </row>
    <row r="100">
      <c r="A100" s="22" t="s">
        <v>2292</v>
      </c>
      <c r="B100" s="22">
        <v>2.0</v>
      </c>
      <c r="C100" s="23" t="str">
        <f>HYPERLINK("http://ecotaxoserver.obs-vlfr.fr/browsetaxo/?id=92380","92380")</f>
        <v>92380</v>
      </c>
      <c r="D100" s="23" t="str">
        <f>HYPERLINK("http://www.marinespecies.org/aphia.php?p=taxdetails&amp;id=573446","573446")</f>
        <v>573446</v>
      </c>
      <c r="E100" s="22" t="s">
        <v>128</v>
      </c>
      <c r="F100" s="22" t="s">
        <v>2290</v>
      </c>
      <c r="G100" s="22" t="s">
        <v>2046</v>
      </c>
      <c r="I100" s="23" t="str">
        <f>HYPERLINK("http://www.marinespecies.org/aphia.php?p=taxdetails&amp;id=573445","573445")</f>
        <v>573445</v>
      </c>
      <c r="J100" s="22" t="s">
        <v>2293</v>
      </c>
      <c r="K100" s="22" t="s">
        <v>94</v>
      </c>
      <c r="L100" s="23" t="str">
        <f>HYPERLINK("http://www.marinespecies.org/aphia.php?p=taxdetails&amp;id=573445","573445")</f>
        <v>573445</v>
      </c>
      <c r="M100" s="22" t="s">
        <v>94</v>
      </c>
    </row>
    <row r="101">
      <c r="A101" s="22" t="s">
        <v>2294</v>
      </c>
      <c r="B101" s="22">
        <v>1.0</v>
      </c>
      <c r="C101" s="23" t="str">
        <f>HYPERLINK("http://ecotaxoserver.obs-vlfr.fr/browsetaxo/?id=92382","92382")</f>
        <v>92382</v>
      </c>
      <c r="D101" s="23" t="str">
        <f>HYPERLINK("http://www.marinespecies.org/aphia.php?p=taxdetails&amp;id=980406","980406")</f>
        <v>980406</v>
      </c>
      <c r="E101" s="22" t="s">
        <v>128</v>
      </c>
      <c r="F101" s="22" t="s">
        <v>2292</v>
      </c>
      <c r="G101" s="22" t="s">
        <v>2046</v>
      </c>
      <c r="I101" s="23" t="str">
        <f>HYPERLINK("http://www.marinespecies.org/aphia.php?p=taxdetails&amp;id=674823","674823")</f>
        <v>674823</v>
      </c>
      <c r="J101" s="22" t="s">
        <v>2295</v>
      </c>
      <c r="K101" s="22" t="s">
        <v>94</v>
      </c>
      <c r="L101" s="23" t="str">
        <f>HYPERLINK("http://www.marinespecies.org/aphia.php?p=taxdetails&amp;id=674823","674823")</f>
        <v>674823</v>
      </c>
      <c r="M101" s="22" t="s">
        <v>94</v>
      </c>
    </row>
    <row r="102">
      <c r="A102" s="22" t="s">
        <v>2296</v>
      </c>
      <c r="B102" s="22">
        <v>31.0</v>
      </c>
      <c r="C102" s="23" t="str">
        <f>HYPERLINK("http://ecotaxoserver.obs-vlfr.fr/browsetaxo/?id=54547","54547")</f>
        <v>54547</v>
      </c>
      <c r="D102" s="23" t="str">
        <f>HYPERLINK("http://www.marinespecies.org/aphia.php?p=taxdetails&amp;id=152283","152283")</f>
        <v>152283</v>
      </c>
      <c r="E102" s="22" t="s">
        <v>2297</v>
      </c>
      <c r="F102" s="22" t="s">
        <v>224</v>
      </c>
      <c r="G102" s="22" t="s">
        <v>2093</v>
      </c>
      <c r="H102" s="22" t="s">
        <v>2112</v>
      </c>
      <c r="I102" s="23" t="str">
        <f>HYPERLINK("http://www.marinespecies.org/aphia.php?p=taxdetails&amp;id=1268","1268")</f>
        <v>1268</v>
      </c>
      <c r="J102" s="22" t="s">
        <v>2298</v>
      </c>
      <c r="K102" s="22" t="s">
        <v>94</v>
      </c>
      <c r="L102" s="23" t="str">
        <f>HYPERLINK("http://www.marinespecies.org/aphia.php?p=taxdetails&amp;id=1268","1268")</f>
        <v>1268</v>
      </c>
      <c r="M102" s="22" t="s">
        <v>94</v>
      </c>
    </row>
    <row r="103">
      <c r="A103" s="22" t="s">
        <v>2299</v>
      </c>
      <c r="B103" s="22">
        <v>3.0</v>
      </c>
      <c r="C103" s="23" t="str">
        <f>HYPERLINK("http://ecotaxoserver.obs-vlfr.fr/browsetaxo/?id=93000","93000")</f>
        <v>93000</v>
      </c>
      <c r="D103" s="23" t="str">
        <f>HYPERLINK("http://www.marinespecies.org/aphia.php?p=taxdetails&amp;id=355761","355761")</f>
        <v>355761</v>
      </c>
      <c r="E103" s="22" t="s">
        <v>1701</v>
      </c>
      <c r="F103" s="22" t="s">
        <v>1701</v>
      </c>
      <c r="G103" s="22" t="s">
        <v>2093</v>
      </c>
      <c r="H103" s="22" t="s">
        <v>2300</v>
      </c>
      <c r="I103" s="23" t="str">
        <f>HYPERLINK("http://www.marinespecies.org/aphia.php?p=taxdetails&amp;id=104851","104851")</f>
        <v>104851</v>
      </c>
      <c r="J103" s="22" t="s">
        <v>2301</v>
      </c>
      <c r="K103" s="22" t="s">
        <v>94</v>
      </c>
      <c r="L103" s="23" t="str">
        <f>HYPERLINK("http://www.marinespecies.org/aphia.php?p=taxdetails&amp;id=104851","104851")</f>
        <v>104851</v>
      </c>
      <c r="M103" s="22" t="s">
        <v>94</v>
      </c>
    </row>
    <row r="104">
      <c r="A104" s="22" t="s">
        <v>2302</v>
      </c>
      <c r="B104" s="22">
        <v>13.0</v>
      </c>
      <c r="C104" s="23" t="str">
        <f>HYPERLINK("http://ecotaxoserver.obs-vlfr.fr/browsetaxo/?id=55779","55779")</f>
        <v>55779</v>
      </c>
      <c r="D104" s="23" t="str">
        <f>HYPERLINK("http://www.marinespecies.org/aphia.php?p=taxdetails&amp;id=149177","149177")</f>
        <v>149177</v>
      </c>
      <c r="E104" s="22" t="s">
        <v>1743</v>
      </c>
      <c r="F104" s="22" t="s">
        <v>1743</v>
      </c>
      <c r="G104" s="22" t="s">
        <v>2046</v>
      </c>
      <c r="I104" s="23" t="str">
        <f>HYPERLINK("http://www.marinespecies.org/aphia.php?p=taxdetails&amp;id=573470","573470")</f>
        <v>573470</v>
      </c>
      <c r="J104" s="22" t="s">
        <v>2303</v>
      </c>
      <c r="K104" s="22" t="s">
        <v>94</v>
      </c>
      <c r="L104" s="23" t="str">
        <f>HYPERLINK("http://www.marinespecies.org/aphia.php?p=taxdetails&amp;id=573470","573470")</f>
        <v>573470</v>
      </c>
      <c r="M104" s="22" t="s">
        <v>94</v>
      </c>
    </row>
    <row r="105">
      <c r="A105" s="22" t="s">
        <v>2304</v>
      </c>
      <c r="B105" s="22">
        <v>33.0</v>
      </c>
      <c r="C105" s="23" t="str">
        <f>HYPERLINK("http://ecotaxoserver.obs-vlfr.fr/browsetaxo/?id=55796","55796")</f>
        <v>55796</v>
      </c>
      <c r="D105" s="23" t="str">
        <f>HYPERLINK("http://www.marinespecies.org/aphia.php?p=taxdetails&amp;id=573617","573617")</f>
        <v>573617</v>
      </c>
      <c r="E105" s="22" t="s">
        <v>1761</v>
      </c>
      <c r="F105" s="22" t="s">
        <v>1761</v>
      </c>
      <c r="G105" s="22" t="s">
        <v>2046</v>
      </c>
      <c r="I105" s="23" t="str">
        <f>HYPERLINK("http://www.marinespecies.org/aphia.php?p=taxdetails&amp;id=978902","978902")</f>
        <v>978902</v>
      </c>
      <c r="J105" s="22" t="s">
        <v>2305</v>
      </c>
      <c r="K105" s="22" t="s">
        <v>94</v>
      </c>
      <c r="L105" s="23" t="str">
        <f>HYPERLINK("http://www.marinespecies.org/aphia.php?p=taxdetails&amp;id=978902","978902")</f>
        <v>978902</v>
      </c>
      <c r="M105" s="22" t="s">
        <v>94</v>
      </c>
    </row>
    <row r="106">
      <c r="A106" s="22" t="s">
        <v>2306</v>
      </c>
      <c r="B106" s="22">
        <v>7.0</v>
      </c>
      <c r="C106" s="23" t="str">
        <f>HYPERLINK("http://ecotaxoserver.obs-vlfr.fr/browsetaxo/?id=55809","55809")</f>
        <v>55809</v>
      </c>
      <c r="D106" s="23" t="str">
        <f>HYPERLINK("http://www.marinespecies.org/aphia.php?p=taxdetails&amp;id=555052","555052")</f>
        <v>555052</v>
      </c>
      <c r="E106" s="22" t="s">
        <v>1785</v>
      </c>
      <c r="F106" s="22" t="s">
        <v>1785</v>
      </c>
      <c r="G106" s="22" t="s">
        <v>2046</v>
      </c>
      <c r="I106" s="23" t="str">
        <f>HYPERLINK("http://www.marinespecies.org/aphia.php?p=taxdetails&amp;id=176362","176362")</f>
        <v>176362</v>
      </c>
      <c r="J106" s="22" t="s">
        <v>2307</v>
      </c>
      <c r="K106" s="22" t="s">
        <v>94</v>
      </c>
      <c r="L106" s="23" t="str">
        <f>HYPERLINK("http://www.marinespecies.org/aphia.php?p=taxdetails&amp;id=176362","176362")</f>
        <v>176362</v>
      </c>
      <c r="M106" s="22" t="s">
        <v>94</v>
      </c>
    </row>
    <row r="107">
      <c r="A107" s="22" t="s">
        <v>2308</v>
      </c>
      <c r="B107" s="22">
        <v>12.0</v>
      </c>
      <c r="C107" s="23" t="str">
        <f>HYPERLINK("http://ecotaxoserver.obs-vlfr.fr/browsetaxo/?id=92386","92386")</f>
        <v>92386</v>
      </c>
      <c r="D107" s="23" t="str">
        <f>HYPERLINK("http://www.marinespecies.org/aphia.php?p=taxdetails&amp;id=573626","573626")</f>
        <v>573626</v>
      </c>
      <c r="E107" s="22" t="s">
        <v>128</v>
      </c>
      <c r="F107" s="22" t="s">
        <v>1785</v>
      </c>
      <c r="G107" s="22" t="s">
        <v>2046</v>
      </c>
      <c r="I107" s="23" t="str">
        <f>HYPERLINK("http://www.marinespecies.org/aphia.php?p=taxdetails&amp;id=573665","573665")</f>
        <v>573665</v>
      </c>
      <c r="J107" s="22" t="s">
        <v>2309</v>
      </c>
      <c r="K107" s="22" t="s">
        <v>94</v>
      </c>
      <c r="L107" s="23" t="str">
        <f>HYPERLINK("http://www.marinespecies.org/aphia.php?p=taxdetails&amp;id=573665","573665")</f>
        <v>573665</v>
      </c>
      <c r="M107" s="22" t="s">
        <v>94</v>
      </c>
    </row>
    <row r="108">
      <c r="A108" s="22" t="s">
        <v>2310</v>
      </c>
      <c r="B108" s="22">
        <v>8.0</v>
      </c>
      <c r="C108" s="23" t="str">
        <f>HYPERLINK("http://ecotaxoserver.obs-vlfr.fr/browsetaxo/?id=55996","55996")</f>
        <v>55996</v>
      </c>
      <c r="D108" s="23" t="str">
        <f>HYPERLINK("http://www.marinespecies.org/aphia.php?p=taxdetails&amp;id=148913","148913")</f>
        <v>148913</v>
      </c>
      <c r="E108" s="22" t="s">
        <v>1788</v>
      </c>
      <c r="F108" s="22" t="s">
        <v>1788</v>
      </c>
      <c r="G108" s="22" t="s">
        <v>2046</v>
      </c>
      <c r="I108" s="23" t="str">
        <f>HYPERLINK("http://www.marinespecies.org/aphia.php?p=taxdetails&amp;id=966467","966467")</f>
        <v>966467</v>
      </c>
      <c r="J108" s="22" t="s">
        <v>2311</v>
      </c>
      <c r="K108" s="22" t="s">
        <v>94</v>
      </c>
      <c r="L108" s="23" t="str">
        <f>HYPERLINK("http://www.marinespecies.org/aphia.php?p=taxdetails&amp;id=966467","966467")</f>
        <v>966467</v>
      </c>
      <c r="M108" s="22" t="s">
        <v>94</v>
      </c>
    </row>
    <row r="109">
      <c r="A109" s="22" t="s">
        <v>2312</v>
      </c>
      <c r="B109" s="22">
        <v>27.0</v>
      </c>
      <c r="C109" s="23" t="str">
        <f>HYPERLINK("http://ecotaxoserver.obs-vlfr.fr/browsetaxo/?id=55995","55995")</f>
        <v>55995</v>
      </c>
      <c r="D109" s="23" t="str">
        <f>HYPERLINK("http://www.marinespecies.org/aphia.php?p=taxdetails&amp;id=148914","148914")</f>
        <v>148914</v>
      </c>
      <c r="E109" s="22" t="s">
        <v>1788</v>
      </c>
      <c r="F109" s="22" t="s">
        <v>1788</v>
      </c>
      <c r="G109" s="22" t="s">
        <v>2046</v>
      </c>
      <c r="I109" s="23" t="str">
        <f>HYPERLINK("http://www.marinespecies.org/aphia.php?p=taxdetails&amp;id=964359","964359")</f>
        <v>964359</v>
      </c>
      <c r="J109" s="22" t="s">
        <v>2313</v>
      </c>
      <c r="K109" s="22" t="s">
        <v>94</v>
      </c>
      <c r="L109" s="23" t="str">
        <f>HYPERLINK("http://www.marinespecies.org/aphia.php?p=taxdetails&amp;id=964359","964359")</f>
        <v>964359</v>
      </c>
      <c r="M109" s="22" t="s">
        <v>94</v>
      </c>
    </row>
    <row r="110">
      <c r="A110" s="22" t="s">
        <v>2314</v>
      </c>
      <c r="B110" s="22">
        <v>52.0</v>
      </c>
      <c r="C110" s="23" t="str">
        <f>HYPERLINK("http://ecotaxoserver.obs-vlfr.fr/browsetaxo/?id=85508","85508")</f>
        <v>85508</v>
      </c>
      <c r="D110" s="23" t="str">
        <f>HYPERLINK("http://www.marinespecies.org/aphia.php?p=taxdetails&amp;id=341522","341522")</f>
        <v>341522</v>
      </c>
      <c r="E110" s="22" t="s">
        <v>1788</v>
      </c>
      <c r="F110" s="22" t="s">
        <v>1788</v>
      </c>
      <c r="G110" s="22" t="s">
        <v>2046</v>
      </c>
      <c r="I110" s="23" t="str">
        <f>HYPERLINK("http://www.marinespecies.org/aphia.php?p=taxdetails&amp;id=573447","573447")</f>
        <v>573447</v>
      </c>
      <c r="J110" s="22" t="s">
        <v>2315</v>
      </c>
      <c r="K110" s="22" t="s">
        <v>94</v>
      </c>
      <c r="L110" s="23" t="str">
        <f>HYPERLINK("http://www.marinespecies.org/aphia.php?p=taxdetails&amp;id=573447","573447")</f>
        <v>573447</v>
      </c>
      <c r="M110" s="22" t="s">
        <v>94</v>
      </c>
    </row>
    <row r="111">
      <c r="A111" s="22" t="s">
        <v>2316</v>
      </c>
      <c r="B111" s="22">
        <v>1.0</v>
      </c>
      <c r="C111" s="23" t="str">
        <f>HYPERLINK("http://ecotaxoserver.obs-vlfr.fr/browsetaxo/?id=55973","55973")</f>
        <v>55973</v>
      </c>
      <c r="D111" s="23" t="str">
        <f>HYPERLINK("http://www.marinespecies.org/aphia.php?p=taxdetails&amp;id=148936","148936")</f>
        <v>148936</v>
      </c>
      <c r="E111" s="22" t="s">
        <v>1788</v>
      </c>
      <c r="F111" s="22" t="s">
        <v>1788</v>
      </c>
      <c r="G111" s="22" t="s">
        <v>2046</v>
      </c>
      <c r="I111" s="23" t="str">
        <f>HYPERLINK("http://www.marinespecies.org/aphia.php?p=taxdetails&amp;id=148941","148941")</f>
        <v>148941</v>
      </c>
      <c r="J111" s="22" t="s">
        <v>2317</v>
      </c>
      <c r="K111" s="22" t="s">
        <v>94</v>
      </c>
      <c r="L111" s="23" t="str">
        <f>HYPERLINK("http://www.marinespecies.org/aphia.php?p=taxdetails&amp;id=148941","148941")</f>
        <v>148941</v>
      </c>
      <c r="M111" s="22" t="s">
        <v>94</v>
      </c>
    </row>
    <row r="112">
      <c r="A112" s="22" t="s">
        <v>2318</v>
      </c>
      <c r="B112" s="22">
        <v>13609.0</v>
      </c>
      <c r="C112" s="23" t="str">
        <f>HYPERLINK("http://ecotaxoserver.obs-vlfr.fr/browsetaxo/?id=55967","55967")</f>
        <v>55967</v>
      </c>
      <c r="D112" s="23" t="str">
        <f>HYPERLINK("http://www.marinespecies.org/aphia.php?p=taxdetails&amp;id=163513","163513")</f>
        <v>163513</v>
      </c>
      <c r="E112" s="22" t="s">
        <v>1788</v>
      </c>
      <c r="F112" s="22" t="s">
        <v>1788</v>
      </c>
      <c r="G112" s="22" t="s">
        <v>2046</v>
      </c>
      <c r="I112" s="23" t="str">
        <f>HYPERLINK("http://www.marinespecies.org/aphia.php?p=taxdetails&amp;id=668848","668848")</f>
        <v>668848</v>
      </c>
      <c r="J112" s="22" t="s">
        <v>2319</v>
      </c>
      <c r="K112" s="22" t="s">
        <v>94</v>
      </c>
      <c r="L112" s="23" t="str">
        <f>HYPERLINK("http://www.marinespecies.org/aphia.php?p=taxdetails&amp;id=668848","668848")</f>
        <v>668848</v>
      </c>
      <c r="M112" s="22" t="s">
        <v>94</v>
      </c>
    </row>
    <row r="113">
      <c r="A113" s="22" t="s">
        <v>2320</v>
      </c>
      <c r="B113" s="22">
        <v>4639.0</v>
      </c>
      <c r="C113" s="23" t="str">
        <f>HYPERLINK("http://ecotaxoserver.obs-vlfr.fr/browsetaxo/?id=18599","18599")</f>
        <v>18599</v>
      </c>
      <c r="D113" s="23" t="str">
        <f>HYPERLINK("http://www.marinespecies.org/aphia.php?p=taxdetails&amp;id=425497","425497")</f>
        <v>425497</v>
      </c>
      <c r="E113" s="22" t="s">
        <v>508</v>
      </c>
      <c r="F113" s="22" t="s">
        <v>508</v>
      </c>
      <c r="G113" s="22" t="s">
        <v>2093</v>
      </c>
      <c r="I113" s="23" t="str">
        <f>HYPERLINK("http://www.marinespecies.org/aphia.php?p=taxdetails&amp;id=732976","732976")</f>
        <v>732976</v>
      </c>
      <c r="J113" s="22" t="s">
        <v>568</v>
      </c>
      <c r="K113" s="22" t="s">
        <v>94</v>
      </c>
      <c r="L113" s="23" t="str">
        <f>HYPERLINK("http://www.marinespecies.org/aphia.php?p=taxdetails&amp;id=732976","732976")</f>
        <v>732976</v>
      </c>
      <c r="M113" s="22" t="s">
        <v>94</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29"/>
    <col customWidth="1" min="2" max="2" width="9.43"/>
    <col customWidth="1" min="3" max="3" width="10.57"/>
    <col customWidth="1" min="5" max="5" width="17.0"/>
    <col customWidth="1" min="6" max="6" width="21.29"/>
    <col customWidth="1" min="7" max="7" width="25.0"/>
    <col customWidth="1" min="8" max="8" width="30.14"/>
    <col customWidth="1" min="10" max="10" width="33.0"/>
    <col customWidth="1" min="13" max="13" width="83.0"/>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2321</v>
      </c>
      <c r="B2" s="22">
        <v>53.0</v>
      </c>
      <c r="C2" s="23" t="str">
        <f>HYPERLINK("http://ecotaxoserver.obs-vlfr.fr/browsetaxo/?id=18790","18790")</f>
        <v>18790</v>
      </c>
      <c r="D2" s="23" t="str">
        <f t="shared" ref="D2:D3" si="1">HYPERLINK("http://www.marinespecies.org/aphia.php?p=taxdetails&amp;id=109406","109406")</f>
        <v>109406</v>
      </c>
      <c r="E2" s="22" t="s">
        <v>743</v>
      </c>
      <c r="F2" s="22" t="s">
        <v>743</v>
      </c>
      <c r="G2" s="22" t="s">
        <v>2093</v>
      </c>
      <c r="H2" s="22" t="s">
        <v>2322</v>
      </c>
      <c r="I2" s="23" t="str">
        <f t="shared" ref="I2:I3" si="2">HYPERLINK("http://www.marinespecies.org/aphia.php?p=taxdetails&amp;id=231772","231772")</f>
        <v>231772</v>
      </c>
      <c r="J2" s="36" t="s">
        <v>746</v>
      </c>
      <c r="K2" s="36" t="s">
        <v>94</v>
      </c>
      <c r="L2" s="37" t="str">
        <f t="shared" ref="L2:L3" si="3">HYPERLINK("http://www.marinespecies.org/aphia.php?p=taxdetails&amp;id=231772","231772")</f>
        <v>231772</v>
      </c>
      <c r="M2" s="38" t="s">
        <v>2323</v>
      </c>
    </row>
    <row r="3">
      <c r="A3" s="22" t="s">
        <v>2321</v>
      </c>
      <c r="B3" s="22">
        <v>4.0</v>
      </c>
      <c r="C3" s="23" t="str">
        <f>HYPERLINK("http://ecotaxoserver.obs-vlfr.fr/browsetaxo/?id=31652","31652")</f>
        <v>31652</v>
      </c>
      <c r="D3" s="23" t="str">
        <f t="shared" si="1"/>
        <v>109406</v>
      </c>
      <c r="E3" s="39" t="s">
        <v>2324</v>
      </c>
      <c r="F3" s="22" t="s">
        <v>743</v>
      </c>
      <c r="G3" s="22" t="s">
        <v>2093</v>
      </c>
      <c r="H3" s="22" t="s">
        <v>2322</v>
      </c>
      <c r="I3" s="23" t="str">
        <f t="shared" si="2"/>
        <v>231772</v>
      </c>
      <c r="J3" s="36" t="s">
        <v>746</v>
      </c>
      <c r="K3" s="38" t="s">
        <v>1927</v>
      </c>
      <c r="L3" s="37" t="str">
        <f t="shared" si="3"/>
        <v>231772</v>
      </c>
      <c r="M3" s="38" t="s">
        <v>2325</v>
      </c>
    </row>
    <row r="4">
      <c r="A4" s="22" t="s">
        <v>2326</v>
      </c>
      <c r="B4" s="22">
        <v>72934.0</v>
      </c>
      <c r="C4" s="23" t="str">
        <f>HYPERLINK("http://ecotaxoserver.obs-vlfr.fr/browsetaxo/?id=31565","31565")</f>
        <v>31565</v>
      </c>
      <c r="D4" s="23" t="str">
        <f t="shared" ref="D4:D5" si="4">HYPERLINK("http://www.marinespecies.org/aphia.php?p=taxdetails&amp;id=110153","110153")</f>
        <v>110153</v>
      </c>
      <c r="E4" s="22" t="s">
        <v>983</v>
      </c>
      <c r="F4" s="22" t="s">
        <v>983</v>
      </c>
      <c r="G4" s="22" t="s">
        <v>2093</v>
      </c>
      <c r="I4" s="23" t="str">
        <f t="shared" ref="I4:I5" si="5">HYPERLINK("http://www.marinespecies.org/aphia.php?p=taxdetails&amp;id=1346683","1346683")</f>
        <v>1346683</v>
      </c>
      <c r="J4" s="36" t="s">
        <v>2327</v>
      </c>
      <c r="K4" s="36" t="s">
        <v>94</v>
      </c>
      <c r="L4" s="37" t="str">
        <f t="shared" ref="L4:L5" si="6">HYPERLINK("http://www.marinespecies.org/aphia.php?p=taxdetails&amp;id=1346683","1346683")</f>
        <v>1346683</v>
      </c>
      <c r="M4" s="38" t="s">
        <v>2328</v>
      </c>
    </row>
    <row r="5">
      <c r="A5" s="22" t="s">
        <v>2326</v>
      </c>
      <c r="B5" s="22">
        <v>287.0</v>
      </c>
      <c r="C5" s="23" t="str">
        <f>HYPERLINK("http://ecotaxoserver.obs-vlfr.fr/browsetaxo/?id=78967","78967")</f>
        <v>78967</v>
      </c>
      <c r="D5" s="23" t="str">
        <f t="shared" si="4"/>
        <v>110153</v>
      </c>
      <c r="E5" s="22" t="s">
        <v>2329</v>
      </c>
      <c r="F5" s="22" t="s">
        <v>983</v>
      </c>
      <c r="G5" s="22" t="s">
        <v>2093</v>
      </c>
      <c r="I5" s="23" t="str">
        <f t="shared" si="5"/>
        <v>1346683</v>
      </c>
      <c r="J5" s="36" t="s">
        <v>2327</v>
      </c>
      <c r="K5" s="38" t="s">
        <v>1927</v>
      </c>
      <c r="L5" s="37" t="str">
        <f t="shared" si="6"/>
        <v>1346683</v>
      </c>
      <c r="M5" s="38" t="s">
        <v>2330</v>
      </c>
    </row>
    <row r="6">
      <c r="A6" s="22" t="s">
        <v>2331</v>
      </c>
      <c r="B6" s="22">
        <v>52.0</v>
      </c>
      <c r="C6" s="23" t="str">
        <f>HYPERLINK("http://ecotaxoserver.obs-vlfr.fr/browsetaxo/?id=31600","31600")</f>
        <v>31600</v>
      </c>
      <c r="D6" s="23" t="str">
        <f t="shared" ref="D6:D7" si="7">HYPERLINK("http://www.marinespecies.org/aphia.php?p=taxdetails&amp;id=495645","495645")</f>
        <v>495645</v>
      </c>
      <c r="E6" s="22" t="s">
        <v>1250</v>
      </c>
      <c r="F6" s="22" t="s">
        <v>1250</v>
      </c>
      <c r="G6" s="22" t="s">
        <v>2093</v>
      </c>
      <c r="I6" s="23" t="str">
        <f t="shared" ref="I6:I7" si="8">HYPERLINK("http://www.marinespecies.org/aphia.php?p=taxdetails&amp;id=841198","841198")</f>
        <v>841198</v>
      </c>
      <c r="J6" s="36" t="s">
        <v>2332</v>
      </c>
      <c r="K6" s="36" t="s">
        <v>94</v>
      </c>
      <c r="L6" s="37" t="str">
        <f t="shared" ref="L6:L7" si="9">HYPERLINK("http://www.marinespecies.org/aphia.php?p=taxdetails&amp;id=841198","841198")</f>
        <v>841198</v>
      </c>
      <c r="M6" s="38" t="s">
        <v>2333</v>
      </c>
    </row>
    <row r="7">
      <c r="A7" s="22" t="s">
        <v>2331</v>
      </c>
      <c r="B7" s="22">
        <v>190.0</v>
      </c>
      <c r="C7" s="23" t="str">
        <f>HYPERLINK("http://ecotaxoserver.obs-vlfr.fr/browsetaxo/?id=58226","58226")</f>
        <v>58226</v>
      </c>
      <c r="D7" s="23" t="str">
        <f t="shared" si="7"/>
        <v>495645</v>
      </c>
      <c r="E7" s="22" t="s">
        <v>2334</v>
      </c>
      <c r="F7" s="22" t="s">
        <v>1250</v>
      </c>
      <c r="G7" s="22" t="s">
        <v>2093</v>
      </c>
      <c r="I7" s="23" t="str">
        <f t="shared" si="8"/>
        <v>841198</v>
      </c>
      <c r="J7" s="36" t="s">
        <v>2332</v>
      </c>
      <c r="K7" s="38" t="s">
        <v>1927</v>
      </c>
      <c r="L7" s="37" t="str">
        <f t="shared" si="9"/>
        <v>841198</v>
      </c>
      <c r="M7" s="38" t="s">
        <v>2335</v>
      </c>
    </row>
    <row r="8">
      <c r="A8" s="22" t="s">
        <v>2336</v>
      </c>
      <c r="B8" s="22">
        <v>12674.0</v>
      </c>
      <c r="C8" s="23" t="str">
        <f>HYPERLINK("http://ecotaxoserver.obs-vlfr.fr/browsetaxo/?id=31594","31594")</f>
        <v>31594</v>
      </c>
      <c r="D8" s="23" t="str">
        <f t="shared" ref="D8:D9" si="10">HYPERLINK("http://www.marinespecies.org/aphia.php?p=taxdetails&amp;id=495659","495659")</f>
        <v>495659</v>
      </c>
      <c r="E8" s="22" t="s">
        <v>1250</v>
      </c>
      <c r="F8" s="22" t="s">
        <v>1250</v>
      </c>
      <c r="G8" s="22" t="s">
        <v>2093</v>
      </c>
      <c r="I8" s="23" t="str">
        <f t="shared" ref="I8:I9" si="11">HYPERLINK("http://www.marinespecies.org/aphia.php?p=taxdetails&amp;id=840627","840627")</f>
        <v>840627</v>
      </c>
      <c r="J8" s="36" t="s">
        <v>1857</v>
      </c>
      <c r="K8" s="36" t="s">
        <v>94</v>
      </c>
      <c r="L8" s="37" t="str">
        <f t="shared" ref="L8:L9" si="12">HYPERLINK("http://www.marinespecies.org/aphia.php?p=taxdetails&amp;id=840627","840627")</f>
        <v>840627</v>
      </c>
      <c r="M8" s="38" t="s">
        <v>2337</v>
      </c>
    </row>
    <row r="9">
      <c r="A9" s="22" t="s">
        <v>2336</v>
      </c>
      <c r="B9" s="22">
        <v>12.0</v>
      </c>
      <c r="C9" s="23" t="str">
        <f>HYPERLINK("http://ecotaxoserver.obs-vlfr.fr/browsetaxo/?id=58225","58225")</f>
        <v>58225</v>
      </c>
      <c r="D9" s="23" t="str">
        <f t="shared" si="10"/>
        <v>495659</v>
      </c>
      <c r="E9" s="22" t="s">
        <v>2334</v>
      </c>
      <c r="F9" s="22" t="s">
        <v>1250</v>
      </c>
      <c r="G9" s="22" t="s">
        <v>2093</v>
      </c>
      <c r="I9" s="23" t="str">
        <f t="shared" si="11"/>
        <v>840627</v>
      </c>
      <c r="J9" s="36" t="s">
        <v>1857</v>
      </c>
      <c r="K9" s="38" t="s">
        <v>1927</v>
      </c>
      <c r="L9" s="37" t="str">
        <f t="shared" si="12"/>
        <v>840627</v>
      </c>
      <c r="M9" s="38" t="s">
        <v>2338</v>
      </c>
    </row>
    <row r="10">
      <c r="A10" s="22" t="s">
        <v>2339</v>
      </c>
      <c r="B10" s="22">
        <v>6281.0</v>
      </c>
      <c r="C10" s="23" t="str">
        <f>HYPERLINK("http://ecotaxoserver.obs-vlfr.fr/browsetaxo/?id=31593","31593")</f>
        <v>31593</v>
      </c>
      <c r="D10" s="23" t="str">
        <f t="shared" ref="D10:D11" si="13">HYPERLINK("http://www.marinespecies.org/aphia.php?p=taxdetails&amp;id=495660","495660")</f>
        <v>495660</v>
      </c>
      <c r="E10" s="22" t="s">
        <v>1250</v>
      </c>
      <c r="F10" s="22" t="s">
        <v>1250</v>
      </c>
      <c r="G10" s="22" t="s">
        <v>2093</v>
      </c>
      <c r="I10" s="23" t="str">
        <f t="shared" ref="I10:I11" si="14">HYPERLINK("http://www.marinespecies.org/aphia.php?p=taxdetails&amp;id=840626","840626")</f>
        <v>840626</v>
      </c>
      <c r="J10" s="36" t="s">
        <v>1858</v>
      </c>
      <c r="K10" s="36" t="s">
        <v>94</v>
      </c>
      <c r="L10" s="37" t="str">
        <f t="shared" ref="L10:L11" si="15">HYPERLINK("http://www.marinespecies.org/aphia.php?p=taxdetails&amp;id=840626","840626")</f>
        <v>840626</v>
      </c>
      <c r="M10" s="38" t="s">
        <v>2340</v>
      </c>
    </row>
    <row r="11">
      <c r="A11" s="22" t="s">
        <v>2339</v>
      </c>
      <c r="B11" s="22">
        <v>37.0</v>
      </c>
      <c r="C11" s="23" t="str">
        <f>HYPERLINK("http://ecotaxoserver.obs-vlfr.fr/browsetaxo/?id=58224","58224")</f>
        <v>58224</v>
      </c>
      <c r="D11" s="23" t="str">
        <f t="shared" si="13"/>
        <v>495660</v>
      </c>
      <c r="E11" s="22" t="s">
        <v>2334</v>
      </c>
      <c r="F11" s="22" t="s">
        <v>1250</v>
      </c>
      <c r="G11" s="22" t="s">
        <v>2093</v>
      </c>
      <c r="I11" s="23" t="str">
        <f t="shared" si="14"/>
        <v>840626</v>
      </c>
      <c r="J11" s="36" t="s">
        <v>1858</v>
      </c>
      <c r="K11" s="38" t="s">
        <v>1927</v>
      </c>
      <c r="L11" s="37" t="str">
        <f t="shared" si="15"/>
        <v>840626</v>
      </c>
      <c r="M11" s="38" t="s">
        <v>2341</v>
      </c>
    </row>
    <row r="12">
      <c r="A12" s="22" t="s">
        <v>2342</v>
      </c>
      <c r="B12" s="22">
        <v>3.0</v>
      </c>
      <c r="C12" s="23" t="str">
        <f>HYPERLINK("http://ecotaxoserver.obs-vlfr.fr/browsetaxo/?id=79055","79055")</f>
        <v>79055</v>
      </c>
      <c r="D12" s="23" t="str">
        <f t="shared" ref="D12:D13" si="16">HYPERLINK("http://www.marinespecies.org/aphia.php?p=taxdetails&amp;id=232308","232308")</f>
        <v>232308</v>
      </c>
      <c r="E12" s="22" t="s">
        <v>1508</v>
      </c>
      <c r="F12" s="22" t="s">
        <v>1508</v>
      </c>
      <c r="G12" s="22" t="s">
        <v>2093</v>
      </c>
      <c r="I12" s="23" t="str">
        <f t="shared" ref="I12:I13" si="17">HYPERLINK("http://www.marinespecies.org/aphia.php?p=taxdetails&amp;id=232304","232304")</f>
        <v>232304</v>
      </c>
      <c r="J12" s="36" t="s">
        <v>2343</v>
      </c>
      <c r="K12" s="36" t="s">
        <v>94</v>
      </c>
      <c r="L12" s="37" t="str">
        <f t="shared" ref="L12:L13" si="18">HYPERLINK("http://www.marinespecies.org/aphia.php?p=taxdetails&amp;id=232304","232304")</f>
        <v>232304</v>
      </c>
      <c r="M12" s="38" t="s">
        <v>2344</v>
      </c>
    </row>
    <row r="13">
      <c r="A13" s="22" t="s">
        <v>2342</v>
      </c>
      <c r="B13" s="22">
        <v>2.0</v>
      </c>
      <c r="C13" s="23" t="str">
        <f>HYPERLINK("http://ecotaxoserver.obs-vlfr.fr/browsetaxo/?id=79059","79059")</f>
        <v>79059</v>
      </c>
      <c r="D13" s="23" t="str">
        <f t="shared" si="16"/>
        <v>232308</v>
      </c>
      <c r="E13" s="22" t="s">
        <v>2345</v>
      </c>
      <c r="F13" s="22" t="s">
        <v>1508</v>
      </c>
      <c r="G13" s="22" t="s">
        <v>2093</v>
      </c>
      <c r="I13" s="23" t="str">
        <f t="shared" si="17"/>
        <v>232304</v>
      </c>
      <c r="J13" s="36" t="s">
        <v>2343</v>
      </c>
      <c r="K13" s="38" t="s">
        <v>1927</v>
      </c>
      <c r="L13" s="37" t="str">
        <f t="shared" si="18"/>
        <v>232304</v>
      </c>
      <c r="M13" s="38" t="s">
        <v>2346</v>
      </c>
    </row>
    <row r="14">
      <c r="A14" s="22" t="s">
        <v>2347</v>
      </c>
      <c r="B14" s="22">
        <v>255.0</v>
      </c>
      <c r="C14" s="23" t="str">
        <f>HYPERLINK("http://ecotaxoserver.obs-vlfr.fr/browsetaxo/?id=55808","55808")</f>
        <v>55808</v>
      </c>
      <c r="D14" s="23" t="str">
        <f t="shared" ref="D14:D15" si="19">HYPERLINK("http://www.marinespecies.org/aphia.php?p=taxdetails&amp;id=149093","149093")</f>
        <v>149093</v>
      </c>
      <c r="E14" s="22" t="s">
        <v>1785</v>
      </c>
      <c r="F14" s="22" t="s">
        <v>1785</v>
      </c>
      <c r="G14" s="22" t="s">
        <v>2046</v>
      </c>
      <c r="I14" s="23" t="str">
        <f t="shared" ref="I14:I15" si="20">HYPERLINK("http://www.marinespecies.org/aphia.php?p=taxdetails&amp;id=985570","985570")</f>
        <v>985570</v>
      </c>
      <c r="J14" s="22" t="s">
        <v>2348</v>
      </c>
      <c r="K14" s="22" t="s">
        <v>94</v>
      </c>
      <c r="L14" s="23" t="str">
        <f t="shared" ref="L14:L15" si="21">HYPERLINK("http://www.marinespecies.org/aphia.php?p=taxdetails&amp;id=985570","985570")</f>
        <v>985570</v>
      </c>
      <c r="M14" s="40" t="s">
        <v>2349</v>
      </c>
    </row>
    <row r="15">
      <c r="A15" s="22" t="s">
        <v>2347</v>
      </c>
      <c r="B15" s="22">
        <v>30.0</v>
      </c>
      <c r="C15" s="23" t="str">
        <f>HYPERLINK("http://ecotaxoserver.obs-vlfr.fr/browsetaxo/?id=91490","91490")</f>
        <v>91490</v>
      </c>
      <c r="D15" s="23" t="str">
        <f t="shared" si="19"/>
        <v>149093</v>
      </c>
      <c r="E15" s="22" t="s">
        <v>751</v>
      </c>
      <c r="F15" s="22" t="s">
        <v>1785</v>
      </c>
      <c r="G15" s="22" t="s">
        <v>2046</v>
      </c>
      <c r="I15" s="23" t="str">
        <f t="shared" si="20"/>
        <v>985570</v>
      </c>
      <c r="J15" s="22" t="s">
        <v>2348</v>
      </c>
      <c r="K15" s="24" t="s">
        <v>1927</v>
      </c>
      <c r="L15" s="23" t="str">
        <f t="shared" si="21"/>
        <v>985570</v>
      </c>
      <c r="M15" s="40" t="s">
        <v>2349</v>
      </c>
    </row>
    <row r="21">
      <c r="J21" s="40" t="s">
        <v>2350</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1.0" ySplit="1.0" topLeftCell="L2" activePane="bottomRight" state="frozen"/>
      <selection activeCell="L1" sqref="L1" pane="topRight"/>
      <selection activeCell="A2" sqref="A2" pane="bottomLeft"/>
      <selection activeCell="L2" sqref="L2" pane="bottomRight"/>
    </sheetView>
  </sheetViews>
  <sheetFormatPr customHeight="1" defaultColWidth="14.43" defaultRowHeight="15.75"/>
  <cols>
    <col customWidth="1" min="1" max="1" width="25.57"/>
    <col customWidth="1" min="2" max="2" width="7.29"/>
    <col customWidth="1" min="3" max="3" width="7.0"/>
    <col customWidth="1" min="4" max="4" width="20.29"/>
    <col customWidth="1" min="5" max="5" width="8.71"/>
    <col customWidth="1" min="6" max="6" width="11.71"/>
    <col customWidth="1" min="7" max="7" width="15.29"/>
    <col customWidth="1" min="8" max="8" width="19.57"/>
    <col customWidth="1" min="9" max="9" width="9.29"/>
    <col customWidth="1" min="10" max="10" width="13.57"/>
    <col customWidth="1" min="11" max="11" width="22.14"/>
    <col customWidth="1" min="12" max="12" width="16.86"/>
    <col customWidth="1" min="13" max="13" width="13.86"/>
    <col customWidth="1" min="14" max="14" width="46.0"/>
    <col customWidth="1" min="15" max="15" width="15.14"/>
  </cols>
  <sheetData>
    <row r="1">
      <c r="A1" s="41" t="s">
        <v>78</v>
      </c>
      <c r="B1" s="41" t="s">
        <v>79</v>
      </c>
      <c r="C1" s="41" t="s">
        <v>80</v>
      </c>
      <c r="D1" s="41" t="s">
        <v>82</v>
      </c>
      <c r="E1" s="42" t="s">
        <v>81</v>
      </c>
      <c r="F1" s="43" t="s">
        <v>2003</v>
      </c>
      <c r="G1" s="43" t="s">
        <v>2005</v>
      </c>
      <c r="H1" s="44" t="s">
        <v>2006</v>
      </c>
      <c r="I1" s="45" t="s">
        <v>84</v>
      </c>
      <c r="J1" s="41" t="s">
        <v>85</v>
      </c>
      <c r="K1" s="46" t="s">
        <v>2351</v>
      </c>
      <c r="L1" s="45" t="s">
        <v>2352</v>
      </c>
      <c r="M1" s="45" t="s">
        <v>2353</v>
      </c>
      <c r="N1" s="47" t="s">
        <v>2354</v>
      </c>
      <c r="O1" s="41" t="s">
        <v>86</v>
      </c>
    </row>
    <row r="2">
      <c r="A2" s="28" t="s">
        <v>2355</v>
      </c>
      <c r="B2" s="28">
        <v>2.0</v>
      </c>
      <c r="C2" s="48" t="str">
        <f>HYPERLINK("http://ecotaxoserver.obs-vlfr.fr/browsetaxo/?id=29416","29416")</f>
        <v>29416</v>
      </c>
      <c r="D2" s="28" t="s">
        <v>2356</v>
      </c>
      <c r="E2" s="49"/>
      <c r="F2" s="49"/>
      <c r="G2" s="49"/>
      <c r="I2" s="50"/>
      <c r="J2" s="50"/>
      <c r="K2" s="28"/>
      <c r="L2" s="28"/>
      <c r="M2" s="51" t="b">
        <v>0</v>
      </c>
      <c r="N2" s="52" t="s">
        <v>2357</v>
      </c>
      <c r="O2" s="50" t="s">
        <v>91</v>
      </c>
    </row>
    <row r="3">
      <c r="A3" s="28" t="s">
        <v>2358</v>
      </c>
      <c r="B3" s="28">
        <v>582.0</v>
      </c>
      <c r="C3" s="48" t="str">
        <f>HYPERLINK("http://ecotaxoserver.obs-vlfr.fr/browsetaxo/?id=13364","13364")</f>
        <v>13364</v>
      </c>
      <c r="D3" s="28" t="s">
        <v>2091</v>
      </c>
      <c r="E3" s="49"/>
      <c r="F3" s="49"/>
      <c r="G3" s="49"/>
      <c r="I3" s="28" t="s">
        <v>94</v>
      </c>
      <c r="J3" s="28"/>
      <c r="K3" s="50">
        <v>586732.0</v>
      </c>
      <c r="L3" s="50" t="s">
        <v>2359</v>
      </c>
      <c r="M3" s="51" t="b">
        <v>1</v>
      </c>
      <c r="N3" s="53"/>
      <c r="O3" s="50" t="s">
        <v>1928</v>
      </c>
    </row>
    <row r="4">
      <c r="A4" s="28" t="s">
        <v>2360</v>
      </c>
      <c r="B4" s="28">
        <v>3.0</v>
      </c>
      <c r="C4" s="48" t="str">
        <f>HYPERLINK("http://ecotaxoserver.obs-vlfr.fr/browsetaxo/?id=13363","13363")</f>
        <v>13363</v>
      </c>
      <c r="D4" s="28" t="s">
        <v>2091</v>
      </c>
      <c r="E4" s="49"/>
      <c r="F4" s="49"/>
      <c r="G4" s="49"/>
      <c r="I4" s="28" t="s">
        <v>94</v>
      </c>
      <c r="J4" s="28"/>
      <c r="K4" s="50">
        <v>586732.0</v>
      </c>
      <c r="L4" s="50" t="s">
        <v>2361</v>
      </c>
      <c r="M4" s="51" t="b">
        <v>1</v>
      </c>
      <c r="N4" s="54"/>
      <c r="O4" s="50" t="s">
        <v>1928</v>
      </c>
    </row>
    <row r="5">
      <c r="A5" s="28" t="s">
        <v>2362</v>
      </c>
      <c r="B5" s="28">
        <v>1.0</v>
      </c>
      <c r="C5" s="48" t="str">
        <f>HYPERLINK("http://ecotaxoserver.obs-vlfr.fr/browsetaxo/?id=87043","87043")</f>
        <v>87043</v>
      </c>
      <c r="D5" s="28" t="s">
        <v>499</v>
      </c>
      <c r="E5" s="49"/>
      <c r="F5" s="49"/>
      <c r="G5" s="49"/>
      <c r="I5" s="28" t="s">
        <v>94</v>
      </c>
      <c r="J5" s="50">
        <v>477280.0</v>
      </c>
      <c r="K5" s="50"/>
      <c r="L5" s="50"/>
      <c r="M5" s="55" t="b">
        <v>0</v>
      </c>
      <c r="N5" s="54"/>
      <c r="O5" s="50" t="s">
        <v>1928</v>
      </c>
    </row>
    <row r="6">
      <c r="A6" s="28" t="s">
        <v>2363</v>
      </c>
      <c r="B6" s="28">
        <v>1.0</v>
      </c>
      <c r="C6" s="48" t="str">
        <f>HYPERLINK("http://ecotaxoserver.obs-vlfr.fr/browsetaxo/?id=83306","83306")</f>
        <v>83306</v>
      </c>
      <c r="D6" s="28" t="s">
        <v>148</v>
      </c>
      <c r="E6" s="49"/>
      <c r="F6" s="49"/>
      <c r="G6" s="49"/>
      <c r="I6" s="28" t="s">
        <v>94</v>
      </c>
      <c r="J6" s="50">
        <v>135485.0</v>
      </c>
      <c r="K6" s="50"/>
      <c r="L6" s="50"/>
      <c r="M6" s="55" t="b">
        <v>0</v>
      </c>
      <c r="N6" s="54"/>
      <c r="O6" s="50" t="s">
        <v>1928</v>
      </c>
    </row>
    <row r="7">
      <c r="A7" s="28" t="s">
        <v>2364</v>
      </c>
      <c r="B7" s="28">
        <v>605.0</v>
      </c>
      <c r="C7" s="48" t="str">
        <f>HYPERLINK("http://ecotaxoserver.obs-vlfr.fr/browsetaxo/?id=54903","54903")</f>
        <v>54903</v>
      </c>
      <c r="D7" s="28" t="s">
        <v>2365</v>
      </c>
      <c r="E7" s="49"/>
      <c r="F7" s="49"/>
      <c r="G7" s="49"/>
      <c r="I7" s="50" t="s">
        <v>1927</v>
      </c>
      <c r="J7" s="24">
        <v>367349.0</v>
      </c>
      <c r="M7" s="55" t="b">
        <v>0</v>
      </c>
      <c r="N7" s="53" t="s">
        <v>2366</v>
      </c>
      <c r="O7" s="50" t="s">
        <v>1928</v>
      </c>
    </row>
    <row r="8">
      <c r="A8" s="28" t="s">
        <v>2367</v>
      </c>
      <c r="B8" s="28">
        <v>2.0</v>
      </c>
      <c r="C8" s="48" t="str">
        <f>HYPERLINK("http://ecotaxoserver.obs-vlfr.fr/browsetaxo/?id=73680","73680")</f>
        <v>73680</v>
      </c>
      <c r="D8" s="28" t="s">
        <v>2368</v>
      </c>
      <c r="E8" s="56"/>
      <c r="F8" s="49"/>
      <c r="G8" s="56"/>
      <c r="I8" s="28" t="s">
        <v>94</v>
      </c>
      <c r="J8" s="50">
        <v>138747.0</v>
      </c>
      <c r="K8" s="50"/>
      <c r="L8" s="50"/>
      <c r="M8" s="55" t="b">
        <v>0</v>
      </c>
      <c r="N8" s="54"/>
      <c r="O8" s="50" t="s">
        <v>1928</v>
      </c>
    </row>
    <row r="9">
      <c r="A9" s="28" t="s">
        <v>2369</v>
      </c>
      <c r="B9" s="28">
        <v>8.0</v>
      </c>
      <c r="C9" s="48" t="str">
        <f>HYPERLINK("http://ecotaxoserver.obs-vlfr.fr/browsetaxo/?id=20494","20494")</f>
        <v>20494</v>
      </c>
      <c r="D9" s="28" t="s">
        <v>2370</v>
      </c>
      <c r="E9" s="56">
        <v>163490.0</v>
      </c>
      <c r="F9" s="49" t="s">
        <v>2371</v>
      </c>
      <c r="H9" s="22" t="s">
        <v>2369</v>
      </c>
      <c r="I9" s="28" t="s">
        <v>94</v>
      </c>
      <c r="J9" s="56">
        <v>163490.0</v>
      </c>
      <c r="K9" s="57"/>
      <c r="L9" s="57"/>
      <c r="M9" s="55" t="b">
        <v>0</v>
      </c>
      <c r="N9" s="54"/>
      <c r="O9" s="50" t="s">
        <v>91</v>
      </c>
    </row>
    <row r="10">
      <c r="A10" s="28" t="s">
        <v>2372</v>
      </c>
      <c r="B10" s="28">
        <v>1.0</v>
      </c>
      <c r="C10" s="48" t="str">
        <f>HYPERLINK("http://ecotaxoserver.obs-vlfr.fr/browsetaxo/?id=20490","20490")</f>
        <v>20490</v>
      </c>
      <c r="D10" s="28" t="s">
        <v>2370</v>
      </c>
      <c r="E10" s="49"/>
      <c r="F10" s="49"/>
      <c r="I10" s="50" t="s">
        <v>1927</v>
      </c>
      <c r="J10" s="58">
        <v>163489.0</v>
      </c>
      <c r="K10" s="50"/>
      <c r="M10" s="51" t="b">
        <v>0</v>
      </c>
      <c r="N10" s="53" t="s">
        <v>2373</v>
      </c>
      <c r="O10" s="50" t="s">
        <v>1928</v>
      </c>
    </row>
    <row r="11">
      <c r="A11" s="28" t="s">
        <v>2374</v>
      </c>
      <c r="B11" s="28">
        <v>1.0</v>
      </c>
      <c r="C11" s="48" t="str">
        <f>HYPERLINK("http://ecotaxoserver.obs-vlfr.fr/browsetaxo/?id=52140","52140")</f>
        <v>52140</v>
      </c>
      <c r="D11" s="28" t="s">
        <v>2375</v>
      </c>
      <c r="E11" s="56">
        <v>224838.0</v>
      </c>
      <c r="F11" s="49" t="s">
        <v>2371</v>
      </c>
      <c r="H11" s="22" t="s">
        <v>2374</v>
      </c>
      <c r="I11" s="28" t="s">
        <v>94</v>
      </c>
      <c r="J11" s="56">
        <v>224838.0</v>
      </c>
      <c r="K11" s="57"/>
      <c r="L11" s="57"/>
      <c r="M11" s="55" t="b">
        <v>0</v>
      </c>
      <c r="N11" s="54"/>
      <c r="O11" s="50" t="s">
        <v>91</v>
      </c>
    </row>
    <row r="12">
      <c r="A12" s="28" t="s">
        <v>2376</v>
      </c>
      <c r="B12" s="28">
        <v>1626.0</v>
      </c>
      <c r="C12" s="48" t="str">
        <f>HYPERLINK("http://ecotaxoserver.obs-vlfr.fr/browsetaxo/?id=48741","48741")</f>
        <v>48741</v>
      </c>
      <c r="D12" s="28" t="s">
        <v>499</v>
      </c>
      <c r="E12" s="49"/>
      <c r="F12" s="49"/>
      <c r="I12" s="28" t="s">
        <v>94</v>
      </c>
      <c r="J12" s="49"/>
      <c r="K12" s="50"/>
      <c r="M12" s="55" t="b">
        <v>0</v>
      </c>
      <c r="N12" s="53" t="s">
        <v>2377</v>
      </c>
      <c r="O12" s="50" t="s">
        <v>1928</v>
      </c>
    </row>
    <row r="13">
      <c r="A13" s="28" t="s">
        <v>2378</v>
      </c>
      <c r="B13" s="28">
        <v>3.0</v>
      </c>
      <c r="C13" s="48" t="str">
        <f>HYPERLINK("http://ecotaxoserver.obs-vlfr.fr/browsetaxo/?id=61001","61001")</f>
        <v>61001</v>
      </c>
      <c r="D13" s="28" t="s">
        <v>2379</v>
      </c>
      <c r="E13" s="56">
        <v>1416458.0</v>
      </c>
      <c r="F13" s="49" t="s">
        <v>2371</v>
      </c>
      <c r="H13" s="22" t="s">
        <v>2378</v>
      </c>
      <c r="I13" s="28" t="s">
        <v>94</v>
      </c>
      <c r="J13" s="56">
        <v>1416458.0</v>
      </c>
      <c r="K13" s="28"/>
      <c r="L13" s="28"/>
      <c r="M13" s="55" t="b">
        <v>0</v>
      </c>
      <c r="N13" s="54"/>
      <c r="O13" s="50" t="s">
        <v>91</v>
      </c>
    </row>
    <row r="14">
      <c r="A14" s="28" t="s">
        <v>2380</v>
      </c>
      <c r="B14" s="28">
        <v>7.0</v>
      </c>
      <c r="C14" s="48" t="str">
        <f>HYPERLINK("http://ecotaxoserver.obs-vlfr.fr/browsetaxo/?id=6754","6754")</f>
        <v>6754</v>
      </c>
      <c r="D14" s="28" t="s">
        <v>2381</v>
      </c>
      <c r="E14" s="49"/>
      <c r="F14" s="49"/>
      <c r="G14" s="49"/>
      <c r="I14" s="28" t="s">
        <v>94</v>
      </c>
      <c r="J14" s="28"/>
      <c r="K14" s="28"/>
      <c r="L14" s="28"/>
      <c r="M14" s="55" t="b">
        <v>0</v>
      </c>
      <c r="N14" s="53" t="s">
        <v>2382</v>
      </c>
      <c r="O14" s="50" t="s">
        <v>1928</v>
      </c>
    </row>
    <row r="15">
      <c r="A15" s="28" t="s">
        <v>2383</v>
      </c>
      <c r="B15" s="28">
        <v>64.0</v>
      </c>
      <c r="C15" s="48" t="str">
        <f>HYPERLINK("http://ecotaxoserver.obs-vlfr.fr/browsetaxo/?id=85234","85234")</f>
        <v>85234</v>
      </c>
      <c r="D15" s="28" t="s">
        <v>1079</v>
      </c>
      <c r="E15" s="49"/>
      <c r="F15" s="49"/>
      <c r="G15" s="49"/>
      <c r="I15" s="50"/>
      <c r="K15" s="24">
        <v>162250.0</v>
      </c>
      <c r="L15" s="50" t="s">
        <v>2384</v>
      </c>
      <c r="M15" s="51" t="b">
        <v>1</v>
      </c>
      <c r="N15" s="54"/>
      <c r="O15" s="50" t="s">
        <v>1928</v>
      </c>
    </row>
    <row r="16">
      <c r="A16" s="28" t="s">
        <v>2385</v>
      </c>
      <c r="B16" s="28">
        <v>413.0</v>
      </c>
      <c r="C16" s="48" t="str">
        <f>HYPERLINK("http://ecotaxoserver.obs-vlfr.fr/browsetaxo/?id=92989","92989")</f>
        <v>92989</v>
      </c>
      <c r="D16" s="28" t="s">
        <v>296</v>
      </c>
      <c r="E16" s="49"/>
      <c r="F16" s="49"/>
      <c r="G16" s="49"/>
      <c r="I16" s="28" t="s">
        <v>94</v>
      </c>
      <c r="J16" s="28"/>
      <c r="K16" s="30"/>
      <c r="L16" s="28"/>
      <c r="M16" s="55" t="b">
        <v>0</v>
      </c>
      <c r="N16" s="53" t="s">
        <v>2386</v>
      </c>
      <c r="O16" s="50" t="s">
        <v>2387</v>
      </c>
    </row>
    <row r="17">
      <c r="A17" s="28" t="s">
        <v>2388</v>
      </c>
      <c r="B17" s="28">
        <v>198.0</v>
      </c>
      <c r="C17" s="48" t="str">
        <f>HYPERLINK("http://ecotaxoserver.obs-vlfr.fr/browsetaxo/?id=85323","85323")</f>
        <v>85323</v>
      </c>
      <c r="D17" s="28" t="s">
        <v>2389</v>
      </c>
      <c r="E17" s="49"/>
      <c r="F17" s="49"/>
      <c r="G17" s="49"/>
      <c r="I17" s="28" t="s">
        <v>94</v>
      </c>
      <c r="J17" s="28"/>
      <c r="K17" s="28"/>
      <c r="L17" s="28"/>
      <c r="M17" s="51" t="b">
        <v>1</v>
      </c>
      <c r="N17" s="54"/>
      <c r="O17" s="50" t="s">
        <v>91</v>
      </c>
    </row>
    <row r="18">
      <c r="A18" s="28" t="s">
        <v>2390</v>
      </c>
      <c r="B18" s="28">
        <v>650.0</v>
      </c>
      <c r="C18" s="48" t="str">
        <f>HYPERLINK("http://ecotaxoserver.obs-vlfr.fr/browsetaxo/?id=85324","85324")</f>
        <v>85324</v>
      </c>
      <c r="D18" s="28" t="s">
        <v>2389</v>
      </c>
      <c r="E18" s="49"/>
      <c r="F18" s="49"/>
      <c r="G18" s="49"/>
      <c r="I18" s="28" t="s">
        <v>94</v>
      </c>
      <c r="J18" s="28"/>
      <c r="K18" s="28"/>
      <c r="L18" s="28"/>
      <c r="M18" s="51" t="b">
        <v>1</v>
      </c>
      <c r="N18" s="54"/>
      <c r="O18" s="50" t="s">
        <v>91</v>
      </c>
    </row>
    <row r="19">
      <c r="A19" s="28" t="s">
        <v>2391</v>
      </c>
      <c r="B19" s="28">
        <v>2500.0</v>
      </c>
      <c r="C19" s="48" t="str">
        <f>HYPERLINK("http://ecotaxoserver.obs-vlfr.fr/browsetaxo/?id=85325","85325")</f>
        <v>85325</v>
      </c>
      <c r="D19" s="28" t="s">
        <v>2389</v>
      </c>
      <c r="E19" s="49"/>
      <c r="F19" s="49"/>
      <c r="G19" s="49"/>
      <c r="I19" s="28" t="s">
        <v>94</v>
      </c>
      <c r="J19" s="28"/>
      <c r="K19" s="28"/>
      <c r="L19" s="28"/>
      <c r="M19" s="51" t="b">
        <v>1</v>
      </c>
      <c r="N19" s="54"/>
      <c r="O19" s="50" t="s">
        <v>91</v>
      </c>
    </row>
    <row r="20">
      <c r="A20" s="28" t="s">
        <v>2392</v>
      </c>
      <c r="B20" s="28">
        <v>143.0</v>
      </c>
      <c r="C20" s="48" t="str">
        <f>HYPERLINK("http://ecotaxoserver.obs-vlfr.fr/browsetaxo/?id=85326","85326")</f>
        <v>85326</v>
      </c>
      <c r="D20" s="28" t="s">
        <v>2389</v>
      </c>
      <c r="E20" s="49"/>
      <c r="F20" s="49"/>
      <c r="G20" s="49"/>
      <c r="I20" s="28" t="s">
        <v>94</v>
      </c>
      <c r="J20" s="28"/>
      <c r="K20" s="28"/>
      <c r="L20" s="28"/>
      <c r="M20" s="51" t="b">
        <v>1</v>
      </c>
      <c r="N20" s="54"/>
      <c r="O20" s="50" t="s">
        <v>91</v>
      </c>
    </row>
    <row r="21">
      <c r="A21" s="28" t="s">
        <v>2393</v>
      </c>
      <c r="B21" s="28">
        <v>700.0</v>
      </c>
      <c r="C21" s="48" t="str">
        <f>HYPERLINK("http://ecotaxoserver.obs-vlfr.fr/browsetaxo/?id=85322","85322")</f>
        <v>85322</v>
      </c>
      <c r="D21" s="28" t="s">
        <v>2389</v>
      </c>
      <c r="E21" s="49"/>
      <c r="F21" s="49"/>
      <c r="G21" s="49"/>
      <c r="I21" s="28" t="s">
        <v>94</v>
      </c>
      <c r="J21" s="28"/>
      <c r="K21" s="28"/>
      <c r="L21" s="28"/>
      <c r="M21" s="51" t="b">
        <v>1</v>
      </c>
      <c r="N21" s="54"/>
      <c r="O21" s="50" t="s">
        <v>91</v>
      </c>
    </row>
    <row r="22">
      <c r="A22" s="28" t="s">
        <v>2394</v>
      </c>
      <c r="B22" s="28">
        <v>1.0</v>
      </c>
      <c r="C22" s="48" t="str">
        <f>HYPERLINK("http://ecotaxoserver.obs-vlfr.fr/browsetaxo/?id=92688","92688")</f>
        <v>92688</v>
      </c>
      <c r="D22" s="28" t="s">
        <v>1930</v>
      </c>
      <c r="E22" s="49"/>
      <c r="F22" s="49"/>
      <c r="G22" s="49"/>
      <c r="I22" s="28" t="s">
        <v>94</v>
      </c>
      <c r="J22" s="24"/>
      <c r="K22" s="59">
        <v>123080.0</v>
      </c>
      <c r="L22" s="50" t="s">
        <v>2395</v>
      </c>
      <c r="M22" s="51" t="b">
        <v>1</v>
      </c>
      <c r="N22" s="54"/>
      <c r="O22" s="50" t="s">
        <v>1928</v>
      </c>
    </row>
    <row r="23">
      <c r="A23" s="28" t="s">
        <v>2396</v>
      </c>
      <c r="B23" s="28">
        <v>6.0</v>
      </c>
      <c r="C23" s="48" t="str">
        <f>HYPERLINK("http://ecotaxoserver.obs-vlfr.fr/browsetaxo/?id=82381","82381")</f>
        <v>82381</v>
      </c>
      <c r="D23" s="28" t="s">
        <v>355</v>
      </c>
      <c r="E23" s="49"/>
      <c r="F23" s="49"/>
      <c r="G23" s="49"/>
      <c r="I23" s="28" t="s">
        <v>94</v>
      </c>
      <c r="J23" s="24">
        <v>148379.0</v>
      </c>
      <c r="K23" s="28"/>
      <c r="L23" s="60"/>
      <c r="M23" s="55" t="b">
        <v>0</v>
      </c>
      <c r="N23" s="54"/>
      <c r="O23" s="50" t="s">
        <v>1928</v>
      </c>
    </row>
    <row r="24">
      <c r="A24" s="28" t="s">
        <v>2397</v>
      </c>
      <c r="B24" s="28">
        <v>1.0</v>
      </c>
      <c r="C24" s="48" t="str">
        <f>HYPERLINK("http://ecotaxoserver.obs-vlfr.fr/browsetaxo/?id=29290","29290")</f>
        <v>29290</v>
      </c>
      <c r="D24" s="28" t="s">
        <v>2398</v>
      </c>
      <c r="E24" s="49"/>
      <c r="F24" s="49"/>
      <c r="G24" s="49"/>
      <c r="I24" s="28" t="s">
        <v>94</v>
      </c>
      <c r="J24" s="28"/>
      <c r="K24" s="28"/>
      <c r="L24" s="28"/>
      <c r="M24" s="55" t="b">
        <v>0</v>
      </c>
      <c r="N24" s="53" t="s">
        <v>2399</v>
      </c>
      <c r="O24" s="50" t="s">
        <v>1928</v>
      </c>
    </row>
    <row r="25">
      <c r="A25" s="28" t="s">
        <v>2400</v>
      </c>
      <c r="B25" s="28">
        <v>899.0</v>
      </c>
      <c r="C25" s="48" t="str">
        <f>HYPERLINK("http://ecotaxoserver.obs-vlfr.fr/browsetaxo/?id=92689","92689")</f>
        <v>92689</v>
      </c>
      <c r="D25" s="28" t="s">
        <v>1930</v>
      </c>
      <c r="E25" s="49"/>
      <c r="F25" s="49"/>
      <c r="G25" s="49"/>
      <c r="I25" s="28" t="s">
        <v>94</v>
      </c>
      <c r="K25" s="24">
        <v>123080.0</v>
      </c>
      <c r="L25" s="50" t="s">
        <v>2401</v>
      </c>
      <c r="M25" s="51" t="b">
        <v>1</v>
      </c>
      <c r="N25" s="54"/>
      <c r="O25" s="50" t="s">
        <v>1928</v>
      </c>
    </row>
    <row r="26">
      <c r="A26" s="28" t="s">
        <v>2402</v>
      </c>
      <c r="B26" s="28">
        <v>35228.0</v>
      </c>
      <c r="C26" s="48" t="str">
        <f>HYPERLINK("http://ecotaxoserver.obs-vlfr.fr/browsetaxo/?id=92230","92230")</f>
        <v>92230</v>
      </c>
      <c r="D26" s="28" t="s">
        <v>495</v>
      </c>
      <c r="E26" s="49"/>
      <c r="F26" s="49"/>
      <c r="G26" s="49"/>
      <c r="I26" s="28" t="s">
        <v>94</v>
      </c>
      <c r="J26" s="28"/>
      <c r="K26" s="61">
        <v>135338.0</v>
      </c>
      <c r="L26" s="28"/>
      <c r="M26" s="51" t="b">
        <v>1</v>
      </c>
      <c r="N26" s="54"/>
      <c r="O26" s="50" t="s">
        <v>91</v>
      </c>
    </row>
    <row r="27">
      <c r="A27" s="28" t="s">
        <v>2402</v>
      </c>
      <c r="B27" s="28">
        <v>2685.0</v>
      </c>
      <c r="C27" s="48" t="str">
        <f>HYPERLINK("http://ecotaxoserver.obs-vlfr.fr/browsetaxo/?id=92231","92231")</f>
        <v>92231</v>
      </c>
      <c r="D27" s="28" t="s">
        <v>97</v>
      </c>
      <c r="E27" s="49"/>
      <c r="F27" s="49"/>
      <c r="G27" s="49"/>
      <c r="I27" s="28" t="s">
        <v>94</v>
      </c>
      <c r="J27" s="28"/>
      <c r="K27" s="61">
        <v>135403.0</v>
      </c>
      <c r="L27" s="28"/>
      <c r="M27" s="51" t="b">
        <v>1</v>
      </c>
      <c r="N27" s="54"/>
      <c r="O27" s="50" t="s">
        <v>91</v>
      </c>
    </row>
    <row r="28">
      <c r="A28" s="28" t="s">
        <v>2402</v>
      </c>
      <c r="B28" s="28">
        <v>90.0</v>
      </c>
      <c r="C28" s="48" t="str">
        <f>HYPERLINK("http://ecotaxoserver.obs-vlfr.fr/browsetaxo/?id=92232","92232")</f>
        <v>92232</v>
      </c>
      <c r="D28" s="28" t="s">
        <v>95</v>
      </c>
      <c r="E28" s="49"/>
      <c r="F28" s="49"/>
      <c r="G28" s="49"/>
      <c r="I28" s="28" t="s">
        <v>94</v>
      </c>
      <c r="J28" s="28"/>
      <c r="K28" s="61">
        <v>135336.0</v>
      </c>
      <c r="L28" s="28"/>
      <c r="M28" s="51" t="b">
        <v>1</v>
      </c>
      <c r="N28" s="54"/>
      <c r="O28" s="50" t="s">
        <v>91</v>
      </c>
    </row>
    <row r="29">
      <c r="A29" s="28" t="s">
        <v>2403</v>
      </c>
      <c r="B29" s="28">
        <v>132.0</v>
      </c>
      <c r="C29" s="48" t="str">
        <f>HYPERLINK("http://ecotaxoserver.obs-vlfr.fr/browsetaxo/?id=71931","71931")</f>
        <v>71931</v>
      </c>
      <c r="D29" s="28" t="s">
        <v>2404</v>
      </c>
      <c r="E29" s="49"/>
      <c r="F29" s="49"/>
      <c r="G29" s="49"/>
      <c r="I29" s="28" t="s">
        <v>94</v>
      </c>
      <c r="J29" s="28"/>
      <c r="K29" s="28"/>
      <c r="L29" s="28"/>
      <c r="M29" s="55" t="b">
        <v>0</v>
      </c>
      <c r="N29" s="53" t="s">
        <v>2405</v>
      </c>
      <c r="O29" s="50" t="s">
        <v>1928</v>
      </c>
    </row>
    <row r="30">
      <c r="A30" s="28" t="s">
        <v>2406</v>
      </c>
      <c r="B30" s="28">
        <v>1.0</v>
      </c>
      <c r="C30" s="48" t="str">
        <f>HYPERLINK("http://ecotaxoserver.obs-vlfr.fr/browsetaxo/?id=86310","86310")</f>
        <v>86310</v>
      </c>
      <c r="D30" s="28" t="s">
        <v>2407</v>
      </c>
      <c r="E30" s="49"/>
      <c r="F30" s="49"/>
      <c r="G30" s="49"/>
      <c r="I30" s="28" t="s">
        <v>94</v>
      </c>
      <c r="J30" s="28"/>
      <c r="K30" s="28"/>
      <c r="L30" s="28"/>
      <c r="M30" s="55" t="b">
        <v>0</v>
      </c>
      <c r="N30" s="53" t="s">
        <v>2408</v>
      </c>
      <c r="O30" s="50" t="s">
        <v>1928</v>
      </c>
    </row>
    <row r="31">
      <c r="A31" s="28" t="s">
        <v>2409</v>
      </c>
      <c r="B31" s="28">
        <v>9.0</v>
      </c>
      <c r="C31" s="48" t="str">
        <f>HYPERLINK("http://ecotaxoserver.obs-vlfr.fr/browsetaxo/?id=92142","92142")</f>
        <v>92142</v>
      </c>
      <c r="D31" s="28" t="s">
        <v>124</v>
      </c>
      <c r="E31" s="56">
        <v>593107.0</v>
      </c>
      <c r="F31" s="49" t="s">
        <v>2371</v>
      </c>
      <c r="H31" s="22" t="s">
        <v>2409</v>
      </c>
      <c r="I31" s="28" t="s">
        <v>94</v>
      </c>
      <c r="J31" s="56">
        <v>593107.0</v>
      </c>
      <c r="K31" s="28"/>
      <c r="L31" s="28"/>
      <c r="M31" s="55" t="b">
        <v>0</v>
      </c>
      <c r="N31" s="54"/>
      <c r="O31" s="50" t="s">
        <v>2387</v>
      </c>
    </row>
    <row r="32">
      <c r="A32" s="28" t="s">
        <v>2410</v>
      </c>
      <c r="B32" s="28">
        <v>2694.0</v>
      </c>
      <c r="C32" s="48" t="str">
        <f>HYPERLINK("http://ecotaxoserver.obs-vlfr.fr/browsetaxo/?id=85235","85235")</f>
        <v>85235</v>
      </c>
      <c r="D32" s="28" t="s">
        <v>2411</v>
      </c>
      <c r="E32" s="49"/>
      <c r="F32" s="49"/>
      <c r="G32" s="49"/>
      <c r="I32" s="28" t="s">
        <v>94</v>
      </c>
      <c r="J32" s="28"/>
      <c r="K32" s="61">
        <v>148971.0</v>
      </c>
      <c r="L32" s="50" t="s">
        <v>2412</v>
      </c>
      <c r="M32" s="51" t="b">
        <v>1</v>
      </c>
      <c r="N32" s="54"/>
      <c r="O32" s="50" t="s">
        <v>2387</v>
      </c>
    </row>
    <row r="33">
      <c r="A33" s="28" t="s">
        <v>2413</v>
      </c>
      <c r="B33" s="28">
        <v>210.0</v>
      </c>
      <c r="C33" s="48" t="str">
        <f>HYPERLINK("http://ecotaxoserver.obs-vlfr.fr/browsetaxo/?id=85244","85244")</f>
        <v>85244</v>
      </c>
      <c r="D33" s="28" t="s">
        <v>2411</v>
      </c>
      <c r="E33" s="49"/>
      <c r="F33" s="49"/>
      <c r="G33" s="49"/>
      <c r="I33" s="28" t="s">
        <v>94</v>
      </c>
      <c r="J33" s="28"/>
      <c r="K33" s="61">
        <v>148971.0</v>
      </c>
      <c r="L33" s="50" t="s">
        <v>2414</v>
      </c>
      <c r="M33" s="51" t="b">
        <v>1</v>
      </c>
      <c r="N33" s="54"/>
      <c r="O33" s="50" t="s">
        <v>2387</v>
      </c>
    </row>
    <row r="34">
      <c r="A34" s="28" t="s">
        <v>2415</v>
      </c>
      <c r="B34" s="28">
        <v>167.0</v>
      </c>
      <c r="C34" s="48" t="str">
        <f>HYPERLINK("http://ecotaxoserver.obs-vlfr.fr/browsetaxo/?id=85245","85245")</f>
        <v>85245</v>
      </c>
      <c r="D34" s="28" t="s">
        <v>2411</v>
      </c>
      <c r="E34" s="49"/>
      <c r="F34" s="49"/>
      <c r="G34" s="49"/>
      <c r="I34" s="28" t="s">
        <v>94</v>
      </c>
      <c r="J34" s="28"/>
      <c r="K34" s="61">
        <v>148971.0</v>
      </c>
      <c r="L34" s="50" t="s">
        <v>2416</v>
      </c>
      <c r="M34" s="51" t="b">
        <v>1</v>
      </c>
      <c r="N34" s="54"/>
      <c r="O34" s="50" t="s">
        <v>2387</v>
      </c>
    </row>
    <row r="35">
      <c r="A35" s="28" t="s">
        <v>2417</v>
      </c>
      <c r="B35" s="28">
        <v>173.0</v>
      </c>
      <c r="C35" s="48" t="str">
        <f>HYPERLINK("http://ecotaxoserver.obs-vlfr.fr/browsetaxo/?id=85246","85246")</f>
        <v>85246</v>
      </c>
      <c r="D35" s="28" t="s">
        <v>2411</v>
      </c>
      <c r="E35" s="49"/>
      <c r="F35" s="49"/>
      <c r="G35" s="49"/>
      <c r="I35" s="28" t="s">
        <v>94</v>
      </c>
      <c r="J35" s="28"/>
      <c r="K35" s="61">
        <v>148971.0</v>
      </c>
      <c r="L35" s="50" t="s">
        <v>2418</v>
      </c>
      <c r="M35" s="51" t="b">
        <v>1</v>
      </c>
      <c r="N35" s="54"/>
      <c r="O35" s="50" t="s">
        <v>2387</v>
      </c>
    </row>
    <row r="36">
      <c r="A36" s="28" t="s">
        <v>2419</v>
      </c>
      <c r="B36" s="28">
        <v>100.0</v>
      </c>
      <c r="C36" s="48" t="str">
        <f>HYPERLINK("http://ecotaxoserver.obs-vlfr.fr/browsetaxo/?id=85247","85247")</f>
        <v>85247</v>
      </c>
      <c r="D36" s="28" t="s">
        <v>2411</v>
      </c>
      <c r="E36" s="49"/>
      <c r="F36" s="49"/>
      <c r="G36" s="49"/>
      <c r="I36" s="28" t="s">
        <v>94</v>
      </c>
      <c r="J36" s="28"/>
      <c r="K36" s="61">
        <v>148971.0</v>
      </c>
      <c r="L36" s="50" t="s">
        <v>2420</v>
      </c>
      <c r="M36" s="51" t="b">
        <v>1</v>
      </c>
      <c r="N36" s="54"/>
      <c r="O36" s="50" t="s">
        <v>2387</v>
      </c>
    </row>
    <row r="37">
      <c r="A37" s="28" t="s">
        <v>2421</v>
      </c>
      <c r="B37" s="28">
        <v>2177.0</v>
      </c>
      <c r="C37" s="48" t="str">
        <f>HYPERLINK("http://ecotaxoserver.obs-vlfr.fr/browsetaxo/?id=85248","85248")</f>
        <v>85248</v>
      </c>
      <c r="D37" s="28" t="s">
        <v>2411</v>
      </c>
      <c r="E37" s="49"/>
      <c r="F37" s="49"/>
      <c r="G37" s="49"/>
      <c r="I37" s="28" t="s">
        <v>94</v>
      </c>
      <c r="J37" s="28"/>
      <c r="K37" s="61">
        <v>148971.0</v>
      </c>
      <c r="L37" s="50" t="s">
        <v>2422</v>
      </c>
      <c r="M37" s="51" t="b">
        <v>1</v>
      </c>
      <c r="N37" s="54"/>
      <c r="O37" s="50" t="s">
        <v>2387</v>
      </c>
    </row>
    <row r="38">
      <c r="A38" s="28" t="s">
        <v>2423</v>
      </c>
      <c r="B38" s="28">
        <v>3025.0</v>
      </c>
      <c r="C38" s="48" t="str">
        <f>HYPERLINK("http://ecotaxoserver.obs-vlfr.fr/browsetaxo/?id=85236","85236")</f>
        <v>85236</v>
      </c>
      <c r="D38" s="28" t="s">
        <v>2411</v>
      </c>
      <c r="E38" s="49"/>
      <c r="F38" s="49"/>
      <c r="G38" s="49"/>
      <c r="I38" s="28" t="s">
        <v>94</v>
      </c>
      <c r="J38" s="28"/>
      <c r="K38" s="61">
        <v>148971.0</v>
      </c>
      <c r="L38" s="50" t="s">
        <v>2424</v>
      </c>
      <c r="M38" s="51" t="b">
        <v>1</v>
      </c>
      <c r="N38" s="54"/>
      <c r="O38" s="50" t="s">
        <v>2387</v>
      </c>
    </row>
    <row r="39">
      <c r="A39" s="28" t="s">
        <v>2425</v>
      </c>
      <c r="B39" s="28">
        <v>1096.0</v>
      </c>
      <c r="C39" s="48" t="str">
        <f>HYPERLINK("http://ecotaxoserver.obs-vlfr.fr/browsetaxo/?id=85237","85237")</f>
        <v>85237</v>
      </c>
      <c r="D39" s="28" t="s">
        <v>2411</v>
      </c>
      <c r="E39" s="49"/>
      <c r="F39" s="49"/>
      <c r="G39" s="49"/>
      <c r="I39" s="28" t="s">
        <v>94</v>
      </c>
      <c r="J39" s="28"/>
      <c r="K39" s="61">
        <v>148971.0</v>
      </c>
      <c r="L39" s="50" t="s">
        <v>2359</v>
      </c>
      <c r="M39" s="51" t="b">
        <v>1</v>
      </c>
      <c r="N39" s="54"/>
      <c r="O39" s="50" t="s">
        <v>2387</v>
      </c>
    </row>
    <row r="40">
      <c r="A40" s="28" t="s">
        <v>2426</v>
      </c>
      <c r="B40" s="28">
        <v>2834.0</v>
      </c>
      <c r="C40" s="48" t="str">
        <f>HYPERLINK("http://ecotaxoserver.obs-vlfr.fr/browsetaxo/?id=85238","85238")</f>
        <v>85238</v>
      </c>
      <c r="D40" s="28" t="s">
        <v>2411</v>
      </c>
      <c r="E40" s="49"/>
      <c r="F40" s="49"/>
      <c r="G40" s="49"/>
      <c r="I40" s="28" t="s">
        <v>94</v>
      </c>
      <c r="J40" s="28"/>
      <c r="K40" s="61">
        <v>148971.0</v>
      </c>
      <c r="L40" s="50" t="s">
        <v>2361</v>
      </c>
      <c r="M40" s="51" t="b">
        <v>1</v>
      </c>
      <c r="N40" s="54"/>
      <c r="O40" s="50" t="s">
        <v>2387</v>
      </c>
    </row>
    <row r="41">
      <c r="A41" s="28" t="s">
        <v>2427</v>
      </c>
      <c r="B41" s="28">
        <v>572.0</v>
      </c>
      <c r="C41" s="48" t="str">
        <f>HYPERLINK("http://ecotaxoserver.obs-vlfr.fr/browsetaxo/?id=85239","85239")</f>
        <v>85239</v>
      </c>
      <c r="D41" s="28" t="s">
        <v>2411</v>
      </c>
      <c r="E41" s="49"/>
      <c r="F41" s="49"/>
      <c r="G41" s="49"/>
      <c r="I41" s="28" t="s">
        <v>94</v>
      </c>
      <c r="J41" s="28"/>
      <c r="K41" s="61">
        <v>148971.0</v>
      </c>
      <c r="L41" s="50" t="s">
        <v>2428</v>
      </c>
      <c r="M41" s="51" t="b">
        <v>1</v>
      </c>
      <c r="N41" s="54"/>
      <c r="O41" s="50" t="s">
        <v>2387</v>
      </c>
    </row>
    <row r="42">
      <c r="A42" s="28" t="s">
        <v>2429</v>
      </c>
      <c r="B42" s="28">
        <v>590.0</v>
      </c>
      <c r="C42" s="48" t="str">
        <f>HYPERLINK("http://ecotaxoserver.obs-vlfr.fr/browsetaxo/?id=85240","85240")</f>
        <v>85240</v>
      </c>
      <c r="D42" s="28" t="s">
        <v>2411</v>
      </c>
      <c r="E42" s="49"/>
      <c r="F42" s="49"/>
      <c r="G42" s="49"/>
      <c r="I42" s="28" t="s">
        <v>94</v>
      </c>
      <c r="J42" s="28"/>
      <c r="K42" s="61">
        <v>148971.0</v>
      </c>
      <c r="L42" s="50" t="s">
        <v>2430</v>
      </c>
      <c r="M42" s="51" t="b">
        <v>1</v>
      </c>
      <c r="N42" s="54"/>
      <c r="O42" s="50" t="s">
        <v>2387</v>
      </c>
    </row>
    <row r="43">
      <c r="A43" s="28" t="s">
        <v>2431</v>
      </c>
      <c r="B43" s="28">
        <v>607.0</v>
      </c>
      <c r="C43" s="48" t="str">
        <f>HYPERLINK("http://ecotaxoserver.obs-vlfr.fr/browsetaxo/?id=85241","85241")</f>
        <v>85241</v>
      </c>
      <c r="D43" s="28" t="s">
        <v>2411</v>
      </c>
      <c r="E43" s="49"/>
      <c r="F43" s="49"/>
      <c r="G43" s="49"/>
      <c r="I43" s="28" t="s">
        <v>94</v>
      </c>
      <c r="J43" s="28"/>
      <c r="K43" s="61">
        <v>148971.0</v>
      </c>
      <c r="L43" s="50" t="s">
        <v>2432</v>
      </c>
      <c r="M43" s="51" t="b">
        <v>1</v>
      </c>
      <c r="N43" s="54"/>
      <c r="O43" s="50" t="s">
        <v>2387</v>
      </c>
    </row>
    <row r="44">
      <c r="A44" s="28" t="s">
        <v>2433</v>
      </c>
      <c r="B44" s="28">
        <v>175.0</v>
      </c>
      <c r="C44" s="48" t="str">
        <f>HYPERLINK("http://ecotaxoserver.obs-vlfr.fr/browsetaxo/?id=85242","85242")</f>
        <v>85242</v>
      </c>
      <c r="D44" s="28" t="s">
        <v>2411</v>
      </c>
      <c r="E44" s="49"/>
      <c r="F44" s="49"/>
      <c r="G44" s="49"/>
      <c r="I44" s="28" t="s">
        <v>94</v>
      </c>
      <c r="J44" s="28"/>
      <c r="K44" s="61">
        <v>148971.0</v>
      </c>
      <c r="L44" s="50" t="s">
        <v>2434</v>
      </c>
      <c r="M44" s="51" t="b">
        <v>1</v>
      </c>
      <c r="N44" s="54"/>
      <c r="O44" s="50" t="s">
        <v>2387</v>
      </c>
    </row>
    <row r="45">
      <c r="A45" s="28" t="s">
        <v>2435</v>
      </c>
      <c r="B45" s="28">
        <v>1005.0</v>
      </c>
      <c r="C45" s="48" t="str">
        <f>HYPERLINK("http://ecotaxoserver.obs-vlfr.fr/browsetaxo/?id=85243","85243")</f>
        <v>85243</v>
      </c>
      <c r="D45" s="28" t="s">
        <v>2411</v>
      </c>
      <c r="E45" s="49"/>
      <c r="F45" s="49"/>
      <c r="G45" s="49"/>
      <c r="I45" s="28" t="s">
        <v>94</v>
      </c>
      <c r="J45" s="28"/>
      <c r="K45" s="61">
        <v>148971.0</v>
      </c>
      <c r="L45" s="50" t="s">
        <v>2436</v>
      </c>
      <c r="M45" s="51" t="b">
        <v>1</v>
      </c>
      <c r="N45" s="54"/>
      <c r="O45" s="50" t="s">
        <v>2387</v>
      </c>
    </row>
    <row r="46">
      <c r="A46" s="28" t="s">
        <v>2437</v>
      </c>
      <c r="B46" s="28">
        <v>101.0</v>
      </c>
      <c r="C46" s="48" t="str">
        <f>HYPERLINK("http://ecotaxoserver.obs-vlfr.fr/browsetaxo/?id=85230","85230")</f>
        <v>85230</v>
      </c>
      <c r="D46" s="28" t="s">
        <v>450</v>
      </c>
      <c r="E46" s="49"/>
      <c r="F46" s="49"/>
      <c r="G46" s="49"/>
      <c r="I46" s="28" t="s">
        <v>94</v>
      </c>
      <c r="J46" s="28"/>
      <c r="K46" s="24">
        <v>149236.0</v>
      </c>
      <c r="L46" s="50" t="s">
        <v>2424</v>
      </c>
      <c r="M46" s="51" t="b">
        <v>1</v>
      </c>
      <c r="N46" s="54"/>
      <c r="O46" s="50" t="s">
        <v>1928</v>
      </c>
    </row>
    <row r="47">
      <c r="A47" s="28" t="s">
        <v>2438</v>
      </c>
      <c r="B47" s="28">
        <v>2.0</v>
      </c>
      <c r="C47" s="48" t="str">
        <f>HYPERLINK("http://ecotaxoserver.obs-vlfr.fr/browsetaxo/?id=85886","85886")</f>
        <v>85886</v>
      </c>
      <c r="D47" s="28" t="s">
        <v>2439</v>
      </c>
      <c r="E47" s="49"/>
      <c r="F47" s="49"/>
      <c r="G47" s="49"/>
      <c r="I47" s="28" t="s">
        <v>94</v>
      </c>
      <c r="J47" s="28"/>
      <c r="K47" s="28"/>
      <c r="L47" s="28"/>
      <c r="M47" s="55" t="b">
        <v>0</v>
      </c>
      <c r="N47" s="53" t="s">
        <v>2440</v>
      </c>
      <c r="O47" s="50" t="s">
        <v>1928</v>
      </c>
    </row>
    <row r="48">
      <c r="A48" s="28" t="s">
        <v>2441</v>
      </c>
      <c r="B48" s="28">
        <v>332.0</v>
      </c>
      <c r="C48" s="48" t="str">
        <f>HYPERLINK("http://ecotaxoserver.obs-vlfr.fr/browsetaxo/?id=85231","85231")</f>
        <v>85231</v>
      </c>
      <c r="D48" s="28" t="s">
        <v>467</v>
      </c>
      <c r="E48" s="49"/>
      <c r="F48" s="49"/>
      <c r="G48" s="49"/>
      <c r="I48" s="28" t="s">
        <v>94</v>
      </c>
      <c r="J48" s="28"/>
      <c r="K48" s="24">
        <v>148985.0</v>
      </c>
      <c r="L48" s="50" t="s">
        <v>2412</v>
      </c>
      <c r="M48" s="51" t="b">
        <v>1</v>
      </c>
      <c r="N48" s="54"/>
      <c r="O48" s="50" t="s">
        <v>1928</v>
      </c>
    </row>
    <row r="49">
      <c r="A49" s="28" t="s">
        <v>2442</v>
      </c>
      <c r="B49" s="28">
        <v>1.0</v>
      </c>
      <c r="C49" s="48" t="str">
        <f>HYPERLINK("http://ecotaxoserver.obs-vlfr.fr/browsetaxo/?id=92175","92175")</f>
        <v>92175</v>
      </c>
      <c r="D49" s="28" t="s">
        <v>467</v>
      </c>
      <c r="E49" s="49"/>
      <c r="F49" s="49"/>
      <c r="G49" s="49"/>
      <c r="I49" s="50" t="s">
        <v>1927</v>
      </c>
      <c r="J49" s="24">
        <v>149241.0</v>
      </c>
      <c r="K49" s="28"/>
      <c r="L49" s="28"/>
      <c r="M49" s="55" t="b">
        <v>0</v>
      </c>
      <c r="N49" s="53" t="s">
        <v>2443</v>
      </c>
      <c r="O49" s="50" t="s">
        <v>1928</v>
      </c>
    </row>
    <row r="50">
      <c r="A50" s="28" t="s">
        <v>2444</v>
      </c>
      <c r="B50" s="28">
        <v>154.0</v>
      </c>
      <c r="C50" s="48" t="str">
        <f>HYPERLINK("http://ecotaxoserver.obs-vlfr.fr/browsetaxo/?id=85195","85195")</f>
        <v>85195</v>
      </c>
      <c r="D50" s="28" t="s">
        <v>467</v>
      </c>
      <c r="E50" s="49"/>
      <c r="F50" s="49"/>
      <c r="G50" s="49"/>
      <c r="I50" s="28" t="s">
        <v>94</v>
      </c>
      <c r="K50" s="24">
        <v>148985.0</v>
      </c>
      <c r="L50" s="50" t="s">
        <v>2445</v>
      </c>
      <c r="M50" s="51" t="b">
        <v>1</v>
      </c>
      <c r="N50" s="54"/>
      <c r="O50" s="50" t="s">
        <v>2387</v>
      </c>
    </row>
    <row r="51">
      <c r="A51" s="28" t="s">
        <v>2446</v>
      </c>
      <c r="B51" s="28">
        <v>3043.0</v>
      </c>
      <c r="C51" s="48" t="str">
        <f>HYPERLINK("http://ecotaxoserver.obs-vlfr.fr/browsetaxo/?id=85196","85196")</f>
        <v>85196</v>
      </c>
      <c r="D51" s="28" t="s">
        <v>467</v>
      </c>
      <c r="E51" s="49"/>
      <c r="F51" s="49"/>
      <c r="G51" s="49"/>
      <c r="I51" s="28" t="s">
        <v>94</v>
      </c>
      <c r="K51" s="24">
        <v>148985.0</v>
      </c>
      <c r="L51" s="50" t="s">
        <v>2447</v>
      </c>
      <c r="M51" s="51" t="b">
        <v>1</v>
      </c>
      <c r="N51" s="54"/>
      <c r="O51" s="50" t="s">
        <v>2387</v>
      </c>
    </row>
    <row r="52">
      <c r="A52" s="28" t="s">
        <v>2448</v>
      </c>
      <c r="B52" s="28">
        <v>8.0</v>
      </c>
      <c r="C52" s="48" t="str">
        <f>HYPERLINK("http://ecotaxoserver.obs-vlfr.fr/browsetaxo/?id=85495","85495")</f>
        <v>85495</v>
      </c>
      <c r="D52" s="28" t="s">
        <v>467</v>
      </c>
      <c r="E52" s="49"/>
      <c r="F52" s="49"/>
      <c r="G52" s="49"/>
      <c r="I52" s="28" t="s">
        <v>94</v>
      </c>
      <c r="J52" s="24">
        <v>156607.0</v>
      </c>
      <c r="K52" s="28"/>
      <c r="L52" s="62"/>
      <c r="M52" s="55" t="b">
        <v>0</v>
      </c>
      <c r="N52" s="63" t="s">
        <v>2449</v>
      </c>
      <c r="O52" s="50" t="s">
        <v>1928</v>
      </c>
    </row>
    <row r="53">
      <c r="A53" s="28" t="s">
        <v>2450</v>
      </c>
      <c r="B53" s="28">
        <v>49.0</v>
      </c>
      <c r="C53" s="48" t="str">
        <f>HYPERLINK("http://ecotaxoserver.obs-vlfr.fr/browsetaxo/?id=93596","93596")</f>
        <v>93596</v>
      </c>
      <c r="D53" s="28" t="s">
        <v>467</v>
      </c>
      <c r="E53" s="49"/>
      <c r="F53" s="49"/>
      <c r="G53" s="49"/>
      <c r="I53" s="28" t="s">
        <v>94</v>
      </c>
      <c r="J53" s="28"/>
      <c r="K53" s="64">
        <v>148985.0</v>
      </c>
      <c r="L53" s="64" t="s">
        <v>2451</v>
      </c>
      <c r="M53" s="51" t="b">
        <v>1</v>
      </c>
      <c r="N53" s="65" t="s">
        <v>2452</v>
      </c>
      <c r="O53" s="50"/>
    </row>
    <row r="54">
      <c r="A54" s="28" t="s">
        <v>2453</v>
      </c>
      <c r="B54" s="28">
        <v>25.0</v>
      </c>
      <c r="C54" s="48" t="str">
        <f>HYPERLINK("http://ecotaxoserver.obs-vlfr.fr/browsetaxo/?id=92692","92692")</f>
        <v>92692</v>
      </c>
      <c r="D54" s="28" t="s">
        <v>467</v>
      </c>
      <c r="E54" s="49"/>
      <c r="F54" s="49"/>
      <c r="G54" s="49"/>
      <c r="I54" s="28" t="s">
        <v>94</v>
      </c>
      <c r="J54" s="28"/>
      <c r="K54" s="64">
        <v>148985.0</v>
      </c>
      <c r="L54" s="66" t="s">
        <v>2454</v>
      </c>
      <c r="M54" s="51" t="b">
        <v>1</v>
      </c>
      <c r="N54" s="65" t="s">
        <v>2455</v>
      </c>
      <c r="O54" s="50"/>
    </row>
    <row r="55">
      <c r="A55" s="28" t="s">
        <v>2456</v>
      </c>
      <c r="B55" s="28">
        <v>893.0</v>
      </c>
      <c r="C55" s="48" t="str">
        <f>HYPERLINK("http://ecotaxoserver.obs-vlfr.fr/browsetaxo/?id=85197","85197")</f>
        <v>85197</v>
      </c>
      <c r="D55" s="28" t="s">
        <v>467</v>
      </c>
      <c r="E55" s="49"/>
      <c r="F55" s="49"/>
      <c r="G55" s="49"/>
      <c r="I55" s="28" t="s">
        <v>94</v>
      </c>
      <c r="K55" s="66">
        <v>148985.0</v>
      </c>
      <c r="L55" s="50" t="s">
        <v>2457</v>
      </c>
      <c r="M55" s="51" t="b">
        <v>1</v>
      </c>
      <c r="N55" s="54"/>
      <c r="O55" s="50" t="s">
        <v>1928</v>
      </c>
    </row>
    <row r="56">
      <c r="A56" s="28" t="s">
        <v>2458</v>
      </c>
      <c r="B56" s="28">
        <v>39.0</v>
      </c>
      <c r="C56" s="48" t="str">
        <f>HYPERLINK("http://ecotaxoserver.obs-vlfr.fr/browsetaxo/?id=85489","85489")</f>
        <v>85489</v>
      </c>
      <c r="D56" s="28" t="s">
        <v>467</v>
      </c>
      <c r="E56" s="49"/>
      <c r="F56" s="49"/>
      <c r="G56" s="49"/>
      <c r="I56" s="28" t="s">
        <v>94</v>
      </c>
      <c r="J56" s="24">
        <v>160524.0</v>
      </c>
      <c r="K56" s="28"/>
      <c r="L56" s="62"/>
      <c r="M56" s="55" t="b">
        <v>0</v>
      </c>
      <c r="N56" s="53" t="s">
        <v>2459</v>
      </c>
      <c r="O56" s="50" t="s">
        <v>1928</v>
      </c>
    </row>
    <row r="57">
      <c r="A57" s="28" t="s">
        <v>2460</v>
      </c>
      <c r="B57" s="28">
        <v>4338.0</v>
      </c>
      <c r="C57" s="48" t="str">
        <f>HYPERLINK("http://ecotaxoserver.obs-vlfr.fr/browsetaxo/?id=92122","92122")</f>
        <v>92122</v>
      </c>
      <c r="D57" s="28" t="s">
        <v>2461</v>
      </c>
      <c r="E57" s="49"/>
      <c r="F57" s="49"/>
      <c r="G57" s="49"/>
      <c r="I57" s="28" t="s">
        <v>94</v>
      </c>
      <c r="J57" s="28"/>
      <c r="K57" s="28"/>
      <c r="L57" s="28"/>
      <c r="M57" s="55" t="b">
        <v>0</v>
      </c>
      <c r="N57" s="53" t="s">
        <v>2462</v>
      </c>
      <c r="O57" s="50" t="s">
        <v>1928</v>
      </c>
    </row>
    <row r="58">
      <c r="A58" s="28" t="s">
        <v>2463</v>
      </c>
      <c r="B58" s="28">
        <v>1.0</v>
      </c>
      <c r="C58" s="48" t="str">
        <f>HYPERLINK("http://ecotaxoserver.obs-vlfr.fr/browsetaxo/?id=87296","87296")</f>
        <v>87296</v>
      </c>
      <c r="D58" s="28" t="s">
        <v>499</v>
      </c>
      <c r="E58" s="49"/>
      <c r="F58" s="49"/>
      <c r="G58" s="49"/>
      <c r="I58" s="28" t="s">
        <v>94</v>
      </c>
      <c r="J58" s="28"/>
      <c r="K58" s="28"/>
      <c r="L58" s="28"/>
      <c r="M58" s="55" t="b">
        <v>0</v>
      </c>
      <c r="N58" s="53" t="s">
        <v>2464</v>
      </c>
      <c r="O58" s="50" t="s">
        <v>1928</v>
      </c>
    </row>
    <row r="59">
      <c r="A59" s="28" t="s">
        <v>2465</v>
      </c>
      <c r="B59" s="28">
        <v>21.0</v>
      </c>
      <c r="C59" s="48" t="str">
        <f>HYPERLINK("http://ecotaxoserver.obs-vlfr.fr/browsetaxo/?id=20174","20174")</f>
        <v>20174</v>
      </c>
      <c r="D59" s="28" t="s">
        <v>2466</v>
      </c>
      <c r="E59" s="49"/>
      <c r="F59" s="49"/>
      <c r="G59" s="49"/>
      <c r="I59" s="28" t="s">
        <v>94</v>
      </c>
      <c r="J59" s="24">
        <v>178583.0</v>
      </c>
      <c r="K59" s="28"/>
      <c r="L59" s="28"/>
      <c r="M59" s="55" t="b">
        <v>0</v>
      </c>
      <c r="N59" s="53" t="s">
        <v>2467</v>
      </c>
      <c r="O59" s="50" t="s">
        <v>1928</v>
      </c>
    </row>
    <row r="60">
      <c r="A60" s="28" t="s">
        <v>2468</v>
      </c>
      <c r="B60" s="28">
        <v>2557.0</v>
      </c>
      <c r="C60" s="48" t="str">
        <f>HYPERLINK("http://ecotaxoserver.obs-vlfr.fr/browsetaxo/?id=92273","92273")</f>
        <v>92273</v>
      </c>
      <c r="D60" s="28" t="s">
        <v>386</v>
      </c>
      <c r="E60" s="49"/>
      <c r="F60" s="49"/>
      <c r="G60" s="49"/>
      <c r="I60" s="28" t="s">
        <v>94</v>
      </c>
      <c r="J60" s="28"/>
      <c r="K60" s="24">
        <v>104152.0</v>
      </c>
      <c r="L60" s="50" t="s">
        <v>2469</v>
      </c>
      <c r="M60" s="51" t="b">
        <v>1</v>
      </c>
      <c r="N60" s="53" t="s">
        <v>2470</v>
      </c>
      <c r="O60" s="50" t="s">
        <v>1928</v>
      </c>
    </row>
    <row r="61">
      <c r="A61" s="28" t="s">
        <v>2468</v>
      </c>
      <c r="B61" s="28">
        <v>1046.0</v>
      </c>
      <c r="C61" s="48" t="str">
        <f>HYPERLINK("http://ecotaxoserver.obs-vlfr.fr/browsetaxo/?id=92266","92266")</f>
        <v>92266</v>
      </c>
      <c r="D61" s="28" t="s">
        <v>1192</v>
      </c>
      <c r="E61" s="49"/>
      <c r="F61" s="49"/>
      <c r="G61" s="49"/>
      <c r="I61" s="28" t="s">
        <v>94</v>
      </c>
      <c r="J61" s="28"/>
      <c r="K61" s="24">
        <v>104632.0</v>
      </c>
      <c r="L61" s="50" t="s">
        <v>2469</v>
      </c>
      <c r="M61" s="51" t="b">
        <v>1</v>
      </c>
      <c r="N61" s="53" t="s">
        <v>2470</v>
      </c>
      <c r="O61" s="50" t="s">
        <v>1928</v>
      </c>
    </row>
    <row r="62">
      <c r="A62" s="28" t="s">
        <v>2468</v>
      </c>
      <c r="B62" s="28">
        <v>152.0</v>
      </c>
      <c r="C62" s="48" t="str">
        <f>HYPERLINK("http://ecotaxoserver.obs-vlfr.fr/browsetaxo/?id=92304","92304")</f>
        <v>92304</v>
      </c>
      <c r="D62" s="28" t="s">
        <v>388</v>
      </c>
      <c r="E62" s="49"/>
      <c r="F62" s="49"/>
      <c r="G62" s="49"/>
      <c r="I62" s="28" t="s">
        <v>94</v>
      </c>
      <c r="J62" s="28"/>
      <c r="K62" s="24">
        <v>104467.0</v>
      </c>
      <c r="L62" s="50" t="s">
        <v>2469</v>
      </c>
      <c r="M62" s="51" t="b">
        <v>1</v>
      </c>
      <c r="N62" s="53" t="s">
        <v>2470</v>
      </c>
      <c r="O62" s="50" t="s">
        <v>1928</v>
      </c>
    </row>
    <row r="63">
      <c r="A63" s="28" t="s">
        <v>2471</v>
      </c>
      <c r="B63" s="28">
        <v>13.0</v>
      </c>
      <c r="C63" s="48" t="str">
        <f>HYPERLINK("http://ecotaxoserver.obs-vlfr.fr/browsetaxo/?id=92272","92272")</f>
        <v>92272</v>
      </c>
      <c r="D63" s="28" t="s">
        <v>386</v>
      </c>
      <c r="E63" s="49"/>
      <c r="F63" s="49"/>
      <c r="G63" s="49"/>
      <c r="I63" s="28" t="s">
        <v>94</v>
      </c>
      <c r="J63" s="28"/>
      <c r="K63" s="24">
        <v>104152.0</v>
      </c>
      <c r="L63" s="50" t="s">
        <v>2469</v>
      </c>
      <c r="M63" s="51" t="b">
        <v>1</v>
      </c>
      <c r="N63" s="53" t="s">
        <v>2470</v>
      </c>
      <c r="O63" s="50" t="s">
        <v>1928</v>
      </c>
    </row>
    <row r="64">
      <c r="A64" s="28" t="s">
        <v>2471</v>
      </c>
      <c r="B64" s="28">
        <v>1.0</v>
      </c>
      <c r="C64" s="48" t="str">
        <f>HYPERLINK("http://ecotaxoserver.obs-vlfr.fr/browsetaxo/?id=92265","92265")</f>
        <v>92265</v>
      </c>
      <c r="D64" s="28" t="s">
        <v>1192</v>
      </c>
      <c r="E64" s="49"/>
      <c r="F64" s="49"/>
      <c r="G64" s="49"/>
      <c r="I64" s="28" t="s">
        <v>94</v>
      </c>
      <c r="J64" s="28"/>
      <c r="K64" s="24">
        <v>104632.0</v>
      </c>
      <c r="L64" s="50" t="s">
        <v>2469</v>
      </c>
      <c r="M64" s="51" t="b">
        <v>1</v>
      </c>
      <c r="N64" s="53" t="s">
        <v>2470</v>
      </c>
      <c r="O64" s="50" t="s">
        <v>1928</v>
      </c>
    </row>
    <row r="65">
      <c r="A65" s="28" t="s">
        <v>2472</v>
      </c>
      <c r="B65" s="28">
        <v>866.0</v>
      </c>
      <c r="C65" s="48" t="str">
        <f>HYPERLINK("http://ecotaxoserver.obs-vlfr.fr/browsetaxo/?id=11880","11880")</f>
        <v>11880</v>
      </c>
      <c r="D65" s="28" t="s">
        <v>2473</v>
      </c>
      <c r="E65" s="49"/>
      <c r="F65" s="49"/>
      <c r="G65" s="49"/>
      <c r="I65" s="28" t="s">
        <v>94</v>
      </c>
      <c r="J65" s="28"/>
      <c r="K65" s="24">
        <v>11.0</v>
      </c>
      <c r="L65" s="50" t="s">
        <v>2412</v>
      </c>
      <c r="M65" s="51" t="b">
        <v>1</v>
      </c>
      <c r="N65" s="53" t="s">
        <v>2474</v>
      </c>
      <c r="O65" s="50" t="s">
        <v>1928</v>
      </c>
    </row>
    <row r="66">
      <c r="A66" s="28" t="s">
        <v>2475</v>
      </c>
      <c r="B66" s="28">
        <v>64.0</v>
      </c>
      <c r="C66" s="48" t="str">
        <f>HYPERLINK("http://ecotaxoserver.obs-vlfr.fr/browsetaxo/?id=11879","11879")</f>
        <v>11879</v>
      </c>
      <c r="D66" s="28" t="s">
        <v>2473</v>
      </c>
      <c r="E66" s="49"/>
      <c r="F66" s="49"/>
      <c r="G66" s="49"/>
      <c r="I66" s="28" t="s">
        <v>94</v>
      </c>
      <c r="J66" s="28"/>
      <c r="K66" s="24">
        <v>11.0</v>
      </c>
      <c r="L66" s="50" t="s">
        <v>2424</v>
      </c>
      <c r="M66" s="51" t="b">
        <v>1</v>
      </c>
      <c r="N66" s="53" t="s">
        <v>2474</v>
      </c>
      <c r="O66" s="50" t="s">
        <v>1928</v>
      </c>
    </row>
    <row r="67">
      <c r="A67" s="28" t="s">
        <v>2476</v>
      </c>
      <c r="B67" s="28">
        <v>18.0</v>
      </c>
      <c r="C67" s="48" t="str">
        <f>HYPERLINK("http://ecotaxoserver.obs-vlfr.fr/browsetaxo/?id=11878","11878")</f>
        <v>11878</v>
      </c>
      <c r="D67" s="28" t="s">
        <v>2473</v>
      </c>
      <c r="E67" s="49"/>
      <c r="F67" s="49"/>
      <c r="G67" s="49"/>
      <c r="I67" s="28" t="s">
        <v>94</v>
      </c>
      <c r="J67" s="28"/>
      <c r="K67" s="24">
        <v>11.0</v>
      </c>
      <c r="L67" s="50" t="s">
        <v>2359</v>
      </c>
      <c r="M67" s="51" t="b">
        <v>1</v>
      </c>
      <c r="N67" s="53" t="s">
        <v>2474</v>
      </c>
      <c r="O67" s="50" t="s">
        <v>1928</v>
      </c>
    </row>
    <row r="68">
      <c r="A68" s="28" t="s">
        <v>2477</v>
      </c>
      <c r="B68" s="28">
        <v>343.0</v>
      </c>
      <c r="C68" s="48" t="str">
        <f>HYPERLINK("http://ecotaxoserver.obs-vlfr.fr/browsetaxo/?id=11877","11877")</f>
        <v>11877</v>
      </c>
      <c r="D68" s="28" t="s">
        <v>2473</v>
      </c>
      <c r="E68" s="49"/>
      <c r="F68" s="49"/>
      <c r="G68" s="49"/>
      <c r="I68" s="28" t="s">
        <v>94</v>
      </c>
      <c r="J68" s="28"/>
      <c r="K68" s="24">
        <v>11.0</v>
      </c>
      <c r="L68" s="50" t="s">
        <v>2361</v>
      </c>
      <c r="M68" s="51" t="b">
        <v>1</v>
      </c>
      <c r="N68" s="53" t="s">
        <v>2474</v>
      </c>
      <c r="O68" s="50" t="s">
        <v>1928</v>
      </c>
    </row>
    <row r="69">
      <c r="A69" s="28" t="s">
        <v>2478</v>
      </c>
      <c r="B69" s="28">
        <v>62.0</v>
      </c>
      <c r="C69" s="48" t="str">
        <f>HYPERLINK("http://ecotaxoserver.obs-vlfr.fr/browsetaxo/?id=11876","11876")</f>
        <v>11876</v>
      </c>
      <c r="D69" s="28" t="s">
        <v>2473</v>
      </c>
      <c r="E69" s="49"/>
      <c r="F69" s="49"/>
      <c r="G69" s="49"/>
      <c r="I69" s="28" t="s">
        <v>94</v>
      </c>
      <c r="J69" s="28"/>
      <c r="K69" s="24">
        <v>11.0</v>
      </c>
      <c r="L69" s="50" t="s">
        <v>2428</v>
      </c>
      <c r="M69" s="51" t="b">
        <v>1</v>
      </c>
      <c r="N69" s="53" t="s">
        <v>2474</v>
      </c>
      <c r="O69" s="50" t="s">
        <v>1928</v>
      </c>
    </row>
    <row r="70">
      <c r="A70" s="28" t="s">
        <v>2479</v>
      </c>
      <c r="B70" s="28">
        <v>28.0</v>
      </c>
      <c r="C70" s="48" t="str">
        <f>HYPERLINK("http://ecotaxoserver.obs-vlfr.fr/browsetaxo/?id=92271","92271")</f>
        <v>92271</v>
      </c>
      <c r="D70" s="28" t="s">
        <v>386</v>
      </c>
      <c r="E70" s="49"/>
      <c r="F70" s="49"/>
      <c r="G70" s="49"/>
      <c r="I70" s="28" t="s">
        <v>94</v>
      </c>
      <c r="J70" s="28"/>
      <c r="K70" s="24">
        <v>104152.0</v>
      </c>
      <c r="L70" s="50" t="s">
        <v>2480</v>
      </c>
      <c r="M70" s="51" t="b">
        <v>1</v>
      </c>
      <c r="N70" s="53" t="s">
        <v>2481</v>
      </c>
      <c r="O70" s="50" t="s">
        <v>1928</v>
      </c>
    </row>
    <row r="71">
      <c r="A71" s="28" t="s">
        <v>2479</v>
      </c>
      <c r="B71" s="28">
        <v>3.0</v>
      </c>
      <c r="C71" s="48" t="str">
        <f>HYPERLINK("http://ecotaxoserver.obs-vlfr.fr/browsetaxo/?id=92264","92264")</f>
        <v>92264</v>
      </c>
      <c r="D71" s="28" t="s">
        <v>1192</v>
      </c>
      <c r="E71" s="49"/>
      <c r="F71" s="49"/>
      <c r="G71" s="49"/>
      <c r="I71" s="28" t="s">
        <v>94</v>
      </c>
      <c r="J71" s="28"/>
      <c r="K71" s="24">
        <v>104632.0</v>
      </c>
      <c r="L71" s="50" t="s">
        <v>2480</v>
      </c>
      <c r="M71" s="51" t="b">
        <v>1</v>
      </c>
      <c r="N71" s="53" t="s">
        <v>2481</v>
      </c>
      <c r="O71" s="50" t="s">
        <v>1928</v>
      </c>
    </row>
    <row r="72">
      <c r="A72" s="28" t="s">
        <v>2482</v>
      </c>
      <c r="B72" s="28">
        <v>5360.0</v>
      </c>
      <c r="C72" s="48" t="str">
        <f>HYPERLINK("http://ecotaxoserver.obs-vlfr.fr/browsetaxo/?id=92274","92274")</f>
        <v>92274</v>
      </c>
      <c r="D72" s="28" t="s">
        <v>386</v>
      </c>
      <c r="E72" s="49"/>
      <c r="F72" s="49"/>
      <c r="G72" s="49"/>
      <c r="I72" s="28" t="s">
        <v>94</v>
      </c>
      <c r="J72" s="28"/>
      <c r="K72" s="24">
        <v>104152.0</v>
      </c>
      <c r="L72" s="50" t="s">
        <v>2483</v>
      </c>
      <c r="M72" s="51" t="b">
        <v>1</v>
      </c>
      <c r="N72" s="53" t="s">
        <v>2484</v>
      </c>
      <c r="O72" s="50" t="s">
        <v>1928</v>
      </c>
    </row>
    <row r="73">
      <c r="A73" s="28" t="s">
        <v>2482</v>
      </c>
      <c r="B73" s="28">
        <v>536.0</v>
      </c>
      <c r="C73" s="48" t="str">
        <f>HYPERLINK("http://ecotaxoserver.obs-vlfr.fr/browsetaxo/?id=92267","92267")</f>
        <v>92267</v>
      </c>
      <c r="D73" s="28" t="s">
        <v>1192</v>
      </c>
      <c r="E73" s="49"/>
      <c r="F73" s="49"/>
      <c r="G73" s="49"/>
      <c r="I73" s="28" t="s">
        <v>94</v>
      </c>
      <c r="J73" s="28"/>
      <c r="K73" s="24">
        <v>104632.0</v>
      </c>
      <c r="L73" s="50" t="s">
        <v>2483</v>
      </c>
      <c r="M73" s="51" t="b">
        <v>1</v>
      </c>
      <c r="N73" s="53" t="s">
        <v>2484</v>
      </c>
      <c r="O73" s="50" t="s">
        <v>1928</v>
      </c>
    </row>
    <row r="74">
      <c r="A74" s="28" t="s">
        <v>2482</v>
      </c>
      <c r="B74" s="28">
        <v>394.0</v>
      </c>
      <c r="C74" s="48" t="str">
        <f>HYPERLINK("http://ecotaxoserver.obs-vlfr.fr/browsetaxo/?id=92306","92306")</f>
        <v>92306</v>
      </c>
      <c r="D74" s="28" t="s">
        <v>388</v>
      </c>
      <c r="E74" s="49"/>
      <c r="F74" s="49"/>
      <c r="G74" s="49"/>
      <c r="I74" s="28" t="s">
        <v>94</v>
      </c>
      <c r="J74" s="28"/>
      <c r="K74" s="24">
        <v>104467.0</v>
      </c>
      <c r="L74" s="50" t="s">
        <v>2483</v>
      </c>
      <c r="M74" s="51" t="b">
        <v>1</v>
      </c>
      <c r="N74" s="53" t="s">
        <v>2484</v>
      </c>
      <c r="O74" s="50" t="s">
        <v>1928</v>
      </c>
    </row>
    <row r="75">
      <c r="A75" s="28" t="s">
        <v>2485</v>
      </c>
      <c r="B75" s="28">
        <v>110.0</v>
      </c>
      <c r="C75" s="48" t="str">
        <f>HYPERLINK("http://ecotaxoserver.obs-vlfr.fr/browsetaxo/?id=92693","92693")</f>
        <v>92693</v>
      </c>
      <c r="D75" s="28" t="s">
        <v>542</v>
      </c>
      <c r="E75" s="49"/>
      <c r="F75" s="49"/>
      <c r="G75" s="49"/>
      <c r="I75" s="28" t="s">
        <v>94</v>
      </c>
      <c r="J75" s="28"/>
      <c r="K75" s="64">
        <v>196803.0</v>
      </c>
      <c r="L75" s="66" t="s">
        <v>2027</v>
      </c>
      <c r="M75" s="51" t="b">
        <v>1</v>
      </c>
      <c r="N75" s="65" t="s">
        <v>2486</v>
      </c>
      <c r="O75" s="50"/>
    </row>
    <row r="76">
      <c r="A76" s="67" t="s">
        <v>2487</v>
      </c>
      <c r="B76" s="28">
        <v>6.0</v>
      </c>
      <c r="C76" s="48" t="str">
        <f>HYPERLINK("http://ecotaxoserver.obs-vlfr.fr/browsetaxo/?id=12488","12488")</f>
        <v>12488</v>
      </c>
      <c r="D76" s="28" t="s">
        <v>2488</v>
      </c>
      <c r="E76" s="56">
        <v>162725.0</v>
      </c>
      <c r="F76" s="49" t="s">
        <v>2371</v>
      </c>
      <c r="G76" s="56">
        <v>162725.0</v>
      </c>
      <c r="H76" s="22" t="s">
        <v>2487</v>
      </c>
      <c r="I76" s="28" t="s">
        <v>94</v>
      </c>
      <c r="J76" s="56">
        <v>162725.0</v>
      </c>
      <c r="K76" s="50"/>
      <c r="L76" s="28"/>
      <c r="M76" s="55" t="b">
        <v>0</v>
      </c>
      <c r="N76" s="54"/>
      <c r="O76" s="50" t="s">
        <v>2489</v>
      </c>
    </row>
    <row r="77">
      <c r="A77" s="28" t="s">
        <v>2490</v>
      </c>
      <c r="B77" s="28">
        <v>682.0</v>
      </c>
      <c r="C77" s="48" t="str">
        <f>HYPERLINK("http://ecotaxoserver.obs-vlfr.fr/browsetaxo/?id=85302","85302")</f>
        <v>85302</v>
      </c>
      <c r="D77" s="28" t="s">
        <v>560</v>
      </c>
      <c r="E77" s="49"/>
      <c r="F77" s="49"/>
      <c r="G77" s="49"/>
      <c r="I77" s="28" t="s">
        <v>94</v>
      </c>
      <c r="J77" s="28"/>
      <c r="K77" s="24">
        <v>115057.0</v>
      </c>
      <c r="L77" s="50" t="s">
        <v>2412</v>
      </c>
      <c r="M77" s="51" t="b">
        <v>1</v>
      </c>
      <c r="N77" s="53" t="s">
        <v>2491</v>
      </c>
      <c r="O77" s="50" t="s">
        <v>1928</v>
      </c>
    </row>
    <row r="78">
      <c r="A78" s="28" t="s">
        <v>2492</v>
      </c>
      <c r="B78" s="28">
        <v>160.0</v>
      </c>
      <c r="C78" s="48" t="str">
        <f>HYPERLINK("http://ecotaxoserver.obs-vlfr.fr/browsetaxo/?id=85311","85311")</f>
        <v>85311</v>
      </c>
      <c r="D78" s="28" t="s">
        <v>560</v>
      </c>
      <c r="E78" s="49"/>
      <c r="F78" s="49"/>
      <c r="G78" s="49"/>
      <c r="I78" s="28" t="s">
        <v>94</v>
      </c>
      <c r="J78" s="28"/>
      <c r="K78" s="24">
        <v>115057.0</v>
      </c>
      <c r="L78" s="50" t="s">
        <v>2414</v>
      </c>
      <c r="M78" s="51" t="b">
        <v>1</v>
      </c>
      <c r="N78" s="53" t="s">
        <v>2493</v>
      </c>
      <c r="O78" s="50" t="s">
        <v>1928</v>
      </c>
    </row>
    <row r="79">
      <c r="A79" s="28" t="s">
        <v>2494</v>
      </c>
      <c r="B79" s="28">
        <v>60.0</v>
      </c>
      <c r="C79" s="48" t="str">
        <f>HYPERLINK("http://ecotaxoserver.obs-vlfr.fr/browsetaxo/?id=85312","85312")</f>
        <v>85312</v>
      </c>
      <c r="D79" s="28" t="s">
        <v>560</v>
      </c>
      <c r="E79" s="49"/>
      <c r="F79" s="49"/>
      <c r="G79" s="49"/>
      <c r="I79" s="28" t="s">
        <v>94</v>
      </c>
      <c r="J79" s="28"/>
      <c r="K79" s="24">
        <v>115057.0</v>
      </c>
      <c r="L79" s="50" t="s">
        <v>2416</v>
      </c>
      <c r="M79" s="51" t="b">
        <v>1</v>
      </c>
      <c r="N79" s="53" t="s">
        <v>2493</v>
      </c>
      <c r="O79" s="50" t="s">
        <v>1928</v>
      </c>
    </row>
    <row r="80">
      <c r="A80" s="28" t="s">
        <v>2495</v>
      </c>
      <c r="B80" s="28">
        <v>40.0</v>
      </c>
      <c r="C80" s="48" t="str">
        <f>HYPERLINK("http://ecotaxoserver.obs-vlfr.fr/browsetaxo/?id=85313","85313")</f>
        <v>85313</v>
      </c>
      <c r="D80" s="28" t="s">
        <v>560</v>
      </c>
      <c r="E80" s="49"/>
      <c r="F80" s="49"/>
      <c r="G80" s="49"/>
      <c r="I80" s="28" t="s">
        <v>94</v>
      </c>
      <c r="J80" s="28"/>
      <c r="K80" s="24">
        <v>115057.0</v>
      </c>
      <c r="L80" s="50" t="s">
        <v>2418</v>
      </c>
      <c r="M80" s="51" t="b">
        <v>1</v>
      </c>
      <c r="N80" s="53" t="s">
        <v>2493</v>
      </c>
      <c r="O80" s="50" t="s">
        <v>1928</v>
      </c>
    </row>
    <row r="81">
      <c r="A81" s="28" t="s">
        <v>2496</v>
      </c>
      <c r="B81" s="28">
        <v>120.0</v>
      </c>
      <c r="C81" s="48" t="str">
        <f>HYPERLINK("http://ecotaxoserver.obs-vlfr.fr/browsetaxo/?id=85314","85314")</f>
        <v>85314</v>
      </c>
      <c r="D81" s="28" t="s">
        <v>560</v>
      </c>
      <c r="E81" s="49"/>
      <c r="F81" s="49"/>
      <c r="G81" s="49"/>
      <c r="I81" s="28" t="s">
        <v>94</v>
      </c>
      <c r="J81" s="28"/>
      <c r="K81" s="24">
        <v>115057.0</v>
      </c>
      <c r="L81" s="50" t="s">
        <v>2420</v>
      </c>
      <c r="M81" s="51" t="b">
        <v>1</v>
      </c>
      <c r="N81" s="53" t="s">
        <v>2493</v>
      </c>
      <c r="O81" s="50" t="s">
        <v>1928</v>
      </c>
    </row>
    <row r="82">
      <c r="A82" s="28" t="s">
        <v>2497</v>
      </c>
      <c r="B82" s="28">
        <v>60.0</v>
      </c>
      <c r="C82" s="48" t="str">
        <f>HYPERLINK("http://ecotaxoserver.obs-vlfr.fr/browsetaxo/?id=85315","85315")</f>
        <v>85315</v>
      </c>
      <c r="D82" s="28" t="s">
        <v>560</v>
      </c>
      <c r="E82" s="49"/>
      <c r="F82" s="49"/>
      <c r="G82" s="49"/>
      <c r="I82" s="28" t="s">
        <v>94</v>
      </c>
      <c r="J82" s="28"/>
      <c r="K82" s="24">
        <v>115057.0</v>
      </c>
      <c r="L82" s="50" t="s">
        <v>2422</v>
      </c>
      <c r="M82" s="51" t="b">
        <v>1</v>
      </c>
      <c r="N82" s="53" t="s">
        <v>2493</v>
      </c>
      <c r="O82" s="50" t="s">
        <v>1928</v>
      </c>
    </row>
    <row r="83">
      <c r="A83" s="28" t="s">
        <v>2498</v>
      </c>
      <c r="B83" s="28">
        <v>41.0</v>
      </c>
      <c r="C83" s="48" t="str">
        <f>HYPERLINK("http://ecotaxoserver.obs-vlfr.fr/browsetaxo/?id=85316","85316")</f>
        <v>85316</v>
      </c>
      <c r="D83" s="28" t="s">
        <v>560</v>
      </c>
      <c r="E83" s="49"/>
      <c r="F83" s="49"/>
      <c r="G83" s="49"/>
      <c r="I83" s="28" t="s">
        <v>94</v>
      </c>
      <c r="J83" s="28"/>
      <c r="K83" s="24">
        <v>115057.0</v>
      </c>
      <c r="L83" s="50" t="s">
        <v>2499</v>
      </c>
      <c r="M83" s="51" t="b">
        <v>1</v>
      </c>
      <c r="N83" s="53" t="s">
        <v>2493</v>
      </c>
      <c r="O83" s="50" t="s">
        <v>1928</v>
      </c>
    </row>
    <row r="84">
      <c r="A84" s="28" t="s">
        <v>2500</v>
      </c>
      <c r="B84" s="28">
        <v>180.0</v>
      </c>
      <c r="C84" s="48" t="str">
        <f>HYPERLINK("http://ecotaxoserver.obs-vlfr.fr/browsetaxo/?id=85317","85317")</f>
        <v>85317</v>
      </c>
      <c r="D84" s="28" t="s">
        <v>560</v>
      </c>
      <c r="E84" s="49"/>
      <c r="F84" s="49"/>
      <c r="G84" s="49"/>
      <c r="I84" s="28" t="s">
        <v>94</v>
      </c>
      <c r="J84" s="28"/>
      <c r="K84" s="24">
        <v>115057.0</v>
      </c>
      <c r="L84" s="50" t="s">
        <v>2501</v>
      </c>
      <c r="M84" s="51" t="b">
        <v>1</v>
      </c>
      <c r="N84" s="53" t="s">
        <v>2493</v>
      </c>
      <c r="O84" s="50" t="s">
        <v>1928</v>
      </c>
    </row>
    <row r="85">
      <c r="A85" s="28" t="s">
        <v>2502</v>
      </c>
      <c r="B85" s="28">
        <v>42.0</v>
      </c>
      <c r="C85" s="48" t="str">
        <f>HYPERLINK("http://ecotaxoserver.obs-vlfr.fr/browsetaxo/?id=85318","85318")</f>
        <v>85318</v>
      </c>
      <c r="D85" s="28" t="s">
        <v>560</v>
      </c>
      <c r="E85" s="49"/>
      <c r="F85" s="49"/>
      <c r="G85" s="49"/>
      <c r="I85" s="28" t="s">
        <v>94</v>
      </c>
      <c r="J85" s="28"/>
      <c r="K85" s="24">
        <v>115057.0</v>
      </c>
      <c r="L85" s="50" t="s">
        <v>2503</v>
      </c>
      <c r="M85" s="51" t="b">
        <v>1</v>
      </c>
      <c r="N85" s="53" t="s">
        <v>2493</v>
      </c>
      <c r="O85" s="50" t="s">
        <v>1928</v>
      </c>
    </row>
    <row r="86">
      <c r="A86" s="28" t="s">
        <v>2504</v>
      </c>
      <c r="B86" s="28">
        <v>84.0</v>
      </c>
      <c r="C86" s="48" t="str">
        <f>HYPERLINK("http://ecotaxoserver.obs-vlfr.fr/browsetaxo/?id=85319","85319")</f>
        <v>85319</v>
      </c>
      <c r="D86" s="28" t="s">
        <v>560</v>
      </c>
      <c r="E86" s="49"/>
      <c r="F86" s="49"/>
      <c r="G86" s="49"/>
      <c r="I86" s="28" t="s">
        <v>94</v>
      </c>
      <c r="J86" s="28"/>
      <c r="K86" s="24">
        <v>115057.0</v>
      </c>
      <c r="L86" s="50" t="s">
        <v>2505</v>
      </c>
      <c r="M86" s="51" t="b">
        <v>1</v>
      </c>
      <c r="N86" s="53" t="s">
        <v>2493</v>
      </c>
      <c r="O86" s="50" t="s">
        <v>1928</v>
      </c>
    </row>
    <row r="87">
      <c r="A87" s="28" t="s">
        <v>2506</v>
      </c>
      <c r="B87" s="28">
        <v>344.0</v>
      </c>
      <c r="C87" s="48" t="str">
        <f>HYPERLINK("http://ecotaxoserver.obs-vlfr.fr/browsetaxo/?id=85303","85303")</f>
        <v>85303</v>
      </c>
      <c r="D87" s="28" t="s">
        <v>560</v>
      </c>
      <c r="E87" s="49"/>
      <c r="F87" s="49"/>
      <c r="G87" s="49"/>
      <c r="I87" s="28" t="s">
        <v>94</v>
      </c>
      <c r="J87" s="28"/>
      <c r="K87" s="24">
        <v>115057.0</v>
      </c>
      <c r="L87" s="50" t="s">
        <v>2424</v>
      </c>
      <c r="M87" s="51" t="b">
        <v>1</v>
      </c>
      <c r="N87" s="53" t="s">
        <v>2493</v>
      </c>
      <c r="O87" s="50" t="s">
        <v>1928</v>
      </c>
    </row>
    <row r="88">
      <c r="A88" s="28" t="s">
        <v>2507</v>
      </c>
      <c r="B88" s="28">
        <v>57.0</v>
      </c>
      <c r="C88" s="48" t="str">
        <f>HYPERLINK("http://ecotaxoserver.obs-vlfr.fr/browsetaxo/?id=85304","85304")</f>
        <v>85304</v>
      </c>
      <c r="D88" s="28" t="s">
        <v>560</v>
      </c>
      <c r="E88" s="49"/>
      <c r="F88" s="49"/>
      <c r="G88" s="49"/>
      <c r="I88" s="28" t="s">
        <v>94</v>
      </c>
      <c r="J88" s="28"/>
      <c r="K88" s="24">
        <v>115057.0</v>
      </c>
      <c r="L88" s="50" t="s">
        <v>2359</v>
      </c>
      <c r="M88" s="51" t="b">
        <v>1</v>
      </c>
      <c r="N88" s="53" t="s">
        <v>2493</v>
      </c>
      <c r="O88" s="50" t="s">
        <v>1928</v>
      </c>
    </row>
    <row r="89">
      <c r="A89" s="28" t="s">
        <v>2508</v>
      </c>
      <c r="B89" s="28">
        <v>69.0</v>
      </c>
      <c r="C89" s="48" t="str">
        <f>HYPERLINK("http://ecotaxoserver.obs-vlfr.fr/browsetaxo/?id=85305","85305")</f>
        <v>85305</v>
      </c>
      <c r="D89" s="28" t="s">
        <v>560</v>
      </c>
      <c r="E89" s="49"/>
      <c r="F89" s="49"/>
      <c r="G89" s="49"/>
      <c r="I89" s="28" t="s">
        <v>94</v>
      </c>
      <c r="J89" s="28"/>
      <c r="K89" s="24">
        <v>115057.0</v>
      </c>
      <c r="L89" s="50" t="s">
        <v>2361</v>
      </c>
      <c r="M89" s="51" t="b">
        <v>1</v>
      </c>
      <c r="N89" s="53" t="s">
        <v>2493</v>
      </c>
      <c r="O89" s="50" t="s">
        <v>1928</v>
      </c>
    </row>
    <row r="90">
      <c r="A90" s="28" t="s">
        <v>2509</v>
      </c>
      <c r="B90" s="28">
        <v>150.0</v>
      </c>
      <c r="C90" s="48" t="str">
        <f>HYPERLINK("http://ecotaxoserver.obs-vlfr.fr/browsetaxo/?id=85306","85306")</f>
        <v>85306</v>
      </c>
      <c r="D90" s="28" t="s">
        <v>560</v>
      </c>
      <c r="E90" s="49"/>
      <c r="F90" s="49"/>
      <c r="G90" s="49"/>
      <c r="I90" s="28" t="s">
        <v>94</v>
      </c>
      <c r="J90" s="28"/>
      <c r="K90" s="24">
        <v>115057.0</v>
      </c>
      <c r="L90" s="50" t="s">
        <v>2428</v>
      </c>
      <c r="M90" s="51" t="b">
        <v>1</v>
      </c>
      <c r="N90" s="53" t="s">
        <v>2493</v>
      </c>
      <c r="O90" s="50" t="s">
        <v>1928</v>
      </c>
    </row>
    <row r="91">
      <c r="A91" s="28" t="s">
        <v>2510</v>
      </c>
      <c r="B91" s="28">
        <v>53.0</v>
      </c>
      <c r="C91" s="48" t="str">
        <f>HYPERLINK("http://ecotaxoserver.obs-vlfr.fr/browsetaxo/?id=85307","85307")</f>
        <v>85307</v>
      </c>
      <c r="D91" s="28" t="s">
        <v>560</v>
      </c>
      <c r="E91" s="49"/>
      <c r="F91" s="49"/>
      <c r="G91" s="49"/>
      <c r="I91" s="28" t="s">
        <v>94</v>
      </c>
      <c r="J91" s="28"/>
      <c r="K91" s="24">
        <v>115057.0</v>
      </c>
      <c r="L91" s="50" t="s">
        <v>2430</v>
      </c>
      <c r="M91" s="51" t="b">
        <v>1</v>
      </c>
      <c r="N91" s="53" t="s">
        <v>2493</v>
      </c>
      <c r="O91" s="50" t="s">
        <v>1928</v>
      </c>
    </row>
    <row r="92">
      <c r="A92" s="28" t="s">
        <v>2511</v>
      </c>
      <c r="B92" s="28">
        <v>70.0</v>
      </c>
      <c r="C92" s="48" t="str">
        <f>HYPERLINK("http://ecotaxoserver.obs-vlfr.fr/browsetaxo/?id=85308","85308")</f>
        <v>85308</v>
      </c>
      <c r="D92" s="28" t="s">
        <v>560</v>
      </c>
      <c r="E92" s="49"/>
      <c r="F92" s="49"/>
      <c r="G92" s="49"/>
      <c r="I92" s="28" t="s">
        <v>94</v>
      </c>
      <c r="J92" s="28"/>
      <c r="K92" s="24">
        <v>115057.0</v>
      </c>
      <c r="L92" s="50" t="s">
        <v>2432</v>
      </c>
      <c r="M92" s="51" t="b">
        <v>1</v>
      </c>
      <c r="N92" s="53" t="s">
        <v>2493</v>
      </c>
      <c r="O92" s="50" t="s">
        <v>1928</v>
      </c>
    </row>
    <row r="93">
      <c r="A93" s="28" t="s">
        <v>2512</v>
      </c>
      <c r="B93" s="28">
        <v>50.0</v>
      </c>
      <c r="C93" s="48" t="str">
        <f>HYPERLINK("http://ecotaxoserver.obs-vlfr.fr/browsetaxo/?id=85309","85309")</f>
        <v>85309</v>
      </c>
      <c r="D93" s="28" t="s">
        <v>560</v>
      </c>
      <c r="E93" s="49"/>
      <c r="F93" s="49"/>
      <c r="G93" s="49"/>
      <c r="I93" s="28" t="s">
        <v>94</v>
      </c>
      <c r="J93" s="28"/>
      <c r="K93" s="24">
        <v>115057.0</v>
      </c>
      <c r="L93" s="50" t="s">
        <v>2434</v>
      </c>
      <c r="M93" s="51" t="b">
        <v>1</v>
      </c>
      <c r="N93" s="53" t="s">
        <v>2493</v>
      </c>
      <c r="O93" s="50" t="s">
        <v>1928</v>
      </c>
    </row>
    <row r="94">
      <c r="A94" s="28" t="s">
        <v>2513</v>
      </c>
      <c r="B94" s="28">
        <v>100.0</v>
      </c>
      <c r="C94" s="48" t="str">
        <f>HYPERLINK("http://ecotaxoserver.obs-vlfr.fr/browsetaxo/?id=85310","85310")</f>
        <v>85310</v>
      </c>
      <c r="D94" s="28" t="s">
        <v>560</v>
      </c>
      <c r="E94" s="49"/>
      <c r="F94" s="49"/>
      <c r="G94" s="49"/>
      <c r="I94" s="28" t="s">
        <v>94</v>
      </c>
      <c r="J94" s="28"/>
      <c r="K94" s="24">
        <v>115057.0</v>
      </c>
      <c r="L94" s="50" t="s">
        <v>2436</v>
      </c>
      <c r="M94" s="51" t="b">
        <v>1</v>
      </c>
      <c r="N94" s="53" t="s">
        <v>2493</v>
      </c>
      <c r="O94" s="50" t="s">
        <v>1928</v>
      </c>
    </row>
    <row r="95">
      <c r="A95" s="28" t="s">
        <v>2514</v>
      </c>
      <c r="B95" s="28">
        <v>5665.0</v>
      </c>
      <c r="C95" s="48" t="str">
        <f>HYPERLINK("http://ecotaxoserver.obs-vlfr.fr/browsetaxo/?id=85213","85213")</f>
        <v>85213</v>
      </c>
      <c r="D95" s="28" t="s">
        <v>2515</v>
      </c>
      <c r="E95" s="49"/>
      <c r="F95" s="49"/>
      <c r="G95" s="49"/>
      <c r="I95" s="28" t="s">
        <v>94</v>
      </c>
      <c r="J95" s="28"/>
      <c r="K95" s="24">
        <v>115057.0</v>
      </c>
      <c r="L95" s="50" t="s">
        <v>2516</v>
      </c>
      <c r="M95" s="51" t="b">
        <v>1</v>
      </c>
      <c r="N95" s="53" t="s">
        <v>2517</v>
      </c>
      <c r="O95" s="50" t="s">
        <v>1928</v>
      </c>
    </row>
    <row r="96">
      <c r="A96" s="28" t="s">
        <v>2518</v>
      </c>
      <c r="B96" s="28">
        <v>6.0</v>
      </c>
      <c r="C96" s="48" t="str">
        <f>HYPERLINK("http://ecotaxoserver.obs-vlfr.fr/browsetaxo/?id=92679","92679")</f>
        <v>92679</v>
      </c>
      <c r="D96" s="28" t="s">
        <v>128</v>
      </c>
      <c r="E96" s="49"/>
      <c r="F96" s="49"/>
      <c r="G96" s="49"/>
      <c r="I96" s="50" t="s">
        <v>1927</v>
      </c>
      <c r="J96" s="24">
        <v>115057.0</v>
      </c>
      <c r="L96" s="28"/>
      <c r="M96" s="55" t="b">
        <v>0</v>
      </c>
      <c r="N96" s="54"/>
      <c r="O96" s="50" t="s">
        <v>1928</v>
      </c>
    </row>
    <row r="97">
      <c r="A97" s="28" t="s">
        <v>2519</v>
      </c>
      <c r="B97" s="28">
        <v>3827.0</v>
      </c>
      <c r="C97" s="48" t="str">
        <f>HYPERLINK("http://ecotaxoserver.obs-vlfr.fr/browsetaxo/?id=92044","92044")</f>
        <v>92044</v>
      </c>
      <c r="D97" s="28" t="s">
        <v>571</v>
      </c>
      <c r="E97" s="49"/>
      <c r="F97" s="49"/>
      <c r="G97" s="49"/>
      <c r="I97" s="28" t="s">
        <v>94</v>
      </c>
      <c r="L97" s="62"/>
      <c r="M97" s="55" t="b">
        <v>0</v>
      </c>
      <c r="N97" s="68" t="s">
        <v>2520</v>
      </c>
      <c r="O97" s="24" t="s">
        <v>1928</v>
      </c>
    </row>
    <row r="98">
      <c r="A98" s="28" t="s">
        <v>2521</v>
      </c>
      <c r="B98" s="28">
        <v>3541.0</v>
      </c>
      <c r="C98" s="48" t="str">
        <f>HYPERLINK("http://ecotaxoserver.obs-vlfr.fr/browsetaxo/?id=25827","25827")</f>
        <v>25827</v>
      </c>
      <c r="D98" s="28" t="s">
        <v>580</v>
      </c>
      <c r="E98" s="49"/>
      <c r="F98" s="49"/>
      <c r="G98" s="49"/>
      <c r="I98" s="50" t="s">
        <v>1927</v>
      </c>
      <c r="J98" s="50">
        <v>1080.0</v>
      </c>
      <c r="K98" s="50"/>
      <c r="L98" s="50"/>
      <c r="M98" s="55" t="b">
        <v>0</v>
      </c>
      <c r="N98" s="54"/>
      <c r="O98" s="50" t="s">
        <v>2387</v>
      </c>
    </row>
    <row r="99">
      <c r="A99" s="28" t="s">
        <v>2522</v>
      </c>
      <c r="B99" s="28">
        <v>675.0</v>
      </c>
      <c r="C99" s="48" t="str">
        <f>HYPERLINK("http://ecotaxoserver.obs-vlfr.fr/browsetaxo/?id=45075","45075")</f>
        <v>45075</v>
      </c>
      <c r="D99" s="28" t="s">
        <v>2521</v>
      </c>
      <c r="E99" s="49"/>
      <c r="F99" s="49"/>
      <c r="G99" s="49"/>
      <c r="I99" s="50" t="s">
        <v>1927</v>
      </c>
      <c r="J99" s="50">
        <v>1080.0</v>
      </c>
      <c r="K99" s="50"/>
      <c r="L99" s="50"/>
      <c r="M99" s="55" t="b">
        <v>0</v>
      </c>
      <c r="N99" s="54"/>
      <c r="O99" s="50" t="s">
        <v>2387</v>
      </c>
    </row>
    <row r="100">
      <c r="A100" s="28" t="s">
        <v>2523</v>
      </c>
      <c r="B100" s="28">
        <v>11873.0</v>
      </c>
      <c r="C100" s="48" t="str">
        <f>HYPERLINK("http://ecotaxoserver.obs-vlfr.fr/browsetaxo/?id=92323","92323")</f>
        <v>92323</v>
      </c>
      <c r="D100" s="28" t="s">
        <v>111</v>
      </c>
      <c r="E100" s="49"/>
      <c r="F100" s="49"/>
      <c r="G100" s="49"/>
      <c r="I100" s="28" t="s">
        <v>94</v>
      </c>
      <c r="J100" s="28"/>
      <c r="K100" s="61">
        <v>1100.0</v>
      </c>
      <c r="L100" s="50"/>
      <c r="M100" s="51" t="b">
        <v>1</v>
      </c>
      <c r="N100" s="54"/>
      <c r="O100" s="50" t="s">
        <v>1928</v>
      </c>
    </row>
    <row r="101">
      <c r="A101" s="28" t="s">
        <v>2523</v>
      </c>
      <c r="B101" s="28">
        <v>1034.0</v>
      </c>
      <c r="C101" s="48" t="str">
        <f>HYPERLINK("http://ecotaxoserver.obs-vlfr.fr/browsetaxo/?id=92316","92316")</f>
        <v>92316</v>
      </c>
      <c r="D101" s="28" t="s">
        <v>538</v>
      </c>
      <c r="E101" s="49"/>
      <c r="F101" s="49"/>
      <c r="G101" s="49"/>
      <c r="I101" s="28" t="s">
        <v>94</v>
      </c>
      <c r="J101" s="28"/>
      <c r="K101" s="61">
        <v>104082.0</v>
      </c>
      <c r="L101" s="50"/>
      <c r="M101" s="51" t="b">
        <v>1</v>
      </c>
      <c r="N101" s="54"/>
      <c r="O101" s="50" t="s">
        <v>2387</v>
      </c>
    </row>
    <row r="102">
      <c r="A102" s="28" t="s">
        <v>2523</v>
      </c>
      <c r="B102" s="28">
        <v>395.0</v>
      </c>
      <c r="C102" s="48" t="str">
        <f>HYPERLINK("http://ecotaxoserver.obs-vlfr.fr/browsetaxo/?id=92315","92315")</f>
        <v>92315</v>
      </c>
      <c r="D102" s="28" t="s">
        <v>1298</v>
      </c>
      <c r="E102" s="49"/>
      <c r="F102" s="49"/>
      <c r="G102" s="49"/>
      <c r="I102" s="28" t="s">
        <v>94</v>
      </c>
      <c r="J102" s="28"/>
      <c r="K102" s="61">
        <v>106422.0</v>
      </c>
      <c r="L102" s="50"/>
      <c r="M102" s="51" t="b">
        <v>1</v>
      </c>
      <c r="N102" s="54"/>
      <c r="O102" s="50" t="s">
        <v>2387</v>
      </c>
    </row>
    <row r="103">
      <c r="A103" s="28" t="s">
        <v>2523</v>
      </c>
      <c r="B103" s="28">
        <v>335.0</v>
      </c>
      <c r="C103" s="48" t="str">
        <f>HYPERLINK("http://ecotaxoserver.obs-vlfr.fr/browsetaxo/?id=92317","92317")</f>
        <v>92317</v>
      </c>
      <c r="D103" s="28" t="s">
        <v>122</v>
      </c>
      <c r="E103" s="49"/>
      <c r="F103" s="49"/>
      <c r="G103" s="49"/>
      <c r="I103" s="28" t="s">
        <v>94</v>
      </c>
      <c r="J103" s="28"/>
      <c r="K103" s="61">
        <v>104093.0</v>
      </c>
      <c r="L103" s="50"/>
      <c r="M103" s="51" t="b">
        <v>1</v>
      </c>
      <c r="N103" s="54"/>
      <c r="O103" s="50" t="s">
        <v>2387</v>
      </c>
    </row>
    <row r="104">
      <c r="A104" s="28" t="s">
        <v>2523</v>
      </c>
      <c r="B104" s="28">
        <v>220.0</v>
      </c>
      <c r="C104" s="48" t="str">
        <f>HYPERLINK("http://ecotaxoserver.obs-vlfr.fr/browsetaxo/?id=92320","92320")</f>
        <v>92320</v>
      </c>
      <c r="D104" s="28" t="s">
        <v>1313</v>
      </c>
      <c r="E104" s="49"/>
      <c r="F104" s="49"/>
      <c r="G104" s="49"/>
      <c r="I104" s="28" t="s">
        <v>94</v>
      </c>
      <c r="J104" s="28"/>
      <c r="K104" s="61">
        <v>128586.0</v>
      </c>
      <c r="L104" s="50"/>
      <c r="M104" s="51" t="b">
        <v>1</v>
      </c>
      <c r="N104" s="54"/>
      <c r="O104" s="50" t="s">
        <v>2387</v>
      </c>
    </row>
    <row r="105">
      <c r="A105" s="28" t="s">
        <v>2523</v>
      </c>
      <c r="B105" s="28">
        <v>131.0</v>
      </c>
      <c r="C105" s="48" t="str">
        <f>HYPERLINK("http://ecotaxoserver.obs-vlfr.fr/browsetaxo/?id=92322","92322")</f>
        <v>92322</v>
      </c>
      <c r="D105" s="28" t="s">
        <v>110</v>
      </c>
      <c r="E105" s="49"/>
      <c r="F105" s="49"/>
      <c r="G105" s="49"/>
      <c r="I105" s="28" t="s">
        <v>94</v>
      </c>
      <c r="J105" s="28"/>
      <c r="K105" s="61">
        <v>104074.0</v>
      </c>
      <c r="L105" s="50"/>
      <c r="M105" s="51" t="b">
        <v>1</v>
      </c>
      <c r="N105" s="54"/>
      <c r="O105" s="50" t="s">
        <v>2387</v>
      </c>
    </row>
    <row r="106">
      <c r="A106" s="28" t="s">
        <v>2523</v>
      </c>
      <c r="B106" s="28">
        <v>101.0</v>
      </c>
      <c r="C106" s="48" t="str">
        <f>HYPERLINK("http://ecotaxoserver.obs-vlfr.fr/browsetaxo/?id=92321","92321")</f>
        <v>92321</v>
      </c>
      <c r="D106" s="28" t="s">
        <v>435</v>
      </c>
      <c r="E106" s="49"/>
      <c r="F106" s="49"/>
      <c r="G106" s="49"/>
      <c r="I106" s="28" t="s">
        <v>94</v>
      </c>
      <c r="J106" s="28"/>
      <c r="K106" s="61">
        <v>104081.0</v>
      </c>
      <c r="L106" s="50"/>
      <c r="M106" s="51" t="b">
        <v>1</v>
      </c>
      <c r="N106" s="54"/>
      <c r="O106" s="50" t="s">
        <v>2387</v>
      </c>
    </row>
    <row r="107">
      <c r="A107" s="28" t="s">
        <v>2524</v>
      </c>
      <c r="B107" s="28">
        <v>2.0</v>
      </c>
      <c r="C107" s="48" t="str">
        <f>HYPERLINK("http://ecotaxoserver.obs-vlfr.fr/browsetaxo/?id=48198","48198")</f>
        <v>48198</v>
      </c>
      <c r="D107" s="28" t="s">
        <v>499</v>
      </c>
      <c r="E107" s="49"/>
      <c r="F107" s="49"/>
      <c r="G107" s="49"/>
      <c r="I107" s="28" t="s">
        <v>94</v>
      </c>
      <c r="J107" s="28"/>
      <c r="K107" s="28"/>
      <c r="L107" s="28"/>
      <c r="M107" s="55" t="b">
        <v>0</v>
      </c>
      <c r="N107" s="53" t="s">
        <v>2464</v>
      </c>
      <c r="O107" s="50" t="s">
        <v>1928</v>
      </c>
    </row>
    <row r="108">
      <c r="A108" s="28" t="s">
        <v>2525</v>
      </c>
      <c r="B108" s="28">
        <v>20.0</v>
      </c>
      <c r="C108" s="48" t="str">
        <f>HYPERLINK("http://ecotaxoserver.obs-vlfr.fr/browsetaxo/?id=83773","83773")</f>
        <v>83773</v>
      </c>
      <c r="D108" s="28" t="s">
        <v>2526</v>
      </c>
      <c r="E108" s="56">
        <v>101489.0</v>
      </c>
      <c r="F108" s="49" t="s">
        <v>2371</v>
      </c>
      <c r="G108" s="56">
        <v>101489.0</v>
      </c>
      <c r="H108" s="22" t="s">
        <v>2525</v>
      </c>
      <c r="I108" s="28" t="s">
        <v>94</v>
      </c>
      <c r="J108" s="56">
        <v>101489.0</v>
      </c>
      <c r="K108" s="28"/>
      <c r="L108" s="28"/>
      <c r="M108" s="55" t="b">
        <v>0</v>
      </c>
      <c r="N108" s="54"/>
      <c r="O108" s="50" t="s">
        <v>2489</v>
      </c>
    </row>
    <row r="109">
      <c r="A109" s="28" t="s">
        <v>269</v>
      </c>
      <c r="B109" s="28">
        <v>2039.0</v>
      </c>
      <c r="C109" s="48" t="str">
        <f>HYPERLINK("http://ecotaxoserver.obs-vlfr.fr/browsetaxo/?id=17527","17527")</f>
        <v>17527</v>
      </c>
      <c r="D109" s="28" t="s">
        <v>2527</v>
      </c>
      <c r="E109" s="49"/>
      <c r="F109" s="49"/>
      <c r="G109" s="49"/>
      <c r="I109" s="50" t="s">
        <v>1927</v>
      </c>
      <c r="J109" s="24">
        <v>148971.0</v>
      </c>
      <c r="K109" s="28"/>
      <c r="L109" s="50"/>
      <c r="M109" s="55" t="b">
        <v>0</v>
      </c>
      <c r="N109" s="54"/>
      <c r="O109" s="50" t="s">
        <v>1928</v>
      </c>
    </row>
    <row r="110">
      <c r="A110" s="28" t="s">
        <v>2527</v>
      </c>
      <c r="B110" s="28">
        <v>3006.0</v>
      </c>
      <c r="C110" s="48" t="str">
        <f>HYPERLINK("http://ecotaxoserver.obs-vlfr.fr/browsetaxo/?id=13459","13459")</f>
        <v>13459</v>
      </c>
      <c r="D110" s="28" t="s">
        <v>2134</v>
      </c>
      <c r="E110" s="56"/>
      <c r="F110" s="49"/>
      <c r="G110" s="56"/>
      <c r="I110" s="28" t="s">
        <v>94</v>
      </c>
      <c r="J110" s="24">
        <v>148971.0</v>
      </c>
      <c r="K110" s="28"/>
      <c r="L110" s="50"/>
      <c r="M110" s="55" t="b">
        <v>0</v>
      </c>
      <c r="N110" s="54"/>
      <c r="O110" s="50" t="s">
        <v>1928</v>
      </c>
    </row>
    <row r="111">
      <c r="A111" s="28" t="s">
        <v>2528</v>
      </c>
      <c r="B111" s="28">
        <v>22.0</v>
      </c>
      <c r="C111" s="48" t="str">
        <f>HYPERLINK("http://ecotaxoserver.obs-vlfr.fr/browsetaxo/?id=20637","20637")</f>
        <v>20637</v>
      </c>
      <c r="D111" s="28" t="s">
        <v>2529</v>
      </c>
      <c r="E111" s="56">
        <v>178617.0</v>
      </c>
      <c r="F111" s="49" t="s">
        <v>2371</v>
      </c>
      <c r="G111" s="56">
        <v>178617.0</v>
      </c>
      <c r="H111" s="22" t="s">
        <v>2528</v>
      </c>
      <c r="I111" s="28" t="s">
        <v>94</v>
      </c>
      <c r="J111" s="56">
        <v>178617.0</v>
      </c>
      <c r="K111" s="28"/>
      <c r="L111" s="28"/>
      <c r="M111" s="55" t="b">
        <v>0</v>
      </c>
      <c r="N111" s="54"/>
      <c r="O111" s="50" t="s">
        <v>2489</v>
      </c>
    </row>
    <row r="112">
      <c r="A112" s="28" t="s">
        <v>2530</v>
      </c>
      <c r="B112" s="28">
        <v>17936.0</v>
      </c>
      <c r="C112" s="48" t="str">
        <f>HYPERLINK("http://ecotaxoserver.obs-vlfr.fr/browsetaxo/?id=92275","92275")</f>
        <v>92275</v>
      </c>
      <c r="D112" s="28" t="s">
        <v>386</v>
      </c>
      <c r="E112" s="49"/>
      <c r="F112" s="49"/>
      <c r="G112" s="49"/>
      <c r="I112" s="28" t="s">
        <v>94</v>
      </c>
      <c r="J112" s="28"/>
      <c r="K112" s="24">
        <v>104152.0</v>
      </c>
      <c r="L112" s="50" t="s">
        <v>2531</v>
      </c>
      <c r="M112" s="51" t="b">
        <v>1</v>
      </c>
      <c r="N112" s="53" t="s">
        <v>2532</v>
      </c>
      <c r="O112" s="50" t="s">
        <v>1928</v>
      </c>
    </row>
    <row r="113">
      <c r="A113" s="28" t="s">
        <v>2530</v>
      </c>
      <c r="B113" s="28">
        <v>2026.0</v>
      </c>
      <c r="C113" s="48" t="str">
        <f>HYPERLINK("http://ecotaxoserver.obs-vlfr.fr/browsetaxo/?id=92268","92268")</f>
        <v>92268</v>
      </c>
      <c r="D113" s="28" t="s">
        <v>1192</v>
      </c>
      <c r="E113" s="49"/>
      <c r="F113" s="49"/>
      <c r="G113" s="49"/>
      <c r="I113" s="28" t="s">
        <v>94</v>
      </c>
      <c r="J113" s="28"/>
      <c r="K113" s="24">
        <v>104632.0</v>
      </c>
      <c r="L113" s="50" t="s">
        <v>2531</v>
      </c>
      <c r="M113" s="51" t="b">
        <v>1</v>
      </c>
      <c r="N113" s="53" t="s">
        <v>2532</v>
      </c>
      <c r="O113" s="50" t="s">
        <v>1928</v>
      </c>
    </row>
    <row r="114">
      <c r="A114" s="28" t="s">
        <v>2530</v>
      </c>
      <c r="B114" s="28">
        <v>312.0</v>
      </c>
      <c r="C114" s="48" t="str">
        <f>HYPERLINK("http://ecotaxoserver.obs-vlfr.fr/browsetaxo/?id=92307","92307")</f>
        <v>92307</v>
      </c>
      <c r="D114" s="28" t="s">
        <v>388</v>
      </c>
      <c r="E114" s="49"/>
      <c r="F114" s="49"/>
      <c r="G114" s="49"/>
      <c r="I114" s="28" t="s">
        <v>94</v>
      </c>
      <c r="J114" s="28"/>
      <c r="K114" s="24">
        <v>104467.0</v>
      </c>
      <c r="L114" s="50" t="s">
        <v>2531</v>
      </c>
      <c r="M114" s="51" t="b">
        <v>1</v>
      </c>
      <c r="N114" s="53" t="s">
        <v>2532</v>
      </c>
      <c r="O114" s="50" t="s">
        <v>1928</v>
      </c>
    </row>
    <row r="115">
      <c r="A115" s="28" t="s">
        <v>2530</v>
      </c>
      <c r="B115" s="28">
        <v>194.0</v>
      </c>
      <c r="C115" s="48" t="str">
        <f>HYPERLINK("http://ecotaxoserver.obs-vlfr.fr/browsetaxo/?id=92255","92255")</f>
        <v>92255</v>
      </c>
      <c r="D115" s="28" t="s">
        <v>1556</v>
      </c>
      <c r="E115" s="49"/>
      <c r="F115" s="49"/>
      <c r="G115" s="49"/>
      <c r="I115" s="28" t="s">
        <v>94</v>
      </c>
      <c r="J115" s="28"/>
      <c r="K115" s="24">
        <v>104165.0</v>
      </c>
      <c r="L115" s="50" t="s">
        <v>2531</v>
      </c>
      <c r="M115" s="51" t="b">
        <v>1</v>
      </c>
      <c r="N115" s="53" t="s">
        <v>2532</v>
      </c>
      <c r="O115" s="50" t="s">
        <v>1928</v>
      </c>
    </row>
    <row r="116">
      <c r="A116" s="28" t="s">
        <v>2533</v>
      </c>
      <c r="B116" s="28">
        <v>61.0</v>
      </c>
      <c r="C116" s="48" t="str">
        <f>HYPERLINK("http://ecotaxoserver.obs-vlfr.fr/browsetaxo/?id=85202","85202")</f>
        <v>85202</v>
      </c>
      <c r="D116" s="28" t="s">
        <v>650</v>
      </c>
      <c r="E116" s="49"/>
      <c r="F116" s="49"/>
      <c r="G116" s="49"/>
      <c r="I116" s="28" t="s">
        <v>94</v>
      </c>
      <c r="J116" s="28"/>
      <c r="K116" s="24">
        <v>146537.0</v>
      </c>
      <c r="L116" s="50" t="s">
        <v>2534</v>
      </c>
      <c r="M116" s="51" t="b">
        <v>1</v>
      </c>
      <c r="N116" s="53" t="s">
        <v>2535</v>
      </c>
      <c r="O116" s="50" t="s">
        <v>1928</v>
      </c>
    </row>
    <row r="117">
      <c r="A117" s="28" t="s">
        <v>2536</v>
      </c>
      <c r="B117" s="28">
        <v>53.0</v>
      </c>
      <c r="C117" s="48" t="str">
        <f>HYPERLINK("http://ecotaxoserver.obs-vlfr.fr/browsetaxo/?id=85203","85203")</f>
        <v>85203</v>
      </c>
      <c r="D117" s="28" t="s">
        <v>650</v>
      </c>
      <c r="E117" s="49"/>
      <c r="F117" s="49"/>
      <c r="G117" s="49"/>
      <c r="I117" s="28" t="s">
        <v>94</v>
      </c>
      <c r="J117" s="28"/>
      <c r="K117" s="24">
        <v>146537.0</v>
      </c>
      <c r="L117" s="50" t="s">
        <v>2537</v>
      </c>
      <c r="M117" s="51" t="b">
        <v>1</v>
      </c>
      <c r="N117" s="53" t="s">
        <v>2535</v>
      </c>
      <c r="O117" s="50" t="s">
        <v>1928</v>
      </c>
    </row>
    <row r="118">
      <c r="A118" s="28" t="s">
        <v>2538</v>
      </c>
      <c r="B118" s="28">
        <v>100.0</v>
      </c>
      <c r="C118" s="48" t="str">
        <f>HYPERLINK("http://ecotaxoserver.obs-vlfr.fr/browsetaxo/?id=85204","85204")</f>
        <v>85204</v>
      </c>
      <c r="D118" s="28" t="s">
        <v>650</v>
      </c>
      <c r="E118" s="49"/>
      <c r="F118" s="49"/>
      <c r="G118" s="49"/>
      <c r="I118" s="28" t="s">
        <v>94</v>
      </c>
      <c r="J118" s="28"/>
      <c r="K118" s="24">
        <v>146537.0</v>
      </c>
      <c r="L118" s="50" t="s">
        <v>2457</v>
      </c>
      <c r="M118" s="51" t="b">
        <v>1</v>
      </c>
      <c r="N118" s="53" t="s">
        <v>2535</v>
      </c>
      <c r="O118" s="50" t="s">
        <v>1928</v>
      </c>
    </row>
    <row r="119">
      <c r="A119" s="28" t="s">
        <v>2539</v>
      </c>
      <c r="B119" s="28">
        <v>3.0</v>
      </c>
      <c r="C119" s="48" t="str">
        <f>HYPERLINK("http://ecotaxoserver.obs-vlfr.fr/browsetaxo/?id=62288","62288")</f>
        <v>62288</v>
      </c>
      <c r="D119" s="28" t="s">
        <v>318</v>
      </c>
      <c r="E119" s="56">
        <v>156849.0</v>
      </c>
      <c r="F119" s="49" t="s">
        <v>2371</v>
      </c>
      <c r="G119" s="56">
        <v>156849.0</v>
      </c>
      <c r="H119" s="22" t="s">
        <v>2539</v>
      </c>
      <c r="I119" s="28" t="s">
        <v>94</v>
      </c>
      <c r="J119" s="56">
        <v>156849.0</v>
      </c>
      <c r="K119" s="28"/>
      <c r="L119" s="28"/>
      <c r="M119" s="55" t="b">
        <v>0</v>
      </c>
      <c r="N119" s="54"/>
      <c r="O119" s="50" t="s">
        <v>2489</v>
      </c>
    </row>
    <row r="120">
      <c r="A120" s="28" t="s">
        <v>2540</v>
      </c>
      <c r="B120" s="28">
        <v>100.0</v>
      </c>
      <c r="C120" s="48" t="str">
        <f>HYPERLINK("http://ecotaxoserver.obs-vlfr.fr/browsetaxo/?id=85206","85206")</f>
        <v>85206</v>
      </c>
      <c r="D120" s="28" t="s">
        <v>2541</v>
      </c>
      <c r="E120" s="49"/>
      <c r="F120" s="49"/>
      <c r="G120" s="49"/>
      <c r="I120" s="28" t="s">
        <v>94</v>
      </c>
      <c r="J120" s="28"/>
      <c r="K120" s="50"/>
      <c r="L120" s="50" t="s">
        <v>2412</v>
      </c>
      <c r="M120" s="51" t="b">
        <v>1</v>
      </c>
      <c r="N120" s="53" t="s">
        <v>2542</v>
      </c>
      <c r="O120" s="50" t="s">
        <v>2387</v>
      </c>
    </row>
    <row r="121">
      <c r="A121" s="28" t="s">
        <v>2543</v>
      </c>
      <c r="B121" s="28">
        <v>169.0</v>
      </c>
      <c r="C121" s="48" t="str">
        <f>HYPERLINK("http://ecotaxoserver.obs-vlfr.fr/browsetaxo/?id=85207","85207")</f>
        <v>85207</v>
      </c>
      <c r="D121" s="28" t="s">
        <v>2541</v>
      </c>
      <c r="E121" s="49"/>
      <c r="F121" s="49"/>
      <c r="G121" s="49"/>
      <c r="I121" s="28" t="s">
        <v>94</v>
      </c>
      <c r="J121" s="28"/>
      <c r="K121" s="50"/>
      <c r="L121" s="50" t="s">
        <v>2424</v>
      </c>
      <c r="M121" s="51" t="b">
        <v>1</v>
      </c>
      <c r="N121" s="53" t="s">
        <v>2542</v>
      </c>
      <c r="O121" s="50" t="s">
        <v>2387</v>
      </c>
    </row>
    <row r="122">
      <c r="A122" s="28" t="s">
        <v>2544</v>
      </c>
      <c r="B122" s="28">
        <v>715.0</v>
      </c>
      <c r="C122" s="48" t="str">
        <f>HYPERLINK("http://ecotaxoserver.obs-vlfr.fr/browsetaxo/?id=85208","85208")</f>
        <v>85208</v>
      </c>
      <c r="D122" s="28" t="s">
        <v>2541</v>
      </c>
      <c r="E122" s="49"/>
      <c r="F122" s="49"/>
      <c r="G122" s="49"/>
      <c r="I122" s="28" t="s">
        <v>94</v>
      </c>
      <c r="J122" s="28"/>
      <c r="K122" s="50"/>
      <c r="L122" s="50" t="s">
        <v>2359</v>
      </c>
      <c r="M122" s="51" t="b">
        <v>1</v>
      </c>
      <c r="N122" s="53" t="s">
        <v>2542</v>
      </c>
      <c r="O122" s="50" t="s">
        <v>2387</v>
      </c>
    </row>
    <row r="123">
      <c r="A123" s="28" t="s">
        <v>2545</v>
      </c>
      <c r="B123" s="28">
        <v>560.0</v>
      </c>
      <c r="C123" s="48" t="str">
        <f>HYPERLINK("http://ecotaxoserver.obs-vlfr.fr/browsetaxo/?id=85209","85209")</f>
        <v>85209</v>
      </c>
      <c r="D123" s="28" t="s">
        <v>2541</v>
      </c>
      <c r="E123" s="49"/>
      <c r="F123" s="49"/>
      <c r="G123" s="49"/>
      <c r="I123" s="28" t="s">
        <v>94</v>
      </c>
      <c r="J123" s="28"/>
      <c r="K123" s="50"/>
      <c r="L123" s="50" t="s">
        <v>2361</v>
      </c>
      <c r="M123" s="51" t="b">
        <v>1</v>
      </c>
      <c r="N123" s="53" t="s">
        <v>2542</v>
      </c>
      <c r="O123" s="50" t="s">
        <v>2387</v>
      </c>
    </row>
    <row r="124">
      <c r="A124" s="28" t="s">
        <v>2546</v>
      </c>
      <c r="B124" s="28">
        <v>150.0</v>
      </c>
      <c r="C124" s="48" t="str">
        <f>HYPERLINK("http://ecotaxoserver.obs-vlfr.fr/browsetaxo/?id=85210","85210")</f>
        <v>85210</v>
      </c>
      <c r="D124" s="28" t="s">
        <v>2541</v>
      </c>
      <c r="E124" s="49"/>
      <c r="F124" s="49"/>
      <c r="G124" s="49"/>
      <c r="I124" s="28" t="s">
        <v>94</v>
      </c>
      <c r="J124" s="28"/>
      <c r="K124" s="50"/>
      <c r="L124" s="50" t="s">
        <v>2428</v>
      </c>
      <c r="M124" s="51" t="b">
        <v>1</v>
      </c>
      <c r="N124" s="53" t="s">
        <v>2542</v>
      </c>
      <c r="O124" s="50" t="s">
        <v>2387</v>
      </c>
    </row>
    <row r="125">
      <c r="A125" s="28" t="s">
        <v>2547</v>
      </c>
      <c r="B125" s="28">
        <v>99.0</v>
      </c>
      <c r="C125" s="48" t="str">
        <f>HYPERLINK("http://ecotaxoserver.obs-vlfr.fr/browsetaxo/?id=85211","85211")</f>
        <v>85211</v>
      </c>
      <c r="D125" s="28" t="s">
        <v>2541</v>
      </c>
      <c r="E125" s="49"/>
      <c r="F125" s="49"/>
      <c r="G125" s="49"/>
      <c r="I125" s="28" t="s">
        <v>94</v>
      </c>
      <c r="J125" s="28"/>
      <c r="K125" s="50"/>
      <c r="L125" s="50" t="s">
        <v>2430</v>
      </c>
      <c r="M125" s="51" t="b">
        <v>1</v>
      </c>
      <c r="N125" s="53" t="s">
        <v>2542</v>
      </c>
      <c r="O125" s="50" t="s">
        <v>2387</v>
      </c>
    </row>
    <row r="126">
      <c r="A126" s="28" t="s">
        <v>2548</v>
      </c>
      <c r="B126" s="28">
        <v>60.0</v>
      </c>
      <c r="C126" s="48" t="str">
        <f>HYPERLINK("http://ecotaxoserver.obs-vlfr.fr/browsetaxo/?id=85212","85212")</f>
        <v>85212</v>
      </c>
      <c r="D126" s="28" t="s">
        <v>2541</v>
      </c>
      <c r="E126" s="49"/>
      <c r="F126" s="49"/>
      <c r="G126" s="49"/>
      <c r="I126" s="28" t="s">
        <v>94</v>
      </c>
      <c r="J126" s="28"/>
      <c r="K126" s="50"/>
      <c r="L126" s="50" t="s">
        <v>2432</v>
      </c>
      <c r="M126" s="51" t="b">
        <v>1</v>
      </c>
      <c r="N126" s="53" t="s">
        <v>2542</v>
      </c>
      <c r="O126" s="50" t="s">
        <v>2387</v>
      </c>
    </row>
    <row r="127">
      <c r="A127" s="28" t="s">
        <v>2549</v>
      </c>
      <c r="B127" s="28">
        <v>46.0</v>
      </c>
      <c r="C127" s="48" t="str">
        <f>HYPERLINK("http://ecotaxoserver.obs-vlfr.fr/browsetaxo/?id=38408","38408")</f>
        <v>38408</v>
      </c>
      <c r="D127" s="28" t="s">
        <v>2550</v>
      </c>
      <c r="E127" s="49"/>
      <c r="F127" s="49"/>
      <c r="G127" s="49"/>
      <c r="I127" s="28" t="s">
        <v>94</v>
      </c>
      <c r="J127" s="28"/>
      <c r="K127" s="28"/>
      <c r="L127" s="50" t="s">
        <v>2550</v>
      </c>
      <c r="M127" s="51" t="b">
        <v>1</v>
      </c>
      <c r="N127" s="53" t="s">
        <v>2551</v>
      </c>
      <c r="O127" s="50" t="s">
        <v>1928</v>
      </c>
    </row>
    <row r="128">
      <c r="A128" s="28" t="s">
        <v>2552</v>
      </c>
      <c r="B128" s="28">
        <v>21520.0</v>
      </c>
      <c r="C128" s="48" t="str">
        <f>HYPERLINK("http://ecotaxoserver.obs-vlfr.fr/browsetaxo/?id=85217","85217")</f>
        <v>85217</v>
      </c>
      <c r="D128" s="28" t="s">
        <v>2553</v>
      </c>
      <c r="E128" s="49"/>
      <c r="F128" s="49"/>
      <c r="G128" s="49"/>
      <c r="I128" s="28" t="s">
        <v>94</v>
      </c>
      <c r="J128" s="28"/>
      <c r="K128" s="28"/>
      <c r="L128" s="28"/>
      <c r="M128" s="51" t="b">
        <v>1</v>
      </c>
      <c r="N128" s="54"/>
      <c r="O128" s="50" t="s">
        <v>1928</v>
      </c>
    </row>
    <row r="129">
      <c r="A129" s="28" t="s">
        <v>2554</v>
      </c>
      <c r="B129" s="28">
        <v>2.0</v>
      </c>
      <c r="C129" s="48" t="str">
        <f>HYPERLINK("http://ecotaxoserver.obs-vlfr.fr/browsetaxo/?id=45005","45005")</f>
        <v>45005</v>
      </c>
      <c r="D129" s="28" t="s">
        <v>1360</v>
      </c>
      <c r="E129" s="56">
        <v>173230.0</v>
      </c>
      <c r="F129" s="49" t="s">
        <v>2371</v>
      </c>
      <c r="G129" s="56">
        <v>173230.0</v>
      </c>
      <c r="H129" s="22" t="s">
        <v>2554</v>
      </c>
      <c r="I129" s="28" t="s">
        <v>94</v>
      </c>
      <c r="J129" s="56">
        <v>173230.0</v>
      </c>
      <c r="K129" s="28"/>
      <c r="L129" s="28"/>
      <c r="M129" s="55" t="b">
        <v>0</v>
      </c>
      <c r="N129" s="54"/>
      <c r="O129" s="50" t="s">
        <v>91</v>
      </c>
    </row>
    <row r="130">
      <c r="A130" s="28" t="s">
        <v>2555</v>
      </c>
      <c r="B130" s="28">
        <v>2.0</v>
      </c>
      <c r="C130" s="48" t="str">
        <f>HYPERLINK("http://ecotaxoserver.obs-vlfr.fr/browsetaxo/?id=48100","48100")</f>
        <v>48100</v>
      </c>
      <c r="D130" s="28" t="s">
        <v>499</v>
      </c>
      <c r="E130" s="49"/>
      <c r="F130" s="49"/>
      <c r="G130" s="49"/>
      <c r="I130" s="28" t="s">
        <v>94</v>
      </c>
      <c r="J130" s="49"/>
      <c r="K130" s="28"/>
      <c r="L130" s="28"/>
      <c r="M130" s="55" t="b">
        <v>0</v>
      </c>
      <c r="N130" s="53" t="s">
        <v>2464</v>
      </c>
      <c r="O130" s="50" t="s">
        <v>1928</v>
      </c>
    </row>
    <row r="131">
      <c r="A131" s="67" t="s">
        <v>2556</v>
      </c>
      <c r="B131" s="28">
        <v>294.0</v>
      </c>
      <c r="C131" s="48" t="str">
        <f>HYPERLINK("http://ecotaxoserver.obs-vlfr.fr/browsetaxo/?id=12485","12485")</f>
        <v>12485</v>
      </c>
      <c r="D131" s="28" t="s">
        <v>2488</v>
      </c>
      <c r="E131" s="56">
        <v>592884.0</v>
      </c>
      <c r="F131" s="49" t="s">
        <v>2371</v>
      </c>
      <c r="G131" s="56">
        <v>592884.0</v>
      </c>
      <c r="H131" s="22" t="s">
        <v>2556</v>
      </c>
      <c r="I131" s="28" t="s">
        <v>94</v>
      </c>
      <c r="J131" s="56">
        <v>592884.0</v>
      </c>
      <c r="K131" s="28"/>
      <c r="L131" s="28"/>
      <c r="M131" s="55" t="b">
        <v>0</v>
      </c>
      <c r="N131" s="54"/>
      <c r="O131" s="50" t="s">
        <v>91</v>
      </c>
    </row>
    <row r="132">
      <c r="A132" s="28" t="s">
        <v>2557</v>
      </c>
      <c r="B132" s="28">
        <v>9.0</v>
      </c>
      <c r="C132" s="48" t="str">
        <f>HYPERLINK("http://ecotaxoserver.obs-vlfr.fr/browsetaxo/?id=538","538")</f>
        <v>538</v>
      </c>
      <c r="D132" s="28" t="s">
        <v>2558</v>
      </c>
      <c r="E132" s="49"/>
      <c r="F132" s="49"/>
      <c r="G132" s="49"/>
      <c r="I132" s="28" t="s">
        <v>94</v>
      </c>
      <c r="J132" s="49"/>
      <c r="K132" s="28"/>
      <c r="L132" s="28"/>
      <c r="M132" s="55" t="b">
        <v>0</v>
      </c>
      <c r="N132" s="53" t="s">
        <v>2382</v>
      </c>
      <c r="O132" s="50" t="s">
        <v>1928</v>
      </c>
    </row>
    <row r="133">
      <c r="A133" s="28" t="s">
        <v>2559</v>
      </c>
      <c r="B133" s="28">
        <v>1.0</v>
      </c>
      <c r="C133" s="48" t="str">
        <f>HYPERLINK("http://ecotaxoserver.obs-vlfr.fr/browsetaxo/?id=3011","3011")</f>
        <v>3011</v>
      </c>
      <c r="D133" s="28" t="s">
        <v>2557</v>
      </c>
      <c r="E133" s="49"/>
      <c r="F133" s="49"/>
      <c r="G133" s="49"/>
      <c r="I133" s="28" t="s">
        <v>94</v>
      </c>
      <c r="J133" s="49"/>
      <c r="K133" s="28"/>
      <c r="L133" s="28"/>
      <c r="M133" s="55" t="b">
        <v>0</v>
      </c>
      <c r="N133" s="53" t="s">
        <v>2382</v>
      </c>
      <c r="O133" s="50" t="s">
        <v>1928</v>
      </c>
    </row>
    <row r="134">
      <c r="A134" s="28" t="s">
        <v>2560</v>
      </c>
      <c r="B134" s="28">
        <v>2.0</v>
      </c>
      <c r="C134" s="48" t="str">
        <f>HYPERLINK("http://ecotaxoserver.obs-vlfr.fr/browsetaxo/?id=48082","48082")</f>
        <v>48082</v>
      </c>
      <c r="D134" s="28" t="s">
        <v>499</v>
      </c>
      <c r="E134" s="49"/>
      <c r="F134" s="49"/>
      <c r="G134" s="49"/>
      <c r="I134" s="28" t="s">
        <v>94</v>
      </c>
      <c r="J134" s="49"/>
      <c r="K134" s="28"/>
      <c r="L134" s="28"/>
      <c r="M134" s="55" t="b">
        <v>0</v>
      </c>
      <c r="N134" s="53" t="s">
        <v>2464</v>
      </c>
      <c r="O134" s="50" t="s">
        <v>1928</v>
      </c>
    </row>
    <row r="135">
      <c r="A135" s="28" t="s">
        <v>2561</v>
      </c>
      <c r="B135" s="28">
        <v>4.0</v>
      </c>
      <c r="C135" s="48" t="str">
        <f>HYPERLINK("http://ecotaxoserver.obs-vlfr.fr/browsetaxo/?id=20815","20815")</f>
        <v>20815</v>
      </c>
      <c r="D135" s="28" t="s">
        <v>2562</v>
      </c>
      <c r="E135" s="49"/>
      <c r="F135" s="49"/>
      <c r="G135" s="49"/>
      <c r="I135" s="50" t="s">
        <v>1927</v>
      </c>
      <c r="J135" s="24">
        <v>178623.0</v>
      </c>
      <c r="K135" s="28"/>
      <c r="L135" s="28"/>
      <c r="M135" s="55" t="b">
        <v>0</v>
      </c>
      <c r="N135" s="54"/>
      <c r="O135" s="50" t="s">
        <v>1928</v>
      </c>
    </row>
    <row r="136">
      <c r="A136" s="28" t="s">
        <v>2563</v>
      </c>
      <c r="B136" s="28">
        <v>1.0</v>
      </c>
      <c r="C136" s="48" t="str">
        <f>HYPERLINK("http://ecotaxoserver.obs-vlfr.fr/browsetaxo/?id=14280","14280")</f>
        <v>14280</v>
      </c>
      <c r="D136" s="28" t="s">
        <v>2564</v>
      </c>
      <c r="E136" s="49"/>
      <c r="F136" s="49"/>
      <c r="G136" s="49"/>
      <c r="I136" s="28" t="s">
        <v>94</v>
      </c>
      <c r="J136" s="24">
        <v>136761.0</v>
      </c>
      <c r="K136" s="28"/>
      <c r="M136" s="55" t="b">
        <v>0</v>
      </c>
      <c r="N136" s="54"/>
      <c r="O136" s="50" t="s">
        <v>1928</v>
      </c>
    </row>
    <row r="137">
      <c r="A137" s="67" t="s">
        <v>2565</v>
      </c>
      <c r="B137" s="28">
        <v>7.0</v>
      </c>
      <c r="C137" s="48" t="str">
        <f>HYPERLINK("http://ecotaxoserver.obs-vlfr.fr/browsetaxo/?id=92835","92835")</f>
        <v>92835</v>
      </c>
      <c r="D137" s="28" t="s">
        <v>744</v>
      </c>
      <c r="E137" s="56">
        <v>109657.0</v>
      </c>
      <c r="F137" s="49" t="s">
        <v>2371</v>
      </c>
      <c r="G137" s="56">
        <v>109657.0</v>
      </c>
      <c r="H137" s="22" t="s">
        <v>755</v>
      </c>
      <c r="I137" s="28" t="s">
        <v>94</v>
      </c>
      <c r="J137" s="56">
        <v>109657.0</v>
      </c>
      <c r="K137" s="28"/>
      <c r="L137" s="28"/>
      <c r="M137" s="55" t="b">
        <v>0</v>
      </c>
      <c r="N137" s="54"/>
      <c r="O137" s="50" t="s">
        <v>91</v>
      </c>
    </row>
    <row r="138">
      <c r="A138" s="28" t="s">
        <v>2566</v>
      </c>
      <c r="B138" s="28">
        <v>14.0</v>
      </c>
      <c r="C138" s="48" t="str">
        <f>HYPERLINK("http://ecotaxoserver.obs-vlfr.fr/browsetaxo/?id=92694","92694")</f>
        <v>92694</v>
      </c>
      <c r="D138" s="28" t="s">
        <v>2091</v>
      </c>
      <c r="E138" s="49"/>
      <c r="F138" s="49"/>
      <c r="G138" s="49"/>
      <c r="I138" s="28" t="s">
        <v>94</v>
      </c>
      <c r="J138" s="24">
        <v>711979.0</v>
      </c>
      <c r="K138" s="28"/>
      <c r="L138" s="28"/>
      <c r="M138" s="55" t="b">
        <v>0</v>
      </c>
      <c r="N138" s="10"/>
      <c r="O138" s="24" t="s">
        <v>1928</v>
      </c>
    </row>
    <row r="139">
      <c r="A139" s="28" t="s">
        <v>2567</v>
      </c>
      <c r="B139" s="28">
        <v>8.0</v>
      </c>
      <c r="C139" s="48" t="str">
        <f>HYPERLINK("http://ecotaxoserver.obs-vlfr.fr/browsetaxo/?id=85698","85698")</f>
        <v>85698</v>
      </c>
      <c r="D139" s="28" t="s">
        <v>1399</v>
      </c>
      <c r="E139" s="49"/>
      <c r="F139" s="49"/>
      <c r="G139" s="49"/>
      <c r="I139" s="28" t="s">
        <v>94</v>
      </c>
      <c r="J139" s="24">
        <v>109435.0</v>
      </c>
      <c r="K139" s="28"/>
      <c r="L139" s="62"/>
      <c r="M139" s="55" t="b">
        <v>0</v>
      </c>
      <c r="N139" s="53" t="s">
        <v>2568</v>
      </c>
      <c r="O139" s="50" t="s">
        <v>1928</v>
      </c>
    </row>
    <row r="140">
      <c r="A140" s="28" t="s">
        <v>2569</v>
      </c>
      <c r="B140" s="28">
        <v>2.0</v>
      </c>
      <c r="C140" s="48" t="str">
        <f>HYPERLINK("http://ecotaxoserver.obs-vlfr.fr/browsetaxo/?id=83636","83636")</f>
        <v>83636</v>
      </c>
      <c r="D140" s="28" t="s">
        <v>424</v>
      </c>
      <c r="E140" s="56">
        <v>240676.0</v>
      </c>
      <c r="F140" s="49" t="s">
        <v>2371</v>
      </c>
      <c r="G140" s="56">
        <v>240676.0</v>
      </c>
      <c r="H140" s="22" t="s">
        <v>2569</v>
      </c>
      <c r="I140" s="28" t="s">
        <v>94</v>
      </c>
      <c r="J140" s="56">
        <v>240676.0</v>
      </c>
      <c r="K140" s="28"/>
      <c r="L140" s="28"/>
      <c r="M140" s="55" t="b">
        <v>0</v>
      </c>
      <c r="N140" s="54"/>
      <c r="O140" s="50" t="s">
        <v>91</v>
      </c>
    </row>
    <row r="141">
      <c r="A141" s="28" t="s">
        <v>1982</v>
      </c>
      <c r="B141" s="28">
        <v>2.0</v>
      </c>
      <c r="C141" s="48" t="str">
        <f>HYPERLINK("http://ecotaxoserver.obs-vlfr.fr/browsetaxo/?id=386","386")</f>
        <v>386</v>
      </c>
      <c r="D141" s="28" t="s">
        <v>858</v>
      </c>
      <c r="E141" s="49"/>
      <c r="F141" s="49"/>
      <c r="G141" s="49"/>
      <c r="I141" s="28" t="s">
        <v>94</v>
      </c>
      <c r="J141" s="30"/>
      <c r="K141" s="30"/>
      <c r="M141" s="55" t="b">
        <v>0</v>
      </c>
      <c r="N141" s="10" t="s">
        <v>2570</v>
      </c>
      <c r="O141" s="24" t="s">
        <v>1928</v>
      </c>
    </row>
    <row r="142">
      <c r="A142" s="28" t="s">
        <v>2571</v>
      </c>
      <c r="B142" s="28">
        <v>80520.0</v>
      </c>
      <c r="C142" s="48" t="str">
        <f>HYPERLINK("http://ecotaxoserver.obs-vlfr.fr/browsetaxo/?id=85340","85340")</f>
        <v>85340</v>
      </c>
      <c r="D142" s="28" t="s">
        <v>2572</v>
      </c>
      <c r="E142" s="49"/>
      <c r="F142" s="49"/>
      <c r="G142" s="49"/>
      <c r="I142" s="28" t="s">
        <v>94</v>
      </c>
      <c r="J142" s="28"/>
      <c r="K142" s="24">
        <v>125465.0</v>
      </c>
      <c r="L142" s="50" t="s">
        <v>2480</v>
      </c>
      <c r="M142" s="51" t="b">
        <v>1</v>
      </c>
      <c r="N142" s="53" t="s">
        <v>2573</v>
      </c>
      <c r="O142" s="50" t="s">
        <v>1928</v>
      </c>
    </row>
    <row r="143">
      <c r="A143" s="28" t="s">
        <v>2571</v>
      </c>
      <c r="B143" s="28">
        <v>7470.0</v>
      </c>
      <c r="C143" s="48" t="str">
        <f>HYPERLINK("http://ecotaxoserver.obs-vlfr.fr/browsetaxo/?id=85346","85346")</f>
        <v>85346</v>
      </c>
      <c r="D143" s="28" t="s">
        <v>2574</v>
      </c>
      <c r="E143" s="49"/>
      <c r="F143" s="49"/>
      <c r="G143" s="49"/>
      <c r="I143" s="28" t="s">
        <v>94</v>
      </c>
      <c r="J143" s="28"/>
      <c r="K143" s="24">
        <v>125720.0</v>
      </c>
      <c r="L143" s="50" t="s">
        <v>2480</v>
      </c>
      <c r="M143" s="51" t="b">
        <v>1</v>
      </c>
      <c r="N143" s="53" t="s">
        <v>2575</v>
      </c>
      <c r="O143" s="50" t="s">
        <v>1928</v>
      </c>
    </row>
    <row r="144">
      <c r="A144" s="28" t="s">
        <v>2576</v>
      </c>
      <c r="B144" s="28">
        <v>37092.0</v>
      </c>
      <c r="C144" s="48" t="str">
        <f>HYPERLINK("http://ecotaxoserver.obs-vlfr.fr/browsetaxo/?id=85341","85341")</f>
        <v>85341</v>
      </c>
      <c r="D144" s="28" t="s">
        <v>2572</v>
      </c>
      <c r="E144" s="49"/>
      <c r="F144" s="49"/>
      <c r="G144" s="49"/>
      <c r="I144" s="28" t="s">
        <v>94</v>
      </c>
      <c r="J144" s="28"/>
      <c r="K144" s="24">
        <v>125465.0</v>
      </c>
      <c r="L144" s="50" t="s">
        <v>2577</v>
      </c>
      <c r="M144" s="51" t="b">
        <v>1</v>
      </c>
      <c r="N144" s="53" t="s">
        <v>2573</v>
      </c>
      <c r="O144" s="50" t="s">
        <v>1928</v>
      </c>
    </row>
    <row r="145">
      <c r="A145" s="28" t="s">
        <v>2576</v>
      </c>
      <c r="B145" s="28">
        <v>9924.0</v>
      </c>
      <c r="C145" s="48" t="str">
        <f>HYPERLINK("http://ecotaxoserver.obs-vlfr.fr/browsetaxo/?id=85347","85347")</f>
        <v>85347</v>
      </c>
      <c r="D145" s="28" t="s">
        <v>2574</v>
      </c>
      <c r="E145" s="49"/>
      <c r="F145" s="49"/>
      <c r="G145" s="49"/>
      <c r="I145" s="28" t="s">
        <v>94</v>
      </c>
      <c r="J145" s="28"/>
      <c r="K145" s="24">
        <v>125720.0</v>
      </c>
      <c r="L145" s="50" t="s">
        <v>2577</v>
      </c>
      <c r="M145" s="51" t="b">
        <v>1</v>
      </c>
      <c r="N145" s="53" t="s">
        <v>2575</v>
      </c>
      <c r="O145" s="50" t="s">
        <v>1928</v>
      </c>
    </row>
    <row r="146">
      <c r="A146" s="28" t="s">
        <v>2578</v>
      </c>
      <c r="B146" s="28">
        <v>28647.0</v>
      </c>
      <c r="C146" s="48" t="str">
        <f>HYPERLINK("http://ecotaxoserver.obs-vlfr.fr/browsetaxo/?id=85342","85342")</f>
        <v>85342</v>
      </c>
      <c r="D146" s="28" t="s">
        <v>2572</v>
      </c>
      <c r="E146" s="49"/>
      <c r="F146" s="49"/>
      <c r="G146" s="49"/>
      <c r="I146" s="28" t="s">
        <v>94</v>
      </c>
      <c r="J146" s="28"/>
      <c r="K146" s="24">
        <v>125465.0</v>
      </c>
      <c r="L146" s="50" t="s">
        <v>2579</v>
      </c>
      <c r="M146" s="51" t="b">
        <v>1</v>
      </c>
      <c r="N146" s="53" t="s">
        <v>2573</v>
      </c>
      <c r="O146" s="50" t="s">
        <v>1928</v>
      </c>
    </row>
    <row r="147">
      <c r="A147" s="28" t="s">
        <v>2578</v>
      </c>
      <c r="B147" s="28">
        <v>5610.0</v>
      </c>
      <c r="C147" s="48" t="str">
        <f>HYPERLINK("http://ecotaxoserver.obs-vlfr.fr/browsetaxo/?id=85348","85348")</f>
        <v>85348</v>
      </c>
      <c r="D147" s="28" t="s">
        <v>2574</v>
      </c>
      <c r="E147" s="49"/>
      <c r="F147" s="49"/>
      <c r="G147" s="49"/>
      <c r="I147" s="28" t="s">
        <v>94</v>
      </c>
      <c r="J147" s="28"/>
      <c r="K147" s="24">
        <v>125720.0</v>
      </c>
      <c r="L147" s="50" t="s">
        <v>2579</v>
      </c>
      <c r="M147" s="51" t="b">
        <v>1</v>
      </c>
      <c r="N147" s="53" t="s">
        <v>2575</v>
      </c>
      <c r="O147" s="50" t="s">
        <v>1928</v>
      </c>
    </row>
    <row r="148">
      <c r="A148" s="28" t="s">
        <v>2580</v>
      </c>
      <c r="B148" s="28">
        <v>11171.0</v>
      </c>
      <c r="C148" s="48" t="str">
        <f>HYPERLINK("http://ecotaxoserver.obs-vlfr.fr/browsetaxo/?id=85343","85343")</f>
        <v>85343</v>
      </c>
      <c r="D148" s="28" t="s">
        <v>2572</v>
      </c>
      <c r="E148" s="49"/>
      <c r="F148" s="49"/>
      <c r="G148" s="49"/>
      <c r="I148" s="28" t="s">
        <v>94</v>
      </c>
      <c r="J148" s="28"/>
      <c r="K148" s="24">
        <v>125465.0</v>
      </c>
      <c r="L148" s="50" t="s">
        <v>2581</v>
      </c>
      <c r="M148" s="51" t="b">
        <v>1</v>
      </c>
      <c r="N148" s="53" t="s">
        <v>2573</v>
      </c>
      <c r="O148" s="50" t="s">
        <v>1928</v>
      </c>
    </row>
    <row r="149">
      <c r="A149" s="28" t="s">
        <v>2580</v>
      </c>
      <c r="B149" s="28">
        <v>1144.0</v>
      </c>
      <c r="C149" s="48" t="str">
        <f>HYPERLINK("http://ecotaxoserver.obs-vlfr.fr/browsetaxo/?id=85349","85349")</f>
        <v>85349</v>
      </c>
      <c r="D149" s="28" t="s">
        <v>2574</v>
      </c>
      <c r="E149" s="49"/>
      <c r="F149" s="49"/>
      <c r="G149" s="49"/>
      <c r="I149" s="28" t="s">
        <v>94</v>
      </c>
      <c r="J149" s="28"/>
      <c r="K149" s="24">
        <v>125720.0</v>
      </c>
      <c r="L149" s="50" t="s">
        <v>2581</v>
      </c>
      <c r="M149" s="51" t="b">
        <v>1</v>
      </c>
      <c r="N149" s="53" t="s">
        <v>2575</v>
      </c>
      <c r="O149" s="50" t="s">
        <v>1928</v>
      </c>
    </row>
    <row r="150">
      <c r="A150" s="28" t="s">
        <v>2582</v>
      </c>
      <c r="B150" s="28">
        <v>1816.0</v>
      </c>
      <c r="C150" s="48" t="str">
        <f>HYPERLINK("http://ecotaxoserver.obs-vlfr.fr/browsetaxo/?id=85344","85344")</f>
        <v>85344</v>
      </c>
      <c r="D150" s="28" t="s">
        <v>2572</v>
      </c>
      <c r="E150" s="49"/>
      <c r="F150" s="49"/>
      <c r="G150" s="49"/>
      <c r="I150" s="28" t="s">
        <v>94</v>
      </c>
      <c r="J150" s="28"/>
      <c r="K150" s="24">
        <v>125465.0</v>
      </c>
      <c r="L150" s="50" t="s">
        <v>2583</v>
      </c>
      <c r="M150" s="51" t="b">
        <v>1</v>
      </c>
      <c r="N150" s="53" t="s">
        <v>2573</v>
      </c>
      <c r="O150" s="50" t="s">
        <v>1928</v>
      </c>
    </row>
    <row r="151">
      <c r="A151" s="28" t="s">
        <v>2582</v>
      </c>
      <c r="B151" s="28">
        <v>780.0</v>
      </c>
      <c r="C151" s="48" t="str">
        <f>HYPERLINK("http://ecotaxoserver.obs-vlfr.fr/browsetaxo/?id=85350","85350")</f>
        <v>85350</v>
      </c>
      <c r="D151" s="28" t="s">
        <v>2574</v>
      </c>
      <c r="E151" s="49"/>
      <c r="F151" s="49"/>
      <c r="G151" s="49"/>
      <c r="I151" s="28" t="s">
        <v>94</v>
      </c>
      <c r="J151" s="28"/>
      <c r="K151" s="24">
        <v>125720.0</v>
      </c>
      <c r="L151" s="50" t="s">
        <v>2583</v>
      </c>
      <c r="M151" s="51" t="b">
        <v>1</v>
      </c>
      <c r="N151" s="53" t="s">
        <v>2575</v>
      </c>
      <c r="O151" s="50" t="s">
        <v>1928</v>
      </c>
    </row>
    <row r="152">
      <c r="A152" s="28" t="s">
        <v>2584</v>
      </c>
      <c r="B152" s="28">
        <v>15279.0</v>
      </c>
      <c r="C152" s="48" t="str">
        <f>HYPERLINK("http://ecotaxoserver.obs-vlfr.fr/browsetaxo/?id=85345","85345")</f>
        <v>85345</v>
      </c>
      <c r="D152" s="28" t="s">
        <v>2572</v>
      </c>
      <c r="E152" s="49"/>
      <c r="F152" s="49"/>
      <c r="G152" s="49"/>
      <c r="I152" s="28" t="s">
        <v>94</v>
      </c>
      <c r="J152" s="28"/>
      <c r="K152" s="24">
        <v>125465.0</v>
      </c>
      <c r="L152" s="50" t="s">
        <v>2585</v>
      </c>
      <c r="M152" s="51" t="b">
        <v>1</v>
      </c>
      <c r="N152" s="53" t="s">
        <v>2573</v>
      </c>
      <c r="O152" s="50" t="s">
        <v>1928</v>
      </c>
    </row>
    <row r="153">
      <c r="A153" s="28" t="s">
        <v>2584</v>
      </c>
      <c r="B153" s="28">
        <v>7919.0</v>
      </c>
      <c r="C153" s="48" t="str">
        <f>HYPERLINK("http://ecotaxoserver.obs-vlfr.fr/browsetaxo/?id=85351","85351")</f>
        <v>85351</v>
      </c>
      <c r="D153" s="28" t="s">
        <v>2574</v>
      </c>
      <c r="E153" s="49"/>
      <c r="F153" s="49"/>
      <c r="G153" s="49"/>
      <c r="I153" s="28" t="s">
        <v>94</v>
      </c>
      <c r="J153" s="28"/>
      <c r="K153" s="24">
        <v>125720.0</v>
      </c>
      <c r="L153" s="50" t="s">
        <v>2585</v>
      </c>
      <c r="M153" s="51" t="b">
        <v>1</v>
      </c>
      <c r="N153" s="53" t="s">
        <v>2575</v>
      </c>
      <c r="O153" s="50" t="s">
        <v>1928</v>
      </c>
    </row>
    <row r="154">
      <c r="A154" s="28" t="s">
        <v>2586</v>
      </c>
      <c r="B154" s="28">
        <v>2214.0</v>
      </c>
      <c r="C154" s="48" t="str">
        <f>HYPERLINK("http://ecotaxoserver.obs-vlfr.fr/browsetaxo/?id=92237","92237")</f>
        <v>92237</v>
      </c>
      <c r="D154" s="28" t="s">
        <v>1628</v>
      </c>
      <c r="E154" s="49"/>
      <c r="F154" s="49"/>
      <c r="G154" s="49"/>
      <c r="I154" s="28" t="s">
        <v>94</v>
      </c>
      <c r="J154" s="28"/>
      <c r="L154" s="28"/>
      <c r="M154" s="51" t="b">
        <v>1</v>
      </c>
      <c r="N154" s="54"/>
      <c r="O154" s="50" t="s">
        <v>2387</v>
      </c>
    </row>
    <row r="155">
      <c r="A155" s="28" t="s">
        <v>2572</v>
      </c>
      <c r="B155" s="28">
        <v>378.0</v>
      </c>
      <c r="C155" s="48" t="str">
        <f>HYPERLINK("http://ecotaxoserver.obs-vlfr.fr/browsetaxo/?id=85337","85337")</f>
        <v>85337</v>
      </c>
      <c r="D155" s="28" t="s">
        <v>2587</v>
      </c>
      <c r="E155" s="49"/>
      <c r="F155" s="49"/>
      <c r="G155" s="49"/>
      <c r="I155" s="50"/>
      <c r="J155" s="28"/>
      <c r="K155" s="24">
        <v>125465.0</v>
      </c>
      <c r="L155" s="24" t="s">
        <v>2384</v>
      </c>
      <c r="M155" s="51" t="b">
        <v>1</v>
      </c>
      <c r="N155" s="10" t="s">
        <v>2588</v>
      </c>
      <c r="O155" s="50" t="s">
        <v>1928</v>
      </c>
    </row>
    <row r="156">
      <c r="A156" s="28" t="s">
        <v>2589</v>
      </c>
      <c r="B156" s="28">
        <v>84.0</v>
      </c>
      <c r="C156" s="48" t="str">
        <f>HYPERLINK("http://ecotaxoserver.obs-vlfr.fr/browsetaxo/?id=93602","93602")</f>
        <v>93602</v>
      </c>
      <c r="D156" s="28" t="s">
        <v>119</v>
      </c>
      <c r="E156" s="49"/>
      <c r="F156" s="49"/>
      <c r="G156" s="49"/>
      <c r="I156" s="28" t="s">
        <v>94</v>
      </c>
      <c r="J156" s="28"/>
      <c r="K156" s="24">
        <v>149130.0</v>
      </c>
      <c r="L156" s="50" t="s">
        <v>2447</v>
      </c>
      <c r="M156" s="51" t="b">
        <v>1</v>
      </c>
      <c r="N156" s="53" t="s">
        <v>2590</v>
      </c>
      <c r="O156" s="50" t="s">
        <v>1928</v>
      </c>
    </row>
    <row r="157">
      <c r="A157" s="28" t="s">
        <v>181</v>
      </c>
      <c r="B157" s="28">
        <v>9644.0</v>
      </c>
      <c r="C157" s="48" t="str">
        <f>HYPERLINK("http://ecotaxoserver.obs-vlfr.fr/browsetaxo/?id=2","2")</f>
        <v>2</v>
      </c>
      <c r="D157" s="28" t="s">
        <v>2591</v>
      </c>
      <c r="E157" s="49"/>
      <c r="F157" s="49"/>
      <c r="G157" s="49"/>
      <c r="I157" s="28" t="s">
        <v>94</v>
      </c>
      <c r="J157" s="28"/>
      <c r="K157" s="28"/>
      <c r="L157" s="50"/>
      <c r="M157" s="55" t="b">
        <v>0</v>
      </c>
      <c r="N157" s="69"/>
      <c r="O157" s="70"/>
    </row>
    <row r="158">
      <c r="A158" s="28" t="s">
        <v>2592</v>
      </c>
      <c r="B158" s="28">
        <v>22665.0</v>
      </c>
      <c r="C158" s="48" t="str">
        <f>HYPERLINK("http://ecotaxoserver.obs-vlfr.fr/browsetaxo/?id=92682","92682")</f>
        <v>92682</v>
      </c>
      <c r="D158" s="28" t="s">
        <v>1188</v>
      </c>
      <c r="E158" s="49"/>
      <c r="F158" s="49"/>
      <c r="G158" s="49"/>
      <c r="I158" s="28" t="s">
        <v>94</v>
      </c>
      <c r="J158" s="28"/>
      <c r="K158" s="24">
        <v>104190.0</v>
      </c>
      <c r="L158" s="50"/>
      <c r="M158" s="51" t="b">
        <v>1</v>
      </c>
      <c r="N158" s="54"/>
      <c r="O158" s="50" t="s">
        <v>2387</v>
      </c>
    </row>
    <row r="159">
      <c r="A159" s="28" t="s">
        <v>2592</v>
      </c>
      <c r="B159" s="28">
        <v>5877.0</v>
      </c>
      <c r="C159" s="48" t="str">
        <f>HYPERLINK("http://ecotaxoserver.obs-vlfr.fr/browsetaxo/?id=92277","92277")</f>
        <v>92277</v>
      </c>
      <c r="D159" s="28" t="s">
        <v>386</v>
      </c>
      <c r="E159" s="49"/>
      <c r="F159" s="49"/>
      <c r="G159" s="49"/>
      <c r="I159" s="28" t="s">
        <v>94</v>
      </c>
      <c r="J159" s="28"/>
      <c r="K159" s="24">
        <v>104152.0</v>
      </c>
      <c r="L159" s="50"/>
      <c r="M159" s="51" t="b">
        <v>1</v>
      </c>
      <c r="N159" s="54"/>
      <c r="O159" s="50" t="s">
        <v>2387</v>
      </c>
    </row>
    <row r="160">
      <c r="A160" s="28" t="s">
        <v>2592</v>
      </c>
      <c r="B160" s="28">
        <v>4941.0</v>
      </c>
      <c r="C160" s="48" t="str">
        <f>HYPERLINK("http://ecotaxoserver.obs-vlfr.fr/browsetaxo/?id=92270","92270")</f>
        <v>92270</v>
      </c>
      <c r="D160" s="28" t="s">
        <v>1192</v>
      </c>
      <c r="E160" s="49"/>
      <c r="F160" s="49"/>
      <c r="G160" s="49"/>
      <c r="I160" s="28" t="s">
        <v>94</v>
      </c>
      <c r="J160" s="28"/>
      <c r="K160" s="24">
        <v>104632.0</v>
      </c>
      <c r="L160" s="50"/>
      <c r="M160" s="51" t="b">
        <v>1</v>
      </c>
      <c r="N160" s="54"/>
      <c r="O160" s="50" t="s">
        <v>2387</v>
      </c>
    </row>
    <row r="161">
      <c r="A161" s="28" t="s">
        <v>2592</v>
      </c>
      <c r="B161" s="28">
        <v>1717.0</v>
      </c>
      <c r="C161" s="48" t="str">
        <f>HYPERLINK("http://ecotaxoserver.obs-vlfr.fr/browsetaxo/?id=92253","92253")</f>
        <v>92253</v>
      </c>
      <c r="D161" s="28" t="s">
        <v>1195</v>
      </c>
      <c r="E161" s="49"/>
      <c r="F161" s="49"/>
      <c r="G161" s="49"/>
      <c r="I161" s="28" t="s">
        <v>94</v>
      </c>
      <c r="J161" s="28"/>
      <c r="K161" s="24">
        <v>104164.0</v>
      </c>
      <c r="L161" s="50"/>
      <c r="M161" s="51" t="b">
        <v>1</v>
      </c>
      <c r="N161" s="54"/>
      <c r="O161" s="50" t="s">
        <v>2387</v>
      </c>
    </row>
    <row r="162">
      <c r="A162" s="28" t="s">
        <v>2592</v>
      </c>
      <c r="B162" s="28">
        <v>356.0</v>
      </c>
      <c r="C162" s="48" t="str">
        <f>HYPERLINK("http://ecotaxoserver.obs-vlfr.fr/browsetaxo/?id=92309","92309")</f>
        <v>92309</v>
      </c>
      <c r="D162" s="28" t="s">
        <v>388</v>
      </c>
      <c r="E162" s="49"/>
      <c r="F162" s="49"/>
      <c r="G162" s="49"/>
      <c r="I162" s="28" t="s">
        <v>94</v>
      </c>
      <c r="J162" s="28"/>
      <c r="K162" s="24">
        <v>104467.0</v>
      </c>
      <c r="L162" s="50"/>
      <c r="M162" s="51" t="b">
        <v>1</v>
      </c>
      <c r="N162" s="54"/>
      <c r="O162" s="50" t="s">
        <v>2387</v>
      </c>
    </row>
    <row r="163">
      <c r="A163" s="28" t="s">
        <v>2592</v>
      </c>
      <c r="B163" s="28">
        <v>276.0</v>
      </c>
      <c r="C163" s="48" t="str">
        <f>HYPERLINK("http://ecotaxoserver.obs-vlfr.fr/browsetaxo/?id=92258","92258")</f>
        <v>92258</v>
      </c>
      <c r="D163" s="28" t="s">
        <v>1556</v>
      </c>
      <c r="E163" s="49"/>
      <c r="F163" s="49"/>
      <c r="G163" s="49"/>
      <c r="I163" s="28" t="s">
        <v>94</v>
      </c>
      <c r="J163" s="28"/>
      <c r="K163" s="24">
        <v>104165.0</v>
      </c>
      <c r="L163" s="50"/>
      <c r="M163" s="51" t="b">
        <v>1</v>
      </c>
      <c r="N163" s="54"/>
      <c r="O163" s="50" t="s">
        <v>2387</v>
      </c>
    </row>
    <row r="164">
      <c r="A164" s="28" t="s">
        <v>2592</v>
      </c>
      <c r="B164" s="28">
        <v>186.0</v>
      </c>
      <c r="C164" s="48" t="str">
        <f>HYPERLINK("http://ecotaxoserver.obs-vlfr.fr/browsetaxo/?id=92312","92312")</f>
        <v>92312</v>
      </c>
      <c r="D164" s="28" t="s">
        <v>1302</v>
      </c>
      <c r="E164" s="49"/>
      <c r="F164" s="49"/>
      <c r="G164" s="49"/>
      <c r="I164" s="28" t="s">
        <v>94</v>
      </c>
      <c r="J164" s="28"/>
      <c r="K164" s="24">
        <v>106656.0</v>
      </c>
      <c r="L164" s="50"/>
      <c r="M164" s="51" t="b">
        <v>1</v>
      </c>
      <c r="N164" s="54"/>
      <c r="O164" s="50" t="s">
        <v>2387</v>
      </c>
    </row>
    <row r="165">
      <c r="A165" s="28" t="s">
        <v>2592</v>
      </c>
      <c r="B165" s="28">
        <v>131.0</v>
      </c>
      <c r="C165" s="48" t="str">
        <f>HYPERLINK("http://ecotaxoserver.obs-vlfr.fr/browsetaxo/?id=92247","92247")</f>
        <v>92247</v>
      </c>
      <c r="D165" s="28" t="s">
        <v>1312</v>
      </c>
      <c r="E165" s="49"/>
      <c r="F165" s="49"/>
      <c r="G165" s="49"/>
      <c r="I165" s="28" t="s">
        <v>94</v>
      </c>
      <c r="J165" s="28"/>
      <c r="K165" s="24">
        <v>128690.0</v>
      </c>
      <c r="L165" s="50"/>
      <c r="M165" s="51" t="b">
        <v>1</v>
      </c>
      <c r="N165" s="54"/>
      <c r="O165" s="50" t="s">
        <v>2387</v>
      </c>
    </row>
    <row r="166">
      <c r="A166" s="28" t="s">
        <v>2592</v>
      </c>
      <c r="B166" s="28">
        <v>10.0</v>
      </c>
      <c r="C166" s="48" t="str">
        <f>HYPERLINK("http://ecotaxoserver.obs-vlfr.fr/browsetaxo/?id=92313","92313")</f>
        <v>92313</v>
      </c>
      <c r="D166" s="28" t="s">
        <v>1300</v>
      </c>
      <c r="E166" s="49"/>
      <c r="F166" s="49"/>
      <c r="G166" s="49"/>
      <c r="I166" s="28" t="s">
        <v>94</v>
      </c>
      <c r="J166" s="28"/>
      <c r="K166" s="24">
        <v>106651.0</v>
      </c>
      <c r="L166" s="50"/>
      <c r="M166" s="51" t="b">
        <v>1</v>
      </c>
      <c r="N166" s="54"/>
      <c r="O166" s="50" t="s">
        <v>2387</v>
      </c>
    </row>
    <row r="167">
      <c r="A167" s="28" t="s">
        <v>2592</v>
      </c>
      <c r="B167" s="28">
        <v>3.0</v>
      </c>
      <c r="C167" s="48" t="str">
        <f>HYPERLINK("http://ecotaxoserver.obs-vlfr.fr/browsetaxo/?id=92327","92327")</f>
        <v>92327</v>
      </c>
      <c r="D167" s="28" t="s">
        <v>1301</v>
      </c>
      <c r="E167" s="49"/>
      <c r="F167" s="49"/>
      <c r="G167" s="49"/>
      <c r="I167" s="28" t="s">
        <v>94</v>
      </c>
      <c r="J167" s="28"/>
      <c r="K167" s="24">
        <v>106652.0</v>
      </c>
      <c r="L167" s="50"/>
      <c r="M167" s="51" t="b">
        <v>1</v>
      </c>
      <c r="N167" s="54"/>
      <c r="O167" s="50" t="s">
        <v>2387</v>
      </c>
    </row>
    <row r="168">
      <c r="A168" s="28" t="s">
        <v>2593</v>
      </c>
      <c r="B168" s="28">
        <v>216.0</v>
      </c>
      <c r="C168" s="48" t="str">
        <f>HYPERLINK("http://ecotaxoserver.obs-vlfr.fr/browsetaxo/?id=92246","92246")</f>
        <v>92246</v>
      </c>
      <c r="D168" s="28" t="s">
        <v>1312</v>
      </c>
      <c r="E168" s="49"/>
      <c r="F168" s="49"/>
      <c r="G168" s="49"/>
      <c r="I168" s="28" t="s">
        <v>94</v>
      </c>
      <c r="J168" s="28"/>
      <c r="K168" s="24">
        <v>128690.0</v>
      </c>
      <c r="L168" s="50"/>
      <c r="M168" s="51" t="b">
        <v>1</v>
      </c>
      <c r="N168" s="53" t="s">
        <v>2594</v>
      </c>
      <c r="O168" s="50" t="s">
        <v>1928</v>
      </c>
    </row>
    <row r="169">
      <c r="A169" s="28" t="s">
        <v>2593</v>
      </c>
      <c r="B169" s="28">
        <v>67.0</v>
      </c>
      <c r="C169" s="48" t="str">
        <f>HYPERLINK("http://ecotaxoserver.obs-vlfr.fr/browsetaxo/?id=92257","92257")</f>
        <v>92257</v>
      </c>
      <c r="D169" s="28" t="s">
        <v>1556</v>
      </c>
      <c r="E169" s="49"/>
      <c r="F169" s="49"/>
      <c r="G169" s="49"/>
      <c r="I169" s="28" t="s">
        <v>94</v>
      </c>
      <c r="J169" s="28"/>
      <c r="K169" s="24">
        <v>104165.0</v>
      </c>
      <c r="L169" s="50"/>
      <c r="M169" s="51" t="b">
        <v>1</v>
      </c>
      <c r="N169" s="53" t="s">
        <v>2594</v>
      </c>
      <c r="O169" s="50" t="s">
        <v>1928</v>
      </c>
    </row>
    <row r="170">
      <c r="A170" s="28" t="s">
        <v>2595</v>
      </c>
      <c r="B170" s="28">
        <v>92.0</v>
      </c>
      <c r="C170" s="48" t="str">
        <f>HYPERLINK("http://ecotaxoserver.obs-vlfr.fr/browsetaxo/?id=92124","92124")</f>
        <v>92124</v>
      </c>
      <c r="D170" s="28" t="s">
        <v>275</v>
      </c>
      <c r="E170" s="56">
        <v>711785.0</v>
      </c>
      <c r="F170" s="49" t="s">
        <v>2093</v>
      </c>
      <c r="G170" s="56">
        <v>138009.0</v>
      </c>
      <c r="H170" s="22" t="s">
        <v>2596</v>
      </c>
      <c r="I170" s="28" t="s">
        <v>94</v>
      </c>
      <c r="J170" s="50">
        <v>138009.0</v>
      </c>
      <c r="K170" s="24"/>
      <c r="M170" s="55" t="b">
        <v>0</v>
      </c>
      <c r="N170" s="54"/>
      <c r="O170" s="50" t="s">
        <v>2387</v>
      </c>
    </row>
    <row r="171">
      <c r="A171" s="28" t="s">
        <v>2597</v>
      </c>
      <c r="B171" s="28">
        <v>27.0</v>
      </c>
      <c r="C171" s="48" t="str">
        <f>HYPERLINK("http://ecotaxoserver.obs-vlfr.fr/browsetaxo/?id=92133","92133")</f>
        <v>92133</v>
      </c>
      <c r="D171" s="28" t="s">
        <v>2595</v>
      </c>
      <c r="E171" s="56">
        <v>711786.0</v>
      </c>
      <c r="F171" s="49" t="s">
        <v>2093</v>
      </c>
      <c r="G171" s="56">
        <v>139944.0</v>
      </c>
      <c r="H171" s="22" t="s">
        <v>2598</v>
      </c>
      <c r="I171" s="28" t="s">
        <v>94</v>
      </c>
      <c r="J171" s="50">
        <v>139944.0</v>
      </c>
      <c r="K171" s="61"/>
      <c r="L171" s="61"/>
      <c r="M171" s="55" t="b">
        <v>0</v>
      </c>
      <c r="N171" s="54"/>
      <c r="O171" s="50" t="s">
        <v>2387</v>
      </c>
    </row>
    <row r="172">
      <c r="A172" s="28" t="s">
        <v>2599</v>
      </c>
      <c r="B172" s="28">
        <v>640.0</v>
      </c>
      <c r="C172" s="48" t="str">
        <f>HYPERLINK("http://ecotaxoserver.obs-vlfr.fr/browsetaxo/?id=60223","60223")</f>
        <v>60223</v>
      </c>
      <c r="D172" s="28" t="s">
        <v>1780</v>
      </c>
      <c r="E172" s="56">
        <v>324750.0</v>
      </c>
      <c r="F172" s="49" t="s">
        <v>2371</v>
      </c>
      <c r="G172" s="56">
        <v>324750.0</v>
      </c>
      <c r="H172" s="22" t="s">
        <v>2599</v>
      </c>
      <c r="I172" s="28" t="s">
        <v>94</v>
      </c>
      <c r="J172" s="24">
        <v>324750.0</v>
      </c>
      <c r="K172" s="28"/>
      <c r="M172" s="55" t="b">
        <v>0</v>
      </c>
      <c r="N172" s="53" t="s">
        <v>2600</v>
      </c>
      <c r="O172" s="50" t="s">
        <v>2387</v>
      </c>
    </row>
    <row r="173">
      <c r="A173" s="28" t="s">
        <v>2601</v>
      </c>
      <c r="B173" s="28">
        <v>3.0</v>
      </c>
      <c r="C173" s="48" t="str">
        <f>HYPERLINK("http://ecotaxoserver.obs-vlfr.fr/browsetaxo/?id=79631","79631")</f>
        <v>79631</v>
      </c>
      <c r="D173" s="28" t="s">
        <v>2599</v>
      </c>
      <c r="E173" s="49"/>
      <c r="F173" s="49"/>
      <c r="G173" s="49"/>
      <c r="I173" s="50" t="s">
        <v>1927</v>
      </c>
      <c r="J173" s="56">
        <v>324750.0</v>
      </c>
      <c r="K173" s="28"/>
      <c r="L173" s="50"/>
      <c r="M173" s="55" t="b">
        <v>0</v>
      </c>
      <c r="N173" s="54"/>
      <c r="O173" s="50" t="s">
        <v>1928</v>
      </c>
    </row>
    <row r="174">
      <c r="A174" s="28" t="s">
        <v>2602</v>
      </c>
      <c r="B174" s="28">
        <v>2.0</v>
      </c>
      <c r="C174" s="48" t="str">
        <f>HYPERLINK("http://ecotaxoserver.obs-vlfr.fr/browsetaxo/?id=83320","83320")</f>
        <v>83320</v>
      </c>
      <c r="D174" s="28" t="s">
        <v>871</v>
      </c>
      <c r="E174" s="49"/>
      <c r="F174" s="49"/>
      <c r="G174" s="49"/>
      <c r="I174" s="28" t="s">
        <v>94</v>
      </c>
      <c r="J174" s="24">
        <v>135501.0</v>
      </c>
      <c r="K174" s="28"/>
      <c r="L174" s="62"/>
      <c r="M174" s="55" t="b">
        <v>0</v>
      </c>
      <c r="N174" s="71" t="s">
        <v>2603</v>
      </c>
      <c r="O174" s="50" t="s">
        <v>1928</v>
      </c>
    </row>
    <row r="175">
      <c r="A175" s="28" t="s">
        <v>2604</v>
      </c>
      <c r="B175" s="28">
        <v>143.0</v>
      </c>
      <c r="C175" s="48" t="str">
        <f>HYPERLINK("http://ecotaxoserver.obs-vlfr.fr/browsetaxo/?id=92680","92680")</f>
        <v>92680</v>
      </c>
      <c r="D175" s="28" t="s">
        <v>2176</v>
      </c>
      <c r="F175" s="49"/>
      <c r="G175" s="49"/>
      <c r="I175" s="28" t="s">
        <v>94</v>
      </c>
      <c r="J175" s="28"/>
      <c r="K175" s="64">
        <v>573607.0</v>
      </c>
      <c r="L175" s="66" t="s">
        <v>2320</v>
      </c>
      <c r="M175" s="51" t="b">
        <v>1</v>
      </c>
      <c r="N175" s="65" t="s">
        <v>2605</v>
      </c>
      <c r="O175" s="50"/>
    </row>
    <row r="176">
      <c r="A176" s="28" t="s">
        <v>2606</v>
      </c>
      <c r="B176" s="28">
        <v>152.0</v>
      </c>
      <c r="C176" s="48" t="str">
        <f>HYPERLINK("http://ecotaxoserver.obs-vlfr.fr/browsetaxo/?id=85263","85263")</f>
        <v>85263</v>
      </c>
      <c r="D176" s="28" t="s">
        <v>875</v>
      </c>
      <c r="E176" s="49"/>
      <c r="F176" s="49"/>
      <c r="G176" s="49"/>
      <c r="I176" s="28" t="s">
        <v>94</v>
      </c>
      <c r="J176" s="28"/>
      <c r="K176" s="24">
        <v>149313.0</v>
      </c>
      <c r="L176" s="50" t="s">
        <v>2424</v>
      </c>
      <c r="M176" s="51" t="b">
        <v>1</v>
      </c>
      <c r="N176" s="54"/>
      <c r="O176" s="50" t="s">
        <v>1928</v>
      </c>
    </row>
    <row r="177">
      <c r="A177" s="28" t="s">
        <v>2607</v>
      </c>
      <c r="B177" s="28">
        <v>59.0</v>
      </c>
      <c r="C177" s="48" t="str">
        <f>HYPERLINK("http://ecotaxoserver.obs-vlfr.fr/browsetaxo/?id=85264","85264")</f>
        <v>85264</v>
      </c>
      <c r="D177" s="28" t="s">
        <v>875</v>
      </c>
      <c r="E177" s="49"/>
      <c r="F177" s="49"/>
      <c r="G177" s="49"/>
      <c r="I177" s="28" t="s">
        <v>94</v>
      </c>
      <c r="J177" s="28"/>
      <c r="K177" s="24">
        <v>149313.0</v>
      </c>
      <c r="L177" s="50" t="s">
        <v>2359</v>
      </c>
      <c r="M177" s="51" t="b">
        <v>1</v>
      </c>
      <c r="N177" s="54"/>
      <c r="O177" s="50" t="s">
        <v>1928</v>
      </c>
    </row>
    <row r="178">
      <c r="A178" s="28" t="s">
        <v>2608</v>
      </c>
      <c r="B178" s="28">
        <v>1.0</v>
      </c>
      <c r="C178" s="48" t="str">
        <f>HYPERLINK("http://ecotaxoserver.obs-vlfr.fr/browsetaxo/?id=67332","67332")</f>
        <v>67332</v>
      </c>
      <c r="D178" s="28" t="s">
        <v>2609</v>
      </c>
      <c r="E178" s="49"/>
      <c r="F178" s="49"/>
      <c r="G178" s="49"/>
      <c r="I178" s="28" t="s">
        <v>94</v>
      </c>
      <c r="J178" s="28"/>
      <c r="K178" s="28"/>
      <c r="L178" s="28"/>
      <c r="M178" s="55" t="b">
        <v>0</v>
      </c>
      <c r="N178" s="53" t="s">
        <v>2464</v>
      </c>
      <c r="O178" s="50" t="s">
        <v>1928</v>
      </c>
    </row>
    <row r="179">
      <c r="A179" s="28" t="s">
        <v>2610</v>
      </c>
      <c r="B179" s="28">
        <v>5.0</v>
      </c>
      <c r="C179" s="48" t="str">
        <f>HYPERLINK("http://ecotaxoserver.obs-vlfr.fr/browsetaxo/?id=12319","12319")</f>
        <v>12319</v>
      </c>
      <c r="D179" s="28" t="s">
        <v>2611</v>
      </c>
      <c r="E179" s="56">
        <v>369661.0</v>
      </c>
      <c r="F179" s="49" t="s">
        <v>2371</v>
      </c>
      <c r="G179" s="56">
        <v>369661.0</v>
      </c>
      <c r="H179" s="22" t="s">
        <v>2610</v>
      </c>
      <c r="I179" s="28" t="s">
        <v>94</v>
      </c>
      <c r="J179" s="56">
        <v>369661.0</v>
      </c>
      <c r="K179" s="28"/>
      <c r="L179" s="28"/>
      <c r="M179" s="55" t="b">
        <v>0</v>
      </c>
      <c r="N179" s="54"/>
      <c r="O179" s="50" t="s">
        <v>2489</v>
      </c>
    </row>
    <row r="180">
      <c r="A180" s="28" t="s">
        <v>2612</v>
      </c>
      <c r="B180" s="28">
        <v>8.0</v>
      </c>
      <c r="C180" s="48" t="str">
        <f>HYPERLINK("http://ecotaxoserver.obs-vlfr.fr/browsetaxo/?id=24576","24576")</f>
        <v>24576</v>
      </c>
      <c r="D180" s="28" t="s">
        <v>2613</v>
      </c>
      <c r="E180" s="49"/>
      <c r="F180" s="49"/>
      <c r="G180" s="49"/>
      <c r="I180" s="28" t="s">
        <v>94</v>
      </c>
      <c r="J180" s="28"/>
      <c r="K180" s="28"/>
      <c r="L180" s="50" t="s">
        <v>2612</v>
      </c>
      <c r="M180" s="51" t="b">
        <v>1</v>
      </c>
      <c r="N180" s="53" t="s">
        <v>2614</v>
      </c>
      <c r="O180" s="50" t="s">
        <v>1928</v>
      </c>
    </row>
    <row r="181">
      <c r="A181" s="28" t="s">
        <v>2615</v>
      </c>
      <c r="B181" s="28">
        <v>5728.0</v>
      </c>
      <c r="C181" s="48" t="str">
        <f>HYPERLINK("http://ecotaxoserver.obs-vlfr.fr/browsetaxo/?id=82179","82179")</f>
        <v>82179</v>
      </c>
      <c r="D181" s="28" t="s">
        <v>2616</v>
      </c>
      <c r="E181" s="56">
        <v>101383.0</v>
      </c>
      <c r="F181" s="49" t="s">
        <v>2371</v>
      </c>
      <c r="G181" s="56">
        <v>101383.0</v>
      </c>
      <c r="H181" s="22" t="s">
        <v>2615</v>
      </c>
      <c r="I181" s="28" t="s">
        <v>94</v>
      </c>
      <c r="J181" s="24">
        <v>101383.0</v>
      </c>
      <c r="K181" s="28"/>
      <c r="L181" s="28"/>
      <c r="M181" s="55" t="b">
        <v>0</v>
      </c>
      <c r="N181" s="53" t="s">
        <v>2617</v>
      </c>
      <c r="O181" s="50" t="s">
        <v>2489</v>
      </c>
    </row>
    <row r="182">
      <c r="A182" s="28" t="s">
        <v>2618</v>
      </c>
      <c r="B182" s="28">
        <v>4261.0</v>
      </c>
      <c r="C182" s="48" t="str">
        <f>HYPERLINK("http://ecotaxoserver.obs-vlfr.fr/browsetaxo/?id=83687","83687")</f>
        <v>83687</v>
      </c>
      <c r="D182" s="28" t="s">
        <v>2615</v>
      </c>
      <c r="E182" s="56">
        <v>101537.0</v>
      </c>
      <c r="F182" s="49" t="s">
        <v>2371</v>
      </c>
      <c r="G182" s="56">
        <v>101537.0</v>
      </c>
      <c r="H182" s="22" t="s">
        <v>2618</v>
      </c>
      <c r="I182" s="28" t="s">
        <v>94</v>
      </c>
      <c r="J182" s="24">
        <v>101537.0</v>
      </c>
      <c r="K182" s="28"/>
      <c r="L182" s="28"/>
      <c r="M182" s="55" t="b">
        <v>0</v>
      </c>
      <c r="N182" s="53" t="s">
        <v>2617</v>
      </c>
      <c r="O182" s="50" t="s">
        <v>2489</v>
      </c>
    </row>
    <row r="183">
      <c r="A183" s="28" t="s">
        <v>2619</v>
      </c>
      <c r="B183" s="28">
        <v>2.0</v>
      </c>
      <c r="C183" s="48" t="str">
        <f>HYPERLINK("http://ecotaxoserver.obs-vlfr.fr/browsetaxo/?id=81910","81910")</f>
        <v>81910</v>
      </c>
      <c r="D183" s="28" t="s">
        <v>113</v>
      </c>
      <c r="E183" s="56">
        <v>477323.0</v>
      </c>
      <c r="F183" s="49" t="s">
        <v>2371</v>
      </c>
      <c r="G183" s="56">
        <v>477323.0</v>
      </c>
      <c r="H183" s="22" t="s">
        <v>2619</v>
      </c>
      <c r="I183" s="28" t="s">
        <v>94</v>
      </c>
      <c r="J183" s="56">
        <v>477323.0</v>
      </c>
      <c r="K183" s="28"/>
      <c r="L183" s="28"/>
      <c r="M183" s="55" t="b">
        <v>0</v>
      </c>
      <c r="N183" s="54"/>
      <c r="O183" s="50" t="s">
        <v>2489</v>
      </c>
    </row>
    <row r="184">
      <c r="A184" s="28" t="s">
        <v>2620</v>
      </c>
      <c r="B184" s="28">
        <v>156.0</v>
      </c>
      <c r="C184" s="48" t="str">
        <f>HYPERLINK("http://ecotaxoserver.obs-vlfr.fr/browsetaxo/?id=93380","93380")</f>
        <v>93380</v>
      </c>
      <c r="D184" s="28" t="s">
        <v>868</v>
      </c>
      <c r="E184" s="49"/>
      <c r="F184" s="49"/>
      <c r="G184" s="49"/>
      <c r="I184" s="28" t="s">
        <v>94</v>
      </c>
      <c r="J184" s="24">
        <v>111930.0</v>
      </c>
      <c r="K184" s="28"/>
      <c r="L184" s="62"/>
      <c r="M184" s="55" t="b">
        <v>0</v>
      </c>
      <c r="N184" s="53" t="s">
        <v>2621</v>
      </c>
      <c r="O184" s="50" t="s">
        <v>1928</v>
      </c>
    </row>
    <row r="185">
      <c r="A185" s="28" t="s">
        <v>2622</v>
      </c>
      <c r="B185" s="28">
        <v>253.0</v>
      </c>
      <c r="C185" s="48" t="str">
        <f>HYPERLINK("http://ecotaxoserver.obs-vlfr.fr/browsetaxo/?id=53147","53147")</f>
        <v>53147</v>
      </c>
      <c r="D185" s="28" t="s">
        <v>2623</v>
      </c>
      <c r="E185" s="49"/>
      <c r="F185" s="49"/>
      <c r="G185" s="49"/>
      <c r="I185" s="28" t="s">
        <v>94</v>
      </c>
      <c r="J185" s="30">
        <v>22881.0</v>
      </c>
      <c r="K185" s="28"/>
      <c r="L185" s="62" t="s">
        <v>2624</v>
      </c>
      <c r="M185" s="55" t="b">
        <v>0</v>
      </c>
      <c r="N185" s="10" t="s">
        <v>2625</v>
      </c>
      <c r="O185" s="24" t="s">
        <v>1928</v>
      </c>
    </row>
    <row r="186">
      <c r="A186" s="28" t="s">
        <v>2626</v>
      </c>
      <c r="B186" s="28">
        <v>1.0</v>
      </c>
      <c r="C186" s="48" t="str">
        <f>HYPERLINK("http://ecotaxoserver.obs-vlfr.fr/browsetaxo/?id=28894","28894")</f>
        <v>28894</v>
      </c>
      <c r="D186" s="28" t="s">
        <v>2627</v>
      </c>
      <c r="E186" s="49"/>
      <c r="F186" s="49"/>
      <c r="G186" s="49"/>
      <c r="I186" s="28" t="s">
        <v>94</v>
      </c>
      <c r="J186" s="28"/>
      <c r="K186" s="28"/>
      <c r="L186" s="28"/>
      <c r="M186" s="55" t="b">
        <v>0</v>
      </c>
      <c r="N186" s="53" t="s">
        <v>2628</v>
      </c>
      <c r="O186" s="50" t="s">
        <v>1928</v>
      </c>
    </row>
    <row r="187">
      <c r="A187" s="28" t="s">
        <v>2629</v>
      </c>
      <c r="B187" s="28">
        <v>196.0</v>
      </c>
      <c r="C187" s="48" t="str">
        <f>HYPERLINK("http://ecotaxoserver.obs-vlfr.fr/browsetaxo/?id=85275","85275")</f>
        <v>85275</v>
      </c>
      <c r="D187" s="28" t="s">
        <v>453</v>
      </c>
      <c r="E187" s="49"/>
      <c r="F187" s="49"/>
      <c r="G187" s="49"/>
      <c r="I187" s="28" t="s">
        <v>94</v>
      </c>
      <c r="J187" s="28"/>
      <c r="K187" s="24">
        <v>109391.0</v>
      </c>
      <c r="L187" s="50" t="s">
        <v>2416</v>
      </c>
      <c r="M187" s="51" t="b">
        <v>1</v>
      </c>
      <c r="N187" s="54"/>
      <c r="O187" s="50" t="s">
        <v>2387</v>
      </c>
    </row>
    <row r="188">
      <c r="A188" s="28" t="s">
        <v>2630</v>
      </c>
      <c r="B188" s="28">
        <v>195.0</v>
      </c>
      <c r="C188" s="48" t="str">
        <f>HYPERLINK("http://ecotaxoserver.obs-vlfr.fr/browsetaxo/?id=85276","85276")</f>
        <v>85276</v>
      </c>
      <c r="D188" s="28" t="s">
        <v>453</v>
      </c>
      <c r="E188" s="49"/>
      <c r="F188" s="49"/>
      <c r="G188" s="49"/>
      <c r="I188" s="28" t="s">
        <v>94</v>
      </c>
      <c r="J188" s="28"/>
      <c r="K188" s="24">
        <v>109391.0</v>
      </c>
      <c r="L188" s="50" t="s">
        <v>2418</v>
      </c>
      <c r="M188" s="51" t="b">
        <v>1</v>
      </c>
      <c r="N188" s="54"/>
      <c r="O188" s="50" t="s">
        <v>2387</v>
      </c>
    </row>
    <row r="189">
      <c r="A189" s="28" t="s">
        <v>2631</v>
      </c>
      <c r="B189" s="28">
        <v>31.0</v>
      </c>
      <c r="C189" s="48" t="str">
        <f>HYPERLINK("http://ecotaxoserver.obs-vlfr.fr/browsetaxo/?id=85277","85277")</f>
        <v>85277</v>
      </c>
      <c r="D189" s="28" t="s">
        <v>453</v>
      </c>
      <c r="E189" s="49"/>
      <c r="F189" s="49"/>
      <c r="G189" s="49"/>
      <c r="I189" s="28" t="s">
        <v>94</v>
      </c>
      <c r="J189" s="28"/>
      <c r="K189" s="24">
        <v>109391.0</v>
      </c>
      <c r="L189" s="50" t="s">
        <v>2420</v>
      </c>
      <c r="M189" s="51" t="b">
        <v>1</v>
      </c>
      <c r="N189" s="54"/>
      <c r="O189" s="50" t="s">
        <v>2387</v>
      </c>
    </row>
    <row r="190">
      <c r="A190" s="28" t="s">
        <v>2632</v>
      </c>
      <c r="B190" s="28">
        <v>13.0</v>
      </c>
      <c r="C190" s="48" t="str">
        <f>HYPERLINK("http://ecotaxoserver.obs-vlfr.fr/browsetaxo/?id=85278","85278")</f>
        <v>85278</v>
      </c>
      <c r="D190" s="28" t="s">
        <v>453</v>
      </c>
      <c r="E190" s="49"/>
      <c r="F190" s="49"/>
      <c r="G190" s="49"/>
      <c r="I190" s="28" t="s">
        <v>94</v>
      </c>
      <c r="J190" s="28"/>
      <c r="K190" s="24">
        <v>109391.0</v>
      </c>
      <c r="L190" s="50" t="s">
        <v>2422</v>
      </c>
      <c r="M190" s="51" t="b">
        <v>1</v>
      </c>
      <c r="N190" s="54"/>
      <c r="O190" s="50" t="s">
        <v>2387</v>
      </c>
    </row>
    <row r="191">
      <c r="A191" s="28" t="s">
        <v>2633</v>
      </c>
      <c r="B191" s="28">
        <v>50.0</v>
      </c>
      <c r="C191" s="48" t="str">
        <f>HYPERLINK("http://ecotaxoserver.obs-vlfr.fr/browsetaxo/?id=85279","85279")</f>
        <v>85279</v>
      </c>
      <c r="D191" s="28" t="s">
        <v>453</v>
      </c>
      <c r="E191" s="49"/>
      <c r="F191" s="49"/>
      <c r="G191" s="49"/>
      <c r="I191" s="28" t="s">
        <v>94</v>
      </c>
      <c r="J191" s="28"/>
      <c r="K191" s="24">
        <v>109391.0</v>
      </c>
      <c r="L191" s="50" t="s">
        <v>2499</v>
      </c>
      <c r="M191" s="51" t="b">
        <v>1</v>
      </c>
      <c r="N191" s="54"/>
      <c r="O191" s="50" t="s">
        <v>2387</v>
      </c>
    </row>
    <row r="192">
      <c r="A192" s="28" t="s">
        <v>2634</v>
      </c>
      <c r="B192" s="28">
        <v>1.0</v>
      </c>
      <c r="C192" s="48" t="str">
        <f>HYPERLINK("http://ecotaxoserver.obs-vlfr.fr/browsetaxo/?id=85280","85280")</f>
        <v>85280</v>
      </c>
      <c r="D192" s="28" t="s">
        <v>453</v>
      </c>
      <c r="E192" s="49"/>
      <c r="F192" s="49"/>
      <c r="G192" s="49"/>
      <c r="I192" s="28" t="s">
        <v>94</v>
      </c>
      <c r="J192" s="28"/>
      <c r="K192" s="24">
        <v>109391.0</v>
      </c>
      <c r="L192" s="50" t="s">
        <v>2501</v>
      </c>
      <c r="M192" s="51" t="b">
        <v>1</v>
      </c>
      <c r="N192" s="54"/>
      <c r="O192" s="50" t="s">
        <v>2387</v>
      </c>
    </row>
    <row r="193">
      <c r="A193" s="28" t="s">
        <v>2635</v>
      </c>
      <c r="B193" s="28">
        <v>1.0</v>
      </c>
      <c r="C193" s="48" t="str">
        <f>HYPERLINK("http://ecotaxoserver.obs-vlfr.fr/browsetaxo/?id=85281","85281")</f>
        <v>85281</v>
      </c>
      <c r="D193" s="28" t="s">
        <v>453</v>
      </c>
      <c r="E193" s="49"/>
      <c r="F193" s="49"/>
      <c r="G193" s="49"/>
      <c r="I193" s="28" t="s">
        <v>94</v>
      </c>
      <c r="J193" s="28"/>
      <c r="K193" s="24">
        <v>109391.0</v>
      </c>
      <c r="L193" s="50" t="s">
        <v>2503</v>
      </c>
      <c r="M193" s="51" t="b">
        <v>1</v>
      </c>
      <c r="N193" s="54"/>
      <c r="O193" s="50" t="s">
        <v>2387</v>
      </c>
    </row>
    <row r="194">
      <c r="A194" s="28" t="s">
        <v>2636</v>
      </c>
      <c r="B194" s="28">
        <v>3.0</v>
      </c>
      <c r="C194" s="48" t="str">
        <f>HYPERLINK("http://ecotaxoserver.obs-vlfr.fr/browsetaxo/?id=85282","85282")</f>
        <v>85282</v>
      </c>
      <c r="D194" s="28" t="s">
        <v>453</v>
      </c>
      <c r="E194" s="49"/>
      <c r="F194" s="49"/>
      <c r="G194" s="49"/>
      <c r="I194" s="28" t="s">
        <v>94</v>
      </c>
      <c r="J194" s="28"/>
      <c r="K194" s="24">
        <v>109391.0</v>
      </c>
      <c r="L194" s="50" t="s">
        <v>2505</v>
      </c>
      <c r="M194" s="51" t="b">
        <v>1</v>
      </c>
      <c r="N194" s="54"/>
      <c r="O194" s="50" t="s">
        <v>2387</v>
      </c>
    </row>
    <row r="195">
      <c r="A195" s="28" t="s">
        <v>2637</v>
      </c>
      <c r="B195" s="28">
        <v>115.0</v>
      </c>
      <c r="C195" s="48" t="str">
        <f>HYPERLINK("http://ecotaxoserver.obs-vlfr.fr/browsetaxo/?id=85283","85283")</f>
        <v>85283</v>
      </c>
      <c r="D195" s="28" t="s">
        <v>453</v>
      </c>
      <c r="E195" s="49"/>
      <c r="F195" s="49"/>
      <c r="G195" s="49"/>
      <c r="I195" s="28" t="s">
        <v>94</v>
      </c>
      <c r="J195" s="28"/>
      <c r="K195" s="24">
        <v>109391.0</v>
      </c>
      <c r="L195" s="50" t="s">
        <v>2638</v>
      </c>
      <c r="M195" s="51" t="b">
        <v>1</v>
      </c>
      <c r="N195" s="54"/>
      <c r="O195" s="50" t="s">
        <v>2387</v>
      </c>
    </row>
    <row r="196">
      <c r="A196" s="28" t="s">
        <v>2639</v>
      </c>
      <c r="B196" s="28">
        <v>99.0</v>
      </c>
      <c r="C196" s="48" t="str">
        <f>HYPERLINK("http://ecotaxoserver.obs-vlfr.fr/browsetaxo/?id=85266","85266")</f>
        <v>85266</v>
      </c>
      <c r="D196" s="28" t="s">
        <v>453</v>
      </c>
      <c r="E196" s="49"/>
      <c r="F196" s="49"/>
      <c r="G196" s="49"/>
      <c r="I196" s="28" t="s">
        <v>94</v>
      </c>
      <c r="J196" s="28"/>
      <c r="K196" s="24">
        <v>109391.0</v>
      </c>
      <c r="L196" s="50" t="s">
        <v>2424</v>
      </c>
      <c r="M196" s="51" t="b">
        <v>1</v>
      </c>
      <c r="N196" s="54"/>
      <c r="O196" s="50" t="s">
        <v>2387</v>
      </c>
    </row>
    <row r="197">
      <c r="A197" s="28" t="s">
        <v>2640</v>
      </c>
      <c r="B197" s="28">
        <v>93.0</v>
      </c>
      <c r="C197" s="48" t="str">
        <f>HYPERLINK("http://ecotaxoserver.obs-vlfr.fr/browsetaxo/?id=85267","85267")</f>
        <v>85267</v>
      </c>
      <c r="D197" s="28" t="s">
        <v>453</v>
      </c>
      <c r="E197" s="49"/>
      <c r="F197" s="49"/>
      <c r="G197" s="49"/>
      <c r="I197" s="28" t="s">
        <v>94</v>
      </c>
      <c r="J197" s="28"/>
      <c r="K197" s="24">
        <v>109391.0</v>
      </c>
      <c r="L197" s="50" t="s">
        <v>2359</v>
      </c>
      <c r="M197" s="51" t="b">
        <v>1</v>
      </c>
      <c r="N197" s="54"/>
      <c r="O197" s="50" t="s">
        <v>2387</v>
      </c>
    </row>
    <row r="198">
      <c r="A198" s="28" t="s">
        <v>2641</v>
      </c>
      <c r="B198" s="28">
        <v>48.0</v>
      </c>
      <c r="C198" s="48" t="str">
        <f>HYPERLINK("http://ecotaxoserver.obs-vlfr.fr/browsetaxo/?id=85268","85268")</f>
        <v>85268</v>
      </c>
      <c r="D198" s="28" t="s">
        <v>453</v>
      </c>
      <c r="E198" s="49"/>
      <c r="F198" s="49"/>
      <c r="G198" s="49"/>
      <c r="I198" s="28" t="s">
        <v>94</v>
      </c>
      <c r="J198" s="28"/>
      <c r="K198" s="24">
        <v>109391.0</v>
      </c>
      <c r="L198" s="50" t="s">
        <v>2361</v>
      </c>
      <c r="M198" s="51" t="b">
        <v>1</v>
      </c>
      <c r="N198" s="54"/>
      <c r="O198" s="50" t="s">
        <v>2387</v>
      </c>
    </row>
    <row r="199">
      <c r="A199" s="28" t="s">
        <v>2642</v>
      </c>
      <c r="B199" s="28">
        <v>120.0</v>
      </c>
      <c r="C199" s="48" t="str">
        <f>HYPERLINK("http://ecotaxoserver.obs-vlfr.fr/browsetaxo/?id=85269","85269")</f>
        <v>85269</v>
      </c>
      <c r="D199" s="28" t="s">
        <v>453</v>
      </c>
      <c r="E199" s="49"/>
      <c r="F199" s="49"/>
      <c r="G199" s="49"/>
      <c r="I199" s="28" t="s">
        <v>94</v>
      </c>
      <c r="J199" s="28"/>
      <c r="K199" s="24">
        <v>109391.0</v>
      </c>
      <c r="L199" s="50" t="s">
        <v>2428</v>
      </c>
      <c r="M199" s="51" t="b">
        <v>1</v>
      </c>
      <c r="N199" s="54"/>
      <c r="O199" s="50" t="s">
        <v>2387</v>
      </c>
    </row>
    <row r="200">
      <c r="A200" s="28" t="s">
        <v>2643</v>
      </c>
      <c r="B200" s="28">
        <v>249.0</v>
      </c>
      <c r="C200" s="48" t="str">
        <f>HYPERLINK("http://ecotaxoserver.obs-vlfr.fr/browsetaxo/?id=85270","85270")</f>
        <v>85270</v>
      </c>
      <c r="D200" s="28" t="s">
        <v>453</v>
      </c>
      <c r="E200" s="49"/>
      <c r="F200" s="49"/>
      <c r="G200" s="49"/>
      <c r="I200" s="28" t="s">
        <v>94</v>
      </c>
      <c r="J200" s="28"/>
      <c r="K200" s="24">
        <v>109391.0</v>
      </c>
      <c r="L200" s="50" t="s">
        <v>2430</v>
      </c>
      <c r="M200" s="51" t="b">
        <v>1</v>
      </c>
      <c r="N200" s="54"/>
      <c r="O200" s="50" t="s">
        <v>2387</v>
      </c>
    </row>
    <row r="201">
      <c r="A201" s="28" t="s">
        <v>2644</v>
      </c>
      <c r="B201" s="28">
        <v>218.0</v>
      </c>
      <c r="C201" s="48" t="str">
        <f>HYPERLINK("http://ecotaxoserver.obs-vlfr.fr/browsetaxo/?id=85271","85271")</f>
        <v>85271</v>
      </c>
      <c r="D201" s="28" t="s">
        <v>453</v>
      </c>
      <c r="E201" s="49"/>
      <c r="F201" s="49"/>
      <c r="G201" s="49"/>
      <c r="I201" s="28" t="s">
        <v>94</v>
      </c>
      <c r="J201" s="28"/>
      <c r="K201" s="24">
        <v>109391.0</v>
      </c>
      <c r="L201" s="50" t="s">
        <v>2432</v>
      </c>
      <c r="M201" s="51" t="b">
        <v>1</v>
      </c>
      <c r="N201" s="54"/>
      <c r="O201" s="50" t="s">
        <v>2387</v>
      </c>
    </row>
    <row r="202">
      <c r="A202" s="28" t="s">
        <v>2645</v>
      </c>
      <c r="B202" s="28">
        <v>140.0</v>
      </c>
      <c r="C202" s="48" t="str">
        <f>HYPERLINK("http://ecotaxoserver.obs-vlfr.fr/browsetaxo/?id=85272","85272")</f>
        <v>85272</v>
      </c>
      <c r="D202" s="28" t="s">
        <v>453</v>
      </c>
      <c r="E202" s="49"/>
      <c r="F202" s="49"/>
      <c r="G202" s="49"/>
      <c r="I202" s="28" t="s">
        <v>94</v>
      </c>
      <c r="J202" s="28"/>
      <c r="K202" s="24">
        <v>109391.0</v>
      </c>
      <c r="L202" s="50" t="s">
        <v>2434</v>
      </c>
      <c r="M202" s="51" t="b">
        <v>1</v>
      </c>
      <c r="N202" s="54"/>
      <c r="O202" s="50" t="s">
        <v>2387</v>
      </c>
    </row>
    <row r="203">
      <c r="A203" s="28" t="s">
        <v>2646</v>
      </c>
      <c r="B203" s="28">
        <v>134.0</v>
      </c>
      <c r="C203" s="48" t="str">
        <f>HYPERLINK("http://ecotaxoserver.obs-vlfr.fr/browsetaxo/?id=85273","85273")</f>
        <v>85273</v>
      </c>
      <c r="D203" s="28" t="s">
        <v>453</v>
      </c>
      <c r="E203" s="49"/>
      <c r="F203" s="49"/>
      <c r="G203" s="49"/>
      <c r="I203" s="28" t="s">
        <v>94</v>
      </c>
      <c r="J203" s="28"/>
      <c r="K203" s="24">
        <v>109391.0</v>
      </c>
      <c r="L203" s="50" t="s">
        <v>2436</v>
      </c>
      <c r="M203" s="51" t="b">
        <v>1</v>
      </c>
      <c r="N203" s="54"/>
      <c r="O203" s="50" t="s">
        <v>2387</v>
      </c>
    </row>
    <row r="204">
      <c r="A204" s="28" t="s">
        <v>2647</v>
      </c>
      <c r="B204" s="28">
        <v>37.0</v>
      </c>
      <c r="C204" s="48" t="str">
        <f>HYPERLINK("http://ecotaxoserver.obs-vlfr.fr/browsetaxo/?id=85284","85284")</f>
        <v>85284</v>
      </c>
      <c r="D204" s="28" t="s">
        <v>938</v>
      </c>
      <c r="E204" s="49"/>
      <c r="F204" s="49"/>
      <c r="G204" s="49"/>
      <c r="I204" s="28" t="s">
        <v>94</v>
      </c>
      <c r="J204" s="28"/>
      <c r="K204" s="24">
        <v>109392.0</v>
      </c>
      <c r="L204" s="50" t="s">
        <v>2412</v>
      </c>
      <c r="M204" s="51" t="b">
        <v>1</v>
      </c>
      <c r="N204" s="54"/>
      <c r="O204" s="50" t="s">
        <v>2387</v>
      </c>
    </row>
    <row r="205">
      <c r="A205" s="28" t="s">
        <v>2648</v>
      </c>
      <c r="B205" s="28">
        <v>69.0</v>
      </c>
      <c r="C205" s="48" t="str">
        <f>HYPERLINK("http://ecotaxoserver.obs-vlfr.fr/browsetaxo/?id=85285","85285")</f>
        <v>85285</v>
      </c>
      <c r="D205" s="28" t="s">
        <v>938</v>
      </c>
      <c r="E205" s="49"/>
      <c r="F205" s="49"/>
      <c r="G205" s="49"/>
      <c r="I205" s="28" t="s">
        <v>94</v>
      </c>
      <c r="J205" s="28"/>
      <c r="K205" s="24">
        <v>109392.0</v>
      </c>
      <c r="L205" s="50" t="s">
        <v>2424</v>
      </c>
      <c r="M205" s="51" t="b">
        <v>1</v>
      </c>
      <c r="N205" s="54"/>
      <c r="O205" s="50" t="s">
        <v>2387</v>
      </c>
    </row>
    <row r="206">
      <c r="A206" s="28" t="s">
        <v>2649</v>
      </c>
      <c r="B206" s="28">
        <v>40.0</v>
      </c>
      <c r="C206" s="48" t="str">
        <f>HYPERLINK("http://ecotaxoserver.obs-vlfr.fr/browsetaxo/?id=85286","85286")</f>
        <v>85286</v>
      </c>
      <c r="D206" s="28" t="s">
        <v>938</v>
      </c>
      <c r="E206" s="49"/>
      <c r="F206" s="49"/>
      <c r="G206" s="49"/>
      <c r="I206" s="28" t="s">
        <v>94</v>
      </c>
      <c r="J206" s="28"/>
      <c r="K206" s="24">
        <v>109392.0</v>
      </c>
      <c r="L206" s="50" t="s">
        <v>2359</v>
      </c>
      <c r="M206" s="51" t="b">
        <v>1</v>
      </c>
      <c r="N206" s="54"/>
      <c r="O206" s="50" t="s">
        <v>2387</v>
      </c>
    </row>
    <row r="207">
      <c r="A207" s="28" t="s">
        <v>2650</v>
      </c>
      <c r="B207" s="28">
        <v>80.0</v>
      </c>
      <c r="C207" s="48" t="str">
        <f>HYPERLINK("http://ecotaxoserver.obs-vlfr.fr/browsetaxo/?id=85287","85287")</f>
        <v>85287</v>
      </c>
      <c r="D207" s="28" t="s">
        <v>938</v>
      </c>
      <c r="E207" s="49"/>
      <c r="F207" s="49"/>
      <c r="G207" s="49"/>
      <c r="I207" s="28" t="s">
        <v>94</v>
      </c>
      <c r="J207" s="28"/>
      <c r="K207" s="24">
        <v>109392.0</v>
      </c>
      <c r="L207" s="50" t="s">
        <v>2361</v>
      </c>
      <c r="M207" s="51" t="b">
        <v>1</v>
      </c>
      <c r="N207" s="54"/>
      <c r="O207" s="50" t="s">
        <v>2387</v>
      </c>
    </row>
    <row r="208">
      <c r="A208" s="28" t="s">
        <v>2651</v>
      </c>
      <c r="B208" s="28">
        <v>51.0</v>
      </c>
      <c r="C208" s="48" t="str">
        <f>HYPERLINK("http://ecotaxoserver.obs-vlfr.fr/browsetaxo/?id=58306","58306")</f>
        <v>58306</v>
      </c>
      <c r="D208" s="28" t="s">
        <v>187</v>
      </c>
      <c r="E208" s="49"/>
      <c r="F208" s="49"/>
      <c r="G208" s="49"/>
      <c r="I208" s="28" t="s">
        <v>94</v>
      </c>
      <c r="J208" s="28"/>
      <c r="K208" s="24">
        <v>109475.0</v>
      </c>
      <c r="L208" s="50" t="s">
        <v>2412</v>
      </c>
      <c r="M208" s="51" t="b">
        <v>1</v>
      </c>
      <c r="N208" s="54"/>
      <c r="O208" s="50" t="s">
        <v>2387</v>
      </c>
    </row>
    <row r="209">
      <c r="A209" s="28" t="s">
        <v>2652</v>
      </c>
      <c r="B209" s="28">
        <v>250.0</v>
      </c>
      <c r="C209" s="48" t="str">
        <f>HYPERLINK("http://ecotaxoserver.obs-vlfr.fr/browsetaxo/?id=58319","58319")</f>
        <v>58319</v>
      </c>
      <c r="D209" s="28" t="s">
        <v>187</v>
      </c>
      <c r="E209" s="49"/>
      <c r="F209" s="49"/>
      <c r="G209" s="49"/>
      <c r="I209" s="28" t="s">
        <v>94</v>
      </c>
      <c r="J209" s="28"/>
      <c r="K209" s="24">
        <v>109475.0</v>
      </c>
      <c r="L209" s="50" t="s">
        <v>2424</v>
      </c>
      <c r="M209" s="51" t="b">
        <v>1</v>
      </c>
      <c r="N209" s="54"/>
      <c r="O209" s="50" t="s">
        <v>2387</v>
      </c>
    </row>
    <row r="210">
      <c r="A210" s="28" t="s">
        <v>2653</v>
      </c>
      <c r="B210" s="28">
        <v>52.0</v>
      </c>
      <c r="C210" s="48" t="str">
        <f>HYPERLINK("http://ecotaxoserver.obs-vlfr.fr/browsetaxo/?id=58322","58322")</f>
        <v>58322</v>
      </c>
      <c r="D210" s="28" t="s">
        <v>187</v>
      </c>
      <c r="E210" s="49"/>
      <c r="F210" s="49"/>
      <c r="G210" s="49"/>
      <c r="I210" s="28" t="s">
        <v>94</v>
      </c>
      <c r="J210" s="28"/>
      <c r="K210" s="24">
        <v>109475.0</v>
      </c>
      <c r="L210" s="50" t="s">
        <v>2359</v>
      </c>
      <c r="M210" s="51" t="b">
        <v>1</v>
      </c>
      <c r="N210" s="54"/>
      <c r="O210" s="50" t="s">
        <v>2387</v>
      </c>
    </row>
    <row r="211">
      <c r="A211" s="28" t="s">
        <v>2654</v>
      </c>
      <c r="B211" s="28">
        <v>319.0</v>
      </c>
      <c r="C211" s="48" t="str">
        <f>HYPERLINK("http://ecotaxoserver.obs-vlfr.fr/browsetaxo/?id=85299","85299")</f>
        <v>85299</v>
      </c>
      <c r="D211" s="28" t="s">
        <v>960</v>
      </c>
      <c r="E211" s="49"/>
      <c r="F211" s="49"/>
      <c r="G211" s="49"/>
      <c r="I211" s="28" t="s">
        <v>94</v>
      </c>
      <c r="J211" s="28"/>
      <c r="K211" s="24">
        <v>369190.0</v>
      </c>
      <c r="L211" s="50" t="s">
        <v>2412</v>
      </c>
      <c r="M211" s="51" t="b">
        <v>1</v>
      </c>
      <c r="N211" s="54"/>
      <c r="O211" s="50" t="s">
        <v>2387</v>
      </c>
    </row>
    <row r="212">
      <c r="A212" s="28" t="s">
        <v>2655</v>
      </c>
      <c r="B212" s="28">
        <v>400.0</v>
      </c>
      <c r="C212" s="48" t="str">
        <f>HYPERLINK("http://ecotaxoserver.obs-vlfr.fr/browsetaxo/?id=85300","85300")</f>
        <v>85300</v>
      </c>
      <c r="D212" s="28" t="s">
        <v>960</v>
      </c>
      <c r="E212" s="49"/>
      <c r="F212" s="49"/>
      <c r="G212" s="49"/>
      <c r="I212" s="28" t="s">
        <v>94</v>
      </c>
      <c r="J212" s="28"/>
      <c r="K212" s="24">
        <v>369190.0</v>
      </c>
      <c r="L212" s="50" t="s">
        <v>2424</v>
      </c>
      <c r="M212" s="51" t="b">
        <v>1</v>
      </c>
      <c r="N212" s="54"/>
      <c r="O212" s="50" t="s">
        <v>2387</v>
      </c>
    </row>
    <row r="213">
      <c r="A213" s="28" t="s">
        <v>2656</v>
      </c>
      <c r="B213" s="28">
        <v>51.0</v>
      </c>
      <c r="C213" s="48" t="str">
        <f>HYPERLINK("http://ecotaxoserver.obs-vlfr.fr/browsetaxo/?id=85301","85301")</f>
        <v>85301</v>
      </c>
      <c r="D213" s="28" t="s">
        <v>960</v>
      </c>
      <c r="E213" s="49"/>
      <c r="F213" s="49"/>
      <c r="G213" s="49"/>
      <c r="I213" s="28" t="s">
        <v>94</v>
      </c>
      <c r="J213" s="28"/>
      <c r="K213" s="24">
        <v>369190.0</v>
      </c>
      <c r="L213" s="50" t="s">
        <v>2359</v>
      </c>
      <c r="M213" s="51" t="b">
        <v>1</v>
      </c>
      <c r="N213" s="54"/>
      <c r="O213" s="50" t="s">
        <v>2387</v>
      </c>
    </row>
    <row r="214">
      <c r="A214" s="28" t="s">
        <v>2657</v>
      </c>
      <c r="B214" s="28">
        <v>1.0</v>
      </c>
      <c r="C214" s="48" t="str">
        <f>HYPERLINK("http://ecotaxoserver.obs-vlfr.fr/browsetaxo/?id=44433","44433")</f>
        <v>44433</v>
      </c>
      <c r="D214" s="28" t="s">
        <v>2193</v>
      </c>
      <c r="E214" s="49"/>
      <c r="F214" s="49"/>
      <c r="G214" s="49"/>
      <c r="I214" s="28" t="s">
        <v>94</v>
      </c>
      <c r="J214" s="28"/>
      <c r="K214" s="28"/>
      <c r="L214" s="28"/>
      <c r="M214" s="55" t="b">
        <v>0</v>
      </c>
      <c r="N214" s="53" t="s">
        <v>2658</v>
      </c>
      <c r="O214" s="50" t="s">
        <v>1928</v>
      </c>
    </row>
    <row r="215">
      <c r="A215" s="28" t="s">
        <v>2659</v>
      </c>
      <c r="B215" s="28">
        <v>2.0</v>
      </c>
      <c r="C215" s="48" t="str">
        <f>HYPERLINK("http://ecotaxoserver.obs-vlfr.fr/browsetaxo/?id=49987","49987")</f>
        <v>49987</v>
      </c>
      <c r="D215" s="28" t="s">
        <v>499</v>
      </c>
      <c r="E215" s="49"/>
      <c r="F215" s="49"/>
      <c r="G215" s="49"/>
      <c r="I215" s="28" t="s">
        <v>94</v>
      </c>
      <c r="J215" s="28"/>
      <c r="K215" s="28"/>
      <c r="L215" s="28"/>
      <c r="M215" s="55" t="b">
        <v>0</v>
      </c>
      <c r="N215" s="53" t="s">
        <v>2464</v>
      </c>
      <c r="O215" s="50" t="s">
        <v>1928</v>
      </c>
    </row>
    <row r="216">
      <c r="A216" s="28" t="s">
        <v>2660</v>
      </c>
      <c r="B216" s="28">
        <v>411.0</v>
      </c>
      <c r="C216" s="48" t="str">
        <f>HYPERLINK("http://ecotaxoserver.obs-vlfr.fr/browsetaxo/?id=92690","92690")</f>
        <v>92690</v>
      </c>
      <c r="D216" s="28" t="s">
        <v>972</v>
      </c>
      <c r="E216" s="49"/>
      <c r="F216" s="49"/>
      <c r="G216" s="49"/>
      <c r="I216" s="28" t="s">
        <v>94</v>
      </c>
      <c r="J216" s="28"/>
      <c r="K216" s="66">
        <v>163248.0</v>
      </c>
      <c r="L216" s="64" t="s">
        <v>1613</v>
      </c>
      <c r="M216" s="51" t="b">
        <v>1</v>
      </c>
      <c r="N216" s="65" t="s">
        <v>2661</v>
      </c>
      <c r="O216" s="28" t="s">
        <v>94</v>
      </c>
    </row>
    <row r="217">
      <c r="A217" s="28" t="s">
        <v>2662</v>
      </c>
      <c r="B217" s="28">
        <v>100.0</v>
      </c>
      <c r="C217" s="48" t="str">
        <f>HYPERLINK("http://ecotaxoserver.obs-vlfr.fr/browsetaxo/?id=85327","85327")</f>
        <v>85327</v>
      </c>
      <c r="D217" s="28" t="s">
        <v>2663</v>
      </c>
      <c r="E217" s="49"/>
      <c r="F217" s="49"/>
      <c r="G217" s="49"/>
      <c r="I217" s="28" t="s">
        <v>94</v>
      </c>
      <c r="J217" s="28"/>
      <c r="K217" s="50"/>
      <c r="L217" s="50" t="s">
        <v>2384</v>
      </c>
      <c r="M217" s="51" t="b">
        <v>1</v>
      </c>
      <c r="N217" s="24" t="s">
        <v>2664</v>
      </c>
      <c r="O217" s="50" t="s">
        <v>1928</v>
      </c>
    </row>
    <row r="218">
      <c r="A218" s="28" t="s">
        <v>2665</v>
      </c>
      <c r="B218" s="28">
        <v>750.0</v>
      </c>
      <c r="C218" s="48" t="str">
        <f>HYPERLINK("http://ecotaxoserver.obs-vlfr.fr/browsetaxo/?id=85328","85328")</f>
        <v>85328</v>
      </c>
      <c r="D218" s="28" t="s">
        <v>2663</v>
      </c>
      <c r="E218" s="49"/>
      <c r="F218" s="49"/>
      <c r="G218" s="49"/>
      <c r="I218" s="28" t="s">
        <v>94</v>
      </c>
      <c r="J218" s="28"/>
      <c r="K218" s="50"/>
      <c r="L218" s="50" t="s">
        <v>2666</v>
      </c>
      <c r="M218" s="51" t="b">
        <v>1</v>
      </c>
      <c r="N218" s="24" t="s">
        <v>2664</v>
      </c>
      <c r="O218" s="50" t="s">
        <v>1928</v>
      </c>
    </row>
    <row r="219">
      <c r="A219" s="28" t="s">
        <v>2667</v>
      </c>
      <c r="B219" s="28">
        <v>100.0</v>
      </c>
      <c r="C219" s="48" t="str">
        <f>HYPERLINK("http://ecotaxoserver.obs-vlfr.fr/browsetaxo/?id=85329","85329")</f>
        <v>85329</v>
      </c>
      <c r="D219" s="28" t="s">
        <v>2663</v>
      </c>
      <c r="E219" s="49"/>
      <c r="F219" s="49"/>
      <c r="G219" s="49"/>
      <c r="I219" s="28" t="s">
        <v>94</v>
      </c>
      <c r="J219" s="28"/>
      <c r="K219" s="50"/>
      <c r="L219" s="50" t="s">
        <v>2668</v>
      </c>
      <c r="M219" s="51" t="b">
        <v>1</v>
      </c>
      <c r="N219" s="24" t="s">
        <v>2664</v>
      </c>
      <c r="O219" s="50" t="s">
        <v>1928</v>
      </c>
    </row>
    <row r="220">
      <c r="A220" s="28" t="s">
        <v>2669</v>
      </c>
      <c r="B220" s="28">
        <v>50.0</v>
      </c>
      <c r="C220" s="48" t="str">
        <f>HYPERLINK("http://ecotaxoserver.obs-vlfr.fr/browsetaxo/?id=85330","85330")</f>
        <v>85330</v>
      </c>
      <c r="D220" s="28" t="s">
        <v>2663</v>
      </c>
      <c r="E220" s="49"/>
      <c r="F220" s="49"/>
      <c r="G220" s="49"/>
      <c r="I220" s="28" t="s">
        <v>94</v>
      </c>
      <c r="J220" s="28"/>
      <c r="K220" s="50"/>
      <c r="L220" s="50" t="s">
        <v>2670</v>
      </c>
      <c r="M220" s="51" t="b">
        <v>1</v>
      </c>
      <c r="N220" s="24" t="s">
        <v>2664</v>
      </c>
      <c r="O220" s="50" t="s">
        <v>1928</v>
      </c>
    </row>
    <row r="221">
      <c r="A221" s="28" t="s">
        <v>2671</v>
      </c>
      <c r="B221" s="28">
        <v>50.0</v>
      </c>
      <c r="C221" s="48" t="str">
        <f>HYPERLINK("http://ecotaxoserver.obs-vlfr.fr/browsetaxo/?id=85331","85331")</f>
        <v>85331</v>
      </c>
      <c r="D221" s="28" t="s">
        <v>2663</v>
      </c>
      <c r="E221" s="49"/>
      <c r="F221" s="49"/>
      <c r="G221" s="49"/>
      <c r="I221" s="28" t="s">
        <v>94</v>
      </c>
      <c r="J221" s="28"/>
      <c r="K221" s="50"/>
      <c r="L221" s="50" t="s">
        <v>2672</v>
      </c>
      <c r="M221" s="51" t="b">
        <v>1</v>
      </c>
      <c r="N221" s="24" t="s">
        <v>2664</v>
      </c>
      <c r="O221" s="50" t="s">
        <v>1928</v>
      </c>
    </row>
    <row r="222">
      <c r="A222" s="28" t="s">
        <v>2673</v>
      </c>
      <c r="B222" s="28">
        <v>100.0</v>
      </c>
      <c r="C222" s="48" t="str">
        <f>HYPERLINK("http://ecotaxoserver.obs-vlfr.fr/browsetaxo/?id=85332","85332")</f>
        <v>85332</v>
      </c>
      <c r="D222" s="28" t="s">
        <v>2663</v>
      </c>
      <c r="E222" s="49"/>
      <c r="F222" s="49"/>
      <c r="G222" s="49"/>
      <c r="I222" s="28" t="s">
        <v>94</v>
      </c>
      <c r="J222" s="28"/>
      <c r="K222" s="50"/>
      <c r="L222" s="50" t="s">
        <v>2674</v>
      </c>
      <c r="M222" s="51" t="b">
        <v>1</v>
      </c>
      <c r="N222" s="24" t="s">
        <v>2664</v>
      </c>
      <c r="O222" s="50" t="s">
        <v>1928</v>
      </c>
    </row>
    <row r="223">
      <c r="A223" s="28" t="s">
        <v>2675</v>
      </c>
      <c r="B223" s="28">
        <v>150.0</v>
      </c>
      <c r="C223" s="48" t="str">
        <f>HYPERLINK("http://ecotaxoserver.obs-vlfr.fr/browsetaxo/?id=85333","85333")</f>
        <v>85333</v>
      </c>
      <c r="D223" s="28" t="s">
        <v>2663</v>
      </c>
      <c r="E223" s="49"/>
      <c r="F223" s="49"/>
      <c r="G223" s="49"/>
      <c r="I223" s="28" t="s">
        <v>94</v>
      </c>
      <c r="J223" s="28"/>
      <c r="K223" s="50"/>
      <c r="L223" s="50" t="s">
        <v>2676</v>
      </c>
      <c r="M223" s="51" t="b">
        <v>1</v>
      </c>
      <c r="N223" s="24" t="s">
        <v>2664</v>
      </c>
      <c r="O223" s="50" t="s">
        <v>1928</v>
      </c>
    </row>
    <row r="224">
      <c r="A224" s="28" t="s">
        <v>2677</v>
      </c>
      <c r="B224" s="28">
        <v>100.0</v>
      </c>
      <c r="C224" s="48" t="str">
        <f>HYPERLINK("http://ecotaxoserver.obs-vlfr.fr/browsetaxo/?id=85334","85334")</f>
        <v>85334</v>
      </c>
      <c r="D224" s="28" t="s">
        <v>2663</v>
      </c>
      <c r="E224" s="49"/>
      <c r="F224" s="49"/>
      <c r="G224" s="49"/>
      <c r="I224" s="28" t="s">
        <v>94</v>
      </c>
      <c r="J224" s="28"/>
      <c r="K224" s="50"/>
      <c r="L224" s="50" t="s">
        <v>2678</v>
      </c>
      <c r="M224" s="51" t="b">
        <v>1</v>
      </c>
      <c r="N224" s="24" t="s">
        <v>2664</v>
      </c>
      <c r="O224" s="50" t="s">
        <v>1928</v>
      </c>
    </row>
    <row r="225">
      <c r="A225" s="28" t="s">
        <v>2679</v>
      </c>
      <c r="B225" s="28">
        <v>450.0</v>
      </c>
      <c r="C225" s="48" t="str">
        <f>HYPERLINK("http://ecotaxoserver.obs-vlfr.fr/browsetaxo/?id=85335","85335")</f>
        <v>85335</v>
      </c>
      <c r="D225" s="28" t="s">
        <v>2663</v>
      </c>
      <c r="E225" s="49"/>
      <c r="F225" s="49"/>
      <c r="G225" s="49"/>
      <c r="I225" s="28" t="s">
        <v>94</v>
      </c>
      <c r="J225" s="28"/>
      <c r="K225" s="50"/>
      <c r="L225" s="50" t="s">
        <v>2680</v>
      </c>
      <c r="M225" s="51" t="b">
        <v>1</v>
      </c>
      <c r="N225" s="24" t="s">
        <v>2664</v>
      </c>
      <c r="O225" s="50" t="s">
        <v>1928</v>
      </c>
    </row>
    <row r="226">
      <c r="A226" s="28" t="s">
        <v>2329</v>
      </c>
      <c r="B226" s="28">
        <v>635.0</v>
      </c>
      <c r="C226" s="48" t="str">
        <f>HYPERLINK("http://ecotaxoserver.obs-vlfr.fr/browsetaxo/?id=58440","58440")</f>
        <v>58440</v>
      </c>
      <c r="D226" s="28" t="s">
        <v>984</v>
      </c>
      <c r="E226" s="49"/>
      <c r="F226" s="49"/>
      <c r="G226" s="49"/>
      <c r="I226" s="28" t="s">
        <v>94</v>
      </c>
      <c r="J226" s="28"/>
      <c r="L226" s="50" t="s">
        <v>2384</v>
      </c>
      <c r="M226" s="51" t="b">
        <v>0</v>
      </c>
      <c r="N226" s="53" t="s">
        <v>2681</v>
      </c>
      <c r="O226" s="50" t="s">
        <v>1928</v>
      </c>
    </row>
    <row r="227">
      <c r="A227" s="28" t="s">
        <v>986</v>
      </c>
      <c r="B227" s="28">
        <v>33.0</v>
      </c>
      <c r="C227" s="48" t="str">
        <f>HYPERLINK("http://ecotaxoserver.obs-vlfr.fr/browsetaxo/?id=58446","58446")</f>
        <v>58446</v>
      </c>
      <c r="D227" s="28" t="s">
        <v>984</v>
      </c>
      <c r="E227" s="49"/>
      <c r="F227" s="49"/>
      <c r="G227" s="49"/>
      <c r="I227" s="28" t="s">
        <v>94</v>
      </c>
      <c r="J227" s="28"/>
      <c r="L227" s="50" t="s">
        <v>2666</v>
      </c>
      <c r="M227" s="51" t="b">
        <v>0</v>
      </c>
      <c r="N227" s="53" t="s">
        <v>2681</v>
      </c>
      <c r="O227" s="50" t="s">
        <v>1928</v>
      </c>
    </row>
    <row r="228">
      <c r="A228" s="28" t="s">
        <v>2682</v>
      </c>
      <c r="B228" s="28">
        <v>2085.0</v>
      </c>
      <c r="C228" s="48" t="str">
        <f>HYPERLINK("http://ecotaxoserver.obs-vlfr.fr/browsetaxo/?id=58458","58458")</f>
        <v>58458</v>
      </c>
      <c r="D228" s="28" t="s">
        <v>984</v>
      </c>
      <c r="E228" s="49"/>
      <c r="F228" s="49"/>
      <c r="G228" s="49"/>
      <c r="I228" s="28" t="s">
        <v>94</v>
      </c>
      <c r="J228" s="28"/>
      <c r="K228" s="24">
        <v>231800.0</v>
      </c>
      <c r="L228" s="50" t="s">
        <v>2668</v>
      </c>
      <c r="M228" s="51" t="b">
        <v>1</v>
      </c>
      <c r="N228" s="54"/>
      <c r="O228" s="50" t="s">
        <v>1928</v>
      </c>
    </row>
    <row r="229">
      <c r="A229" s="28" t="s">
        <v>741</v>
      </c>
      <c r="B229" s="28">
        <v>12.0</v>
      </c>
      <c r="C229" s="48" t="str">
        <f>HYPERLINK("http://ecotaxoserver.obs-vlfr.fr/browsetaxo/?id=11226","11226")</f>
        <v>11226</v>
      </c>
      <c r="D229" s="28" t="s">
        <v>1225</v>
      </c>
      <c r="E229" s="49"/>
      <c r="F229" s="49"/>
      <c r="G229" s="49"/>
      <c r="I229" s="28" t="s">
        <v>94</v>
      </c>
      <c r="J229" s="24"/>
      <c r="K229" s="61">
        <v>536209.0</v>
      </c>
      <c r="L229" s="50"/>
      <c r="M229" s="55" t="b">
        <v>0</v>
      </c>
      <c r="N229" s="72" t="s">
        <v>2683</v>
      </c>
      <c r="O229" s="24" t="s">
        <v>1928</v>
      </c>
    </row>
    <row r="230">
      <c r="A230" s="28" t="s">
        <v>2684</v>
      </c>
      <c r="B230" s="28">
        <v>59.0</v>
      </c>
      <c r="C230" s="48" t="str">
        <f>HYPERLINK("http://ecotaxoserver.obs-vlfr.fr/browsetaxo/?id=72284","72284")</f>
        <v>72284</v>
      </c>
      <c r="D230" s="28" t="s">
        <v>2685</v>
      </c>
      <c r="E230" s="56">
        <v>267491.0</v>
      </c>
      <c r="F230" s="49" t="s">
        <v>2371</v>
      </c>
      <c r="G230" s="56">
        <v>267491.0</v>
      </c>
      <c r="H230" s="22" t="s">
        <v>2684</v>
      </c>
      <c r="I230" s="28" t="s">
        <v>94</v>
      </c>
      <c r="J230" s="56">
        <v>267491.0</v>
      </c>
      <c r="K230" s="28"/>
      <c r="L230" s="28"/>
      <c r="M230" s="55" t="b">
        <v>0</v>
      </c>
      <c r="N230" s="54"/>
      <c r="O230" s="50" t="s">
        <v>2489</v>
      </c>
    </row>
    <row r="231">
      <c r="A231" s="28" t="s">
        <v>2686</v>
      </c>
      <c r="B231" s="28">
        <v>1.0</v>
      </c>
      <c r="C231" s="48" t="str">
        <f>HYPERLINK("http://ecotaxoserver.obs-vlfr.fr/browsetaxo/?id=49914","49914")</f>
        <v>49914</v>
      </c>
      <c r="D231" s="28" t="s">
        <v>499</v>
      </c>
      <c r="E231" s="49"/>
      <c r="F231" s="49"/>
      <c r="G231" s="49"/>
      <c r="I231" s="28" t="s">
        <v>94</v>
      </c>
      <c r="J231" s="28"/>
      <c r="K231" s="28"/>
      <c r="L231" s="28"/>
      <c r="M231" s="55" t="b">
        <v>0</v>
      </c>
      <c r="N231" s="53" t="s">
        <v>2464</v>
      </c>
      <c r="O231" s="50" t="s">
        <v>1928</v>
      </c>
    </row>
    <row r="232">
      <c r="A232" s="28" t="s">
        <v>2687</v>
      </c>
      <c r="B232" s="28">
        <v>1.0</v>
      </c>
      <c r="C232" s="48" t="str">
        <f>HYPERLINK("http://ecotaxoserver.obs-vlfr.fr/browsetaxo/?id=44036","44036")</f>
        <v>44036</v>
      </c>
      <c r="D232" s="28" t="s">
        <v>2407</v>
      </c>
      <c r="E232" s="56">
        <v>1366037.0</v>
      </c>
      <c r="F232" s="49" t="s">
        <v>2371</v>
      </c>
      <c r="G232" s="56">
        <v>1366037.0</v>
      </c>
      <c r="H232" s="22" t="s">
        <v>2687</v>
      </c>
      <c r="I232" s="28" t="s">
        <v>94</v>
      </c>
      <c r="J232" s="56">
        <v>1366037.0</v>
      </c>
      <c r="K232" s="28"/>
      <c r="L232" s="28"/>
      <c r="M232" s="55" t="b">
        <v>0</v>
      </c>
      <c r="N232" s="53"/>
      <c r="O232" s="50" t="s">
        <v>2489</v>
      </c>
    </row>
    <row r="233">
      <c r="A233" s="28" t="s">
        <v>2688</v>
      </c>
      <c r="B233" s="28">
        <v>2.0</v>
      </c>
      <c r="C233" s="48" t="str">
        <f>HYPERLINK("http://ecotaxoserver.obs-vlfr.fr/browsetaxo/?id=84276","84276")</f>
        <v>84276</v>
      </c>
      <c r="D233" s="28" t="s">
        <v>2689</v>
      </c>
      <c r="E233" s="56">
        <v>107590.0</v>
      </c>
      <c r="F233" s="49" t="s">
        <v>2371</v>
      </c>
      <c r="G233" s="56">
        <v>107590.0</v>
      </c>
      <c r="H233" s="22" t="s">
        <v>2688</v>
      </c>
      <c r="I233" s="28" t="s">
        <v>94</v>
      </c>
      <c r="J233" s="56">
        <v>107590.0</v>
      </c>
      <c r="K233" s="28"/>
      <c r="L233" s="28"/>
      <c r="M233" s="55" t="b">
        <v>0</v>
      </c>
      <c r="N233" s="54"/>
      <c r="O233" s="50" t="s">
        <v>2489</v>
      </c>
    </row>
    <row r="234">
      <c r="A234" s="28" t="s">
        <v>2690</v>
      </c>
      <c r="B234" s="28">
        <v>1.0</v>
      </c>
      <c r="C234" s="48" t="str">
        <f>HYPERLINK("http://ecotaxoserver.obs-vlfr.fr/browsetaxo/?id=49901","49901")</f>
        <v>49901</v>
      </c>
      <c r="D234" s="28" t="s">
        <v>499</v>
      </c>
      <c r="E234" s="49"/>
      <c r="F234" s="49"/>
      <c r="G234" s="49"/>
      <c r="I234" s="28" t="s">
        <v>94</v>
      </c>
      <c r="J234" s="28"/>
      <c r="K234" s="28"/>
      <c r="L234" s="28"/>
      <c r="M234" s="55" t="b">
        <v>0</v>
      </c>
      <c r="N234" s="53" t="s">
        <v>2464</v>
      </c>
      <c r="O234" s="50" t="s">
        <v>1928</v>
      </c>
    </row>
    <row r="235">
      <c r="A235" s="28" t="s">
        <v>2691</v>
      </c>
      <c r="B235" s="28">
        <v>2.0</v>
      </c>
      <c r="C235" s="48" t="str">
        <f>HYPERLINK("http://ecotaxoserver.obs-vlfr.fr/browsetaxo/?id=84823","84823")</f>
        <v>84823</v>
      </c>
      <c r="D235" s="28" t="s">
        <v>2692</v>
      </c>
      <c r="E235" s="56">
        <v>107077.0</v>
      </c>
      <c r="F235" s="49" t="s">
        <v>2371</v>
      </c>
      <c r="G235" s="56">
        <v>107077.0</v>
      </c>
      <c r="H235" s="22" t="s">
        <v>2691</v>
      </c>
      <c r="I235" s="28" t="s">
        <v>94</v>
      </c>
      <c r="J235" s="56">
        <v>107077.0</v>
      </c>
      <c r="K235" s="28"/>
      <c r="L235" s="28"/>
      <c r="M235" s="55" t="b">
        <v>0</v>
      </c>
      <c r="N235" s="54"/>
      <c r="O235" s="50" t="s">
        <v>2489</v>
      </c>
    </row>
    <row r="236">
      <c r="A236" s="28" t="s">
        <v>2693</v>
      </c>
      <c r="B236" s="28">
        <v>1.0</v>
      </c>
      <c r="C236" s="48" t="str">
        <f>HYPERLINK("http://ecotaxoserver.obs-vlfr.fr/browsetaxo/?id=64178","64178")</f>
        <v>64178</v>
      </c>
      <c r="D236" s="28" t="s">
        <v>2694</v>
      </c>
      <c r="E236" s="49"/>
      <c r="F236" s="49"/>
      <c r="G236" s="49"/>
      <c r="I236" s="50"/>
      <c r="J236" s="28"/>
      <c r="K236" s="28"/>
      <c r="L236" s="50" t="s">
        <v>2694</v>
      </c>
      <c r="M236" s="55" t="b">
        <v>0</v>
      </c>
      <c r="N236" s="53" t="s">
        <v>2464</v>
      </c>
      <c r="O236" s="50" t="s">
        <v>1928</v>
      </c>
    </row>
    <row r="237">
      <c r="A237" s="28" t="s">
        <v>2695</v>
      </c>
      <c r="B237" s="28">
        <v>2.0</v>
      </c>
      <c r="C237" s="48" t="str">
        <f>HYPERLINK("http://ecotaxoserver.obs-vlfr.fr/browsetaxo/?id=15386","15386")</f>
        <v>15386</v>
      </c>
      <c r="D237" s="28" t="s">
        <v>2696</v>
      </c>
      <c r="E237" s="56">
        <v>178609.0</v>
      </c>
      <c r="F237" s="49" t="s">
        <v>2371</v>
      </c>
      <c r="G237" s="56">
        <v>178609.0</v>
      </c>
      <c r="H237" s="22" t="s">
        <v>2695</v>
      </c>
      <c r="I237" s="28" t="s">
        <v>94</v>
      </c>
      <c r="J237" s="56">
        <v>178609.0</v>
      </c>
      <c r="K237" s="28"/>
      <c r="L237" s="28"/>
      <c r="M237" s="55" t="b">
        <v>0</v>
      </c>
      <c r="N237" s="54"/>
      <c r="O237" s="50" t="s">
        <v>2489</v>
      </c>
    </row>
    <row r="238">
      <c r="A238" s="28" t="s">
        <v>2697</v>
      </c>
      <c r="B238" s="28">
        <v>11.0</v>
      </c>
      <c r="C238" s="48" t="str">
        <f>HYPERLINK("http://ecotaxoserver.obs-vlfr.fr/browsetaxo/?id=92764","92764")</f>
        <v>92764</v>
      </c>
      <c r="D238" s="28" t="s">
        <v>1064</v>
      </c>
      <c r="E238" s="49"/>
      <c r="F238" s="49"/>
      <c r="G238" s="49"/>
      <c r="I238" s="28" t="s">
        <v>94</v>
      </c>
      <c r="J238" s="24">
        <v>325370.0</v>
      </c>
      <c r="K238" s="28"/>
      <c r="L238" s="62"/>
      <c r="M238" s="55" t="b">
        <v>0</v>
      </c>
      <c r="N238" s="53" t="s">
        <v>2698</v>
      </c>
      <c r="O238" s="50" t="s">
        <v>1928</v>
      </c>
    </row>
    <row r="239">
      <c r="A239" s="28" t="s">
        <v>2692</v>
      </c>
      <c r="B239" s="28">
        <v>71.0</v>
      </c>
      <c r="C239" s="48" t="str">
        <f>HYPERLINK("http://ecotaxoserver.obs-vlfr.fr/browsetaxo/?id=83671","83671")</f>
        <v>83671</v>
      </c>
      <c r="D239" s="28" t="s">
        <v>2619</v>
      </c>
      <c r="E239" s="56">
        <v>106802.0</v>
      </c>
      <c r="F239" s="49" t="s">
        <v>2371</v>
      </c>
      <c r="G239" s="56">
        <v>106802.0</v>
      </c>
      <c r="H239" s="22" t="s">
        <v>2692</v>
      </c>
      <c r="I239" s="28" t="s">
        <v>94</v>
      </c>
      <c r="J239" s="56">
        <v>106802.0</v>
      </c>
      <c r="K239" s="28"/>
      <c r="L239" s="28"/>
      <c r="M239" s="55" t="b">
        <v>0</v>
      </c>
      <c r="N239" s="54"/>
      <c r="O239" s="50" t="s">
        <v>2489</v>
      </c>
    </row>
    <row r="240">
      <c r="A240" s="28" t="s">
        <v>2699</v>
      </c>
      <c r="B240" s="28">
        <v>3.0</v>
      </c>
      <c r="C240" s="48" t="str">
        <f>HYPERLINK("http://ecotaxoserver.obs-vlfr.fr/browsetaxo/?id=56072","56072")</f>
        <v>56072</v>
      </c>
      <c r="D240" s="28" t="s">
        <v>1081</v>
      </c>
      <c r="E240" s="56"/>
      <c r="F240" s="49"/>
      <c r="G240" s="56"/>
      <c r="I240" s="28" t="s">
        <v>94</v>
      </c>
      <c r="J240" s="28"/>
      <c r="K240" s="30"/>
      <c r="L240" s="28"/>
      <c r="M240" s="55" t="b">
        <v>0</v>
      </c>
      <c r="N240" s="73" t="s">
        <v>2700</v>
      </c>
      <c r="O240" s="24" t="s">
        <v>1928</v>
      </c>
    </row>
    <row r="241">
      <c r="A241" s="28" t="s">
        <v>2701</v>
      </c>
      <c r="B241" s="28">
        <v>12.0</v>
      </c>
      <c r="C241" s="48" t="str">
        <f>HYPERLINK("http://ecotaxoserver.obs-vlfr.fr/browsetaxo/?id=13222","13222")</f>
        <v>13222</v>
      </c>
      <c r="D241" s="28" t="s">
        <v>2702</v>
      </c>
      <c r="E241" s="56">
        <v>119077.0</v>
      </c>
      <c r="F241" s="49" t="s">
        <v>2371</v>
      </c>
      <c r="G241" s="56">
        <v>119077.0</v>
      </c>
      <c r="H241" s="22" t="s">
        <v>2701</v>
      </c>
      <c r="I241" s="28" t="s">
        <v>94</v>
      </c>
      <c r="J241" s="56">
        <v>119077.0</v>
      </c>
      <c r="K241" s="28"/>
      <c r="L241" s="28"/>
      <c r="M241" s="55" t="b">
        <v>0</v>
      </c>
      <c r="N241" s="54"/>
      <c r="O241" s="50" t="s">
        <v>2489</v>
      </c>
    </row>
    <row r="242">
      <c r="A242" s="28" t="s">
        <v>2703</v>
      </c>
      <c r="B242" s="28">
        <v>516.0</v>
      </c>
      <c r="C242" s="48" t="str">
        <f>HYPERLINK("http://ecotaxoserver.obs-vlfr.fr/browsetaxo/?id=26468","26468")</f>
        <v>26468</v>
      </c>
      <c r="D242" s="28" t="s">
        <v>2704</v>
      </c>
      <c r="E242" s="56">
        <v>154015.0</v>
      </c>
      <c r="F242" s="49" t="s">
        <v>2371</v>
      </c>
      <c r="G242" s="56">
        <v>154015.0</v>
      </c>
      <c r="H242" s="22" t="s">
        <v>2703</v>
      </c>
      <c r="I242" s="28" t="s">
        <v>94</v>
      </c>
      <c r="J242" s="56">
        <v>154015.0</v>
      </c>
      <c r="K242" s="28"/>
      <c r="L242" s="28"/>
      <c r="M242" s="55" t="b">
        <v>0</v>
      </c>
      <c r="N242" s="54"/>
      <c r="O242" s="50" t="s">
        <v>2489</v>
      </c>
    </row>
    <row r="243">
      <c r="A243" s="28" t="s">
        <v>2705</v>
      </c>
      <c r="B243" s="28">
        <v>1.0</v>
      </c>
      <c r="C243" s="48" t="str">
        <f>HYPERLINK("http://ecotaxoserver.obs-vlfr.fr/browsetaxo/?id=58295","58295")</f>
        <v>58295</v>
      </c>
      <c r="D243" s="28" t="s">
        <v>2706</v>
      </c>
      <c r="E243" s="49"/>
      <c r="F243" s="49"/>
      <c r="G243" s="49"/>
      <c r="I243" s="28" t="s">
        <v>94</v>
      </c>
      <c r="J243" s="24">
        <v>233592.0</v>
      </c>
      <c r="K243" s="28"/>
      <c r="L243" s="62"/>
      <c r="M243" s="55" t="b">
        <v>0</v>
      </c>
      <c r="N243" s="54"/>
      <c r="O243" s="50" t="s">
        <v>1928</v>
      </c>
    </row>
    <row r="244">
      <c r="A244" s="28" t="s">
        <v>2591</v>
      </c>
      <c r="B244" s="28">
        <v>18538.0</v>
      </c>
      <c r="C244" s="48" t="str">
        <f>HYPERLINK("http://ecotaxoserver.obs-vlfr.fr/browsetaxo/?id=1","1")</f>
        <v>1</v>
      </c>
      <c r="D244" s="28"/>
      <c r="E244" s="49"/>
      <c r="F244" s="49"/>
      <c r="G244" s="49"/>
      <c r="H244" s="24" t="s">
        <v>2707</v>
      </c>
      <c r="I244" s="28" t="s">
        <v>94</v>
      </c>
      <c r="J244" s="50">
        <v>1.0</v>
      </c>
      <c r="K244" s="28"/>
      <c r="L244" s="28"/>
      <c r="M244" s="51" t="b">
        <v>0</v>
      </c>
      <c r="N244" s="54"/>
      <c r="O244" s="50" t="s">
        <v>1928</v>
      </c>
    </row>
    <row r="245">
      <c r="A245" s="28" t="s">
        <v>2708</v>
      </c>
      <c r="B245" s="28">
        <v>1.0</v>
      </c>
      <c r="C245" s="48" t="str">
        <f>HYPERLINK("http://ecotaxoserver.obs-vlfr.fr/browsetaxo/?id=93140","93140")</f>
        <v>93140</v>
      </c>
      <c r="D245" s="28" t="s">
        <v>2709</v>
      </c>
      <c r="E245" s="49"/>
      <c r="F245" s="49"/>
      <c r="G245" s="49"/>
      <c r="I245" s="28" t="s">
        <v>94</v>
      </c>
      <c r="J245" s="24">
        <v>126974.0</v>
      </c>
      <c r="K245" s="28"/>
      <c r="L245" s="62"/>
      <c r="M245" s="55" t="b">
        <v>0</v>
      </c>
      <c r="N245" s="53" t="s">
        <v>2698</v>
      </c>
      <c r="O245" s="50" t="s">
        <v>1928</v>
      </c>
    </row>
    <row r="246">
      <c r="A246" s="28" t="s">
        <v>2710</v>
      </c>
      <c r="B246" s="28">
        <v>1115.0</v>
      </c>
      <c r="C246" s="48" t="str">
        <f>HYPERLINK("http://ecotaxoserver.obs-vlfr.fr/browsetaxo/?id=92269","92269")</f>
        <v>92269</v>
      </c>
      <c r="D246" s="28" t="s">
        <v>1192</v>
      </c>
      <c r="E246" s="49"/>
      <c r="F246" s="49"/>
      <c r="G246" s="49"/>
      <c r="I246" s="28" t="s">
        <v>94</v>
      </c>
      <c r="J246" s="28"/>
      <c r="K246" s="24">
        <v>104632.0</v>
      </c>
      <c r="L246" s="28"/>
      <c r="M246" s="51" t="b">
        <v>1</v>
      </c>
      <c r="N246" s="54"/>
      <c r="O246" s="50" t="s">
        <v>1928</v>
      </c>
    </row>
    <row r="247">
      <c r="A247" s="28" t="s">
        <v>2710</v>
      </c>
      <c r="B247" s="28">
        <v>130.0</v>
      </c>
      <c r="C247" s="48" t="str">
        <f>HYPERLINK("http://ecotaxoserver.obs-vlfr.fr/browsetaxo/?id=92252","92252")</f>
        <v>92252</v>
      </c>
      <c r="D247" s="28" t="s">
        <v>1195</v>
      </c>
      <c r="E247" s="49"/>
      <c r="F247" s="49"/>
      <c r="G247" s="49"/>
      <c r="I247" s="28" t="s">
        <v>94</v>
      </c>
      <c r="J247" s="28"/>
      <c r="K247" s="24">
        <v>104164.0</v>
      </c>
      <c r="L247" s="28"/>
      <c r="M247" s="51" t="b">
        <v>1</v>
      </c>
      <c r="N247" s="54"/>
      <c r="O247" s="50" t="s">
        <v>1928</v>
      </c>
    </row>
    <row r="248">
      <c r="A248" s="28" t="s">
        <v>2710</v>
      </c>
      <c r="B248" s="28">
        <v>64.0</v>
      </c>
      <c r="C248" s="48" t="str">
        <f>HYPERLINK("http://ecotaxoserver.obs-vlfr.fr/browsetaxo/?id=92276","92276")</f>
        <v>92276</v>
      </c>
      <c r="D248" s="28" t="s">
        <v>386</v>
      </c>
      <c r="E248" s="49"/>
      <c r="F248" s="49"/>
      <c r="G248" s="49"/>
      <c r="I248" s="28" t="s">
        <v>94</v>
      </c>
      <c r="J248" s="28"/>
      <c r="K248" s="24">
        <v>104152.0</v>
      </c>
      <c r="L248" s="28"/>
      <c r="M248" s="51" t="b">
        <v>1</v>
      </c>
      <c r="N248" s="54"/>
      <c r="O248" s="50" t="s">
        <v>1928</v>
      </c>
    </row>
    <row r="249">
      <c r="A249" s="28" t="s">
        <v>2710</v>
      </c>
      <c r="B249" s="28">
        <v>35.0</v>
      </c>
      <c r="C249" s="48" t="str">
        <f>HYPERLINK("http://ecotaxoserver.obs-vlfr.fr/browsetaxo/?id=92314","92314")</f>
        <v>92314</v>
      </c>
      <c r="D249" s="28" t="s">
        <v>1300</v>
      </c>
      <c r="E249" s="49"/>
      <c r="F249" s="49"/>
      <c r="G249" s="49"/>
      <c r="I249" s="28" t="s">
        <v>94</v>
      </c>
      <c r="J249" s="28"/>
      <c r="K249" s="24">
        <v>106651.0</v>
      </c>
      <c r="L249" s="28"/>
      <c r="M249" s="51" t="b">
        <v>1</v>
      </c>
      <c r="N249" s="54"/>
      <c r="O249" s="50" t="s">
        <v>1928</v>
      </c>
    </row>
    <row r="250">
      <c r="A250" s="28" t="s">
        <v>2710</v>
      </c>
      <c r="B250" s="28">
        <v>4.0</v>
      </c>
      <c r="C250" s="48" t="str">
        <f>HYPERLINK("http://ecotaxoserver.obs-vlfr.fr/browsetaxo/?id=92256","92256")</f>
        <v>92256</v>
      </c>
      <c r="D250" s="28" t="s">
        <v>1556</v>
      </c>
      <c r="E250" s="49"/>
      <c r="F250" s="49"/>
      <c r="G250" s="49"/>
      <c r="I250" s="28" t="s">
        <v>94</v>
      </c>
      <c r="J250" s="28"/>
      <c r="K250" s="24">
        <v>104165.0</v>
      </c>
      <c r="L250" s="28"/>
      <c r="M250" s="51" t="b">
        <v>1</v>
      </c>
      <c r="N250" s="54"/>
      <c r="O250" s="50" t="s">
        <v>1928</v>
      </c>
    </row>
    <row r="251">
      <c r="A251" s="28" t="s">
        <v>2710</v>
      </c>
      <c r="B251" s="28">
        <v>4.0</v>
      </c>
      <c r="C251" s="48" t="str">
        <f>HYPERLINK("http://ecotaxoserver.obs-vlfr.fr/browsetaxo/?id=92308","92308")</f>
        <v>92308</v>
      </c>
      <c r="D251" s="28" t="s">
        <v>388</v>
      </c>
      <c r="E251" s="49"/>
      <c r="F251" s="49"/>
      <c r="G251" s="49"/>
      <c r="I251" s="28" t="s">
        <v>94</v>
      </c>
      <c r="J251" s="28"/>
      <c r="K251" s="24">
        <v>104467.0</v>
      </c>
      <c r="L251" s="28"/>
      <c r="M251" s="51" t="b">
        <v>1</v>
      </c>
      <c r="N251" s="54"/>
      <c r="O251" s="50" t="s">
        <v>1928</v>
      </c>
    </row>
    <row r="252">
      <c r="A252" s="30" t="s">
        <v>2711</v>
      </c>
      <c r="B252" s="22">
        <v>100.0</v>
      </c>
      <c r="C252" s="23" t="str">
        <f>HYPERLINK("http://ecotaxoserver.obs-vlfr.fr/browsetaxo/?id=11916","11916")</f>
        <v>11916</v>
      </c>
      <c r="D252" s="22" t="s">
        <v>741</v>
      </c>
      <c r="E252" s="49"/>
      <c r="F252" s="49"/>
      <c r="G252" s="49"/>
      <c r="I252" s="22" t="s">
        <v>94</v>
      </c>
      <c r="M252" s="55" t="b">
        <v>0</v>
      </c>
      <c r="N252" s="10" t="s">
        <v>2712</v>
      </c>
      <c r="O252" s="22" t="s">
        <v>94</v>
      </c>
    </row>
    <row r="253">
      <c r="A253" s="28" t="s">
        <v>2713</v>
      </c>
      <c r="B253" s="28">
        <v>8.0</v>
      </c>
      <c r="C253" s="48" t="str">
        <f>HYPERLINK("http://ecotaxoserver.obs-vlfr.fr/browsetaxo/?id=93601","93601")</f>
        <v>93601</v>
      </c>
      <c r="D253" s="28" t="s">
        <v>119</v>
      </c>
      <c r="E253" s="49"/>
      <c r="F253" s="49"/>
      <c r="G253" s="49"/>
      <c r="I253" s="28" t="s">
        <v>94</v>
      </c>
      <c r="J253" s="28"/>
      <c r="K253" s="24">
        <v>291406.0</v>
      </c>
      <c r="L253" s="50" t="s">
        <v>2447</v>
      </c>
      <c r="M253" s="51" t="b">
        <v>1</v>
      </c>
      <c r="N253" s="53" t="s">
        <v>2714</v>
      </c>
      <c r="O253" s="50" t="s">
        <v>1928</v>
      </c>
    </row>
    <row r="254">
      <c r="A254" s="28" t="s">
        <v>2715</v>
      </c>
      <c r="B254" s="28">
        <v>165.0</v>
      </c>
      <c r="C254" s="48" t="str">
        <f>HYPERLINK("http://ecotaxoserver.obs-vlfr.fr/browsetaxo/?id=89137","89137")</f>
        <v>89137</v>
      </c>
      <c r="D254" s="28" t="s">
        <v>1169</v>
      </c>
      <c r="E254" s="49"/>
      <c r="F254" s="74" t="s">
        <v>2046</v>
      </c>
      <c r="G254" s="49"/>
      <c r="I254" s="28" t="s">
        <v>94</v>
      </c>
      <c r="J254" s="24">
        <v>341546.0</v>
      </c>
      <c r="K254" s="28"/>
      <c r="L254" s="62"/>
      <c r="M254" s="55" t="b">
        <v>0</v>
      </c>
      <c r="N254" s="53" t="s">
        <v>2698</v>
      </c>
      <c r="O254" s="50" t="s">
        <v>1928</v>
      </c>
    </row>
    <row r="255">
      <c r="A255" s="28" t="s">
        <v>2716</v>
      </c>
      <c r="B255" s="28">
        <v>1.0</v>
      </c>
      <c r="C255" s="48" t="str">
        <f>HYPERLINK("http://ecotaxoserver.obs-vlfr.fr/browsetaxo/?id=80194","80194")</f>
        <v>80194</v>
      </c>
      <c r="D255" s="28" t="s">
        <v>653</v>
      </c>
      <c r="E255" s="56">
        <v>156881.0</v>
      </c>
      <c r="F255" s="49" t="s">
        <v>2371</v>
      </c>
      <c r="G255" s="56">
        <v>156881.0</v>
      </c>
      <c r="H255" s="22" t="s">
        <v>2716</v>
      </c>
      <c r="I255" s="28" t="s">
        <v>94</v>
      </c>
      <c r="J255" s="56">
        <v>156881.0</v>
      </c>
      <c r="K255" s="28"/>
      <c r="L255" s="28"/>
      <c r="M255" s="55" t="b">
        <v>0</v>
      </c>
      <c r="N255" s="54"/>
      <c r="O255" s="50" t="s">
        <v>2489</v>
      </c>
    </row>
    <row r="256">
      <c r="A256" s="28" t="s">
        <v>2717</v>
      </c>
      <c r="B256" s="28">
        <v>125.0</v>
      </c>
      <c r="C256" s="48" t="str">
        <f>HYPERLINK("http://ecotaxoserver.obs-vlfr.fr/browsetaxo/?id=92714","92714")</f>
        <v>92714</v>
      </c>
      <c r="D256" s="28" t="s">
        <v>890</v>
      </c>
      <c r="E256" s="49"/>
      <c r="F256" s="49"/>
      <c r="G256" s="49"/>
      <c r="I256" s="28" t="s">
        <v>94</v>
      </c>
      <c r="J256" s="24">
        <v>120072.0</v>
      </c>
      <c r="K256" s="28"/>
      <c r="L256" s="62"/>
      <c r="M256" s="55" t="b">
        <v>0</v>
      </c>
      <c r="N256" s="53" t="s">
        <v>2698</v>
      </c>
      <c r="O256" s="50" t="s">
        <v>1928</v>
      </c>
    </row>
    <row r="257">
      <c r="A257" s="28" t="s">
        <v>223</v>
      </c>
      <c r="B257" s="28">
        <v>142.0</v>
      </c>
      <c r="C257" s="48" t="str">
        <f>HYPERLINK("http://ecotaxoserver.obs-vlfr.fr/browsetaxo/?id=2367","2367")</f>
        <v>2367</v>
      </c>
      <c r="D257" s="28" t="s">
        <v>2718</v>
      </c>
      <c r="E257" s="49"/>
      <c r="F257" s="49"/>
      <c r="G257" s="49"/>
      <c r="I257" s="28" t="s">
        <v>94</v>
      </c>
      <c r="J257" s="24">
        <v>2.0</v>
      </c>
      <c r="K257" s="28"/>
      <c r="L257" s="62"/>
      <c r="M257" s="55" t="b">
        <v>0</v>
      </c>
      <c r="N257" s="53"/>
      <c r="O257" s="50" t="s">
        <v>1928</v>
      </c>
    </row>
    <row r="258">
      <c r="A258" s="28" t="s">
        <v>2719</v>
      </c>
      <c r="B258" s="28">
        <v>1.0</v>
      </c>
      <c r="C258" s="48" t="str">
        <f>HYPERLINK("http://ecotaxoserver.obs-vlfr.fr/browsetaxo/?id=11055","11055")</f>
        <v>11055</v>
      </c>
      <c r="D258" s="28" t="s">
        <v>2720</v>
      </c>
      <c r="E258" s="56">
        <v>573633.0</v>
      </c>
      <c r="F258" s="49" t="s">
        <v>2371</v>
      </c>
      <c r="G258" s="56">
        <v>573633.0</v>
      </c>
      <c r="H258" s="22" t="s">
        <v>2719</v>
      </c>
      <c r="I258" s="28" t="s">
        <v>94</v>
      </c>
      <c r="J258" s="56">
        <v>573633.0</v>
      </c>
      <c r="K258" s="28"/>
      <c r="L258" s="28"/>
      <c r="M258" s="55" t="b">
        <v>0</v>
      </c>
      <c r="N258" s="54"/>
      <c r="O258" s="50" t="s">
        <v>2489</v>
      </c>
    </row>
    <row r="259">
      <c r="A259" s="28" t="s">
        <v>2721</v>
      </c>
      <c r="B259" s="28">
        <v>1421.0</v>
      </c>
      <c r="C259" s="48" t="str">
        <f>HYPERLINK("http://ecotaxoserver.obs-vlfr.fr/browsetaxo/?id=92245","92245")</f>
        <v>92245</v>
      </c>
      <c r="D259" s="28" t="s">
        <v>487</v>
      </c>
      <c r="E259" s="49"/>
      <c r="F259" s="49"/>
      <c r="G259" s="49"/>
      <c r="I259" s="28" t="s">
        <v>94</v>
      </c>
      <c r="K259" s="24">
        <v>2081.0</v>
      </c>
      <c r="L259" s="50" t="s">
        <v>2721</v>
      </c>
      <c r="M259" s="51" t="b">
        <v>1</v>
      </c>
      <c r="N259" s="53" t="s">
        <v>2722</v>
      </c>
      <c r="O259" s="50" t="s">
        <v>1928</v>
      </c>
    </row>
    <row r="260">
      <c r="A260" s="75" t="s">
        <v>2723</v>
      </c>
      <c r="B260" s="28">
        <v>2.0</v>
      </c>
      <c r="C260" s="48" t="str">
        <f>HYPERLINK("http://ecotaxoserver.obs-vlfr.fr/browsetaxo/?id=27597","27597")</f>
        <v>27597</v>
      </c>
      <c r="D260" s="75" t="s">
        <v>1629</v>
      </c>
      <c r="E260" s="49"/>
      <c r="F260" s="49"/>
      <c r="G260" s="49"/>
      <c r="I260" s="28" t="s">
        <v>94</v>
      </c>
      <c r="J260" s="28"/>
      <c r="K260" s="76"/>
      <c r="L260" s="28"/>
      <c r="M260" s="55" t="b">
        <v>0</v>
      </c>
      <c r="N260" s="68" t="s">
        <v>2724</v>
      </c>
      <c r="O260" s="50" t="s">
        <v>1928</v>
      </c>
    </row>
    <row r="261">
      <c r="A261" s="28" t="s">
        <v>2725</v>
      </c>
      <c r="B261" s="28">
        <v>1.0</v>
      </c>
      <c r="C261" s="48" t="str">
        <f>HYPERLINK("http://ecotaxoserver.obs-vlfr.fr/browsetaxo/?id=78315","78315")</f>
        <v>78315</v>
      </c>
      <c r="D261" s="28" t="s">
        <v>890</v>
      </c>
      <c r="E261" s="56">
        <v>119882.0</v>
      </c>
      <c r="F261" s="49" t="s">
        <v>2371</v>
      </c>
      <c r="G261" s="56">
        <v>119882.0</v>
      </c>
      <c r="H261" s="22" t="s">
        <v>2725</v>
      </c>
      <c r="I261" s="28" t="s">
        <v>94</v>
      </c>
      <c r="J261" s="56">
        <v>119882.0</v>
      </c>
      <c r="K261" s="28"/>
      <c r="L261" s="28"/>
      <c r="M261" s="55" t="b">
        <v>0</v>
      </c>
      <c r="N261" s="54"/>
      <c r="O261" s="50" t="s">
        <v>2489</v>
      </c>
    </row>
    <row r="262">
      <c r="A262" s="28" t="s">
        <v>2726</v>
      </c>
      <c r="B262" s="28">
        <v>1225.0</v>
      </c>
      <c r="C262" s="48" t="str">
        <f>HYPERLINK("http://ecotaxoserver.obs-vlfr.fr/browsetaxo/?id=31676","31676")</f>
        <v>31676</v>
      </c>
      <c r="D262" s="28" t="s">
        <v>452</v>
      </c>
      <c r="E262" s="49"/>
      <c r="F262" s="49"/>
      <c r="G262" s="49"/>
      <c r="I262" s="28" t="s">
        <v>94</v>
      </c>
      <c r="J262" s="24">
        <v>494056.0</v>
      </c>
      <c r="L262" s="50"/>
      <c r="M262" s="51" t="b">
        <v>0</v>
      </c>
      <c r="N262" s="53"/>
      <c r="O262" s="50" t="s">
        <v>1928</v>
      </c>
    </row>
    <row r="263">
      <c r="A263" s="28" t="s">
        <v>2727</v>
      </c>
      <c r="B263" s="28">
        <v>280.0</v>
      </c>
      <c r="C263" s="48" t="str">
        <f>HYPERLINK("http://ecotaxoserver.obs-vlfr.fr/browsetaxo/?id=85200","85200")</f>
        <v>85200</v>
      </c>
      <c r="D263" s="28" t="s">
        <v>1268</v>
      </c>
      <c r="E263" s="49"/>
      <c r="F263" s="49"/>
      <c r="G263" s="49"/>
      <c r="I263" s="28" t="s">
        <v>94</v>
      </c>
      <c r="J263" s="28"/>
      <c r="K263" s="61">
        <v>119270.0</v>
      </c>
      <c r="L263" s="50" t="s">
        <v>2447</v>
      </c>
      <c r="M263" s="51" t="b">
        <v>1</v>
      </c>
      <c r="N263" s="53" t="s">
        <v>2728</v>
      </c>
      <c r="O263" s="50" t="s">
        <v>1928</v>
      </c>
    </row>
    <row r="264">
      <c r="A264" s="28" t="s">
        <v>2729</v>
      </c>
      <c r="B264" s="28">
        <v>33.0</v>
      </c>
      <c r="C264" s="48" t="str">
        <f>HYPERLINK("http://ecotaxoserver.obs-vlfr.fr/browsetaxo/?id=49543","49543")</f>
        <v>49543</v>
      </c>
      <c r="D264" s="28" t="s">
        <v>499</v>
      </c>
      <c r="E264" s="49"/>
      <c r="F264" s="49"/>
      <c r="G264" s="49"/>
      <c r="I264" s="28" t="s">
        <v>94</v>
      </c>
      <c r="J264" s="28"/>
      <c r="K264" s="28"/>
      <c r="L264" s="28"/>
      <c r="M264" s="55" t="b">
        <v>0</v>
      </c>
      <c r="N264" s="53" t="s">
        <v>2464</v>
      </c>
      <c r="O264" s="50" t="s">
        <v>1928</v>
      </c>
    </row>
    <row r="265">
      <c r="A265" s="28" t="s">
        <v>2730</v>
      </c>
      <c r="B265" s="28">
        <v>3654.0</v>
      </c>
      <c r="C265" s="48" t="str">
        <f>HYPERLINK("http://ecotaxoserver.obs-vlfr.fr/browsetaxo/?id=92236","92236")</f>
        <v>92236</v>
      </c>
      <c r="D265" s="28" t="s">
        <v>1628</v>
      </c>
      <c r="E265" s="49"/>
      <c r="F265" s="49"/>
      <c r="G265" s="49"/>
      <c r="I265" s="28" t="s">
        <v>94</v>
      </c>
      <c r="J265" s="28"/>
      <c r="K265" s="28"/>
      <c r="L265" s="28"/>
      <c r="M265" s="51" t="b">
        <v>1</v>
      </c>
      <c r="N265" s="54"/>
      <c r="O265" s="50" t="s">
        <v>2387</v>
      </c>
    </row>
    <row r="266">
      <c r="A266" s="28" t="s">
        <v>2731</v>
      </c>
      <c r="B266" s="28">
        <v>56.0</v>
      </c>
      <c r="C266" s="48" t="str">
        <f>HYPERLINK("http://ecotaxoserver.obs-vlfr.fr/browsetaxo/?id=68588","68588")</f>
        <v>68588</v>
      </c>
      <c r="D266" s="28" t="s">
        <v>2732</v>
      </c>
      <c r="E266" s="49"/>
      <c r="F266" s="49"/>
      <c r="G266" s="49"/>
      <c r="I266" s="50"/>
      <c r="J266" s="28"/>
      <c r="K266" s="28"/>
      <c r="L266" s="28" t="s">
        <v>2732</v>
      </c>
      <c r="M266" s="55" t="b">
        <v>0</v>
      </c>
      <c r="N266" s="53" t="s">
        <v>2464</v>
      </c>
      <c r="O266" s="50" t="s">
        <v>1928</v>
      </c>
    </row>
    <row r="267">
      <c r="A267" s="28" t="s">
        <v>2733</v>
      </c>
      <c r="B267" s="28">
        <v>8.0</v>
      </c>
      <c r="C267" s="48" t="str">
        <f>HYPERLINK("http://ecotaxoserver.obs-vlfr.fr/browsetaxo/?id=71947","71947")</f>
        <v>71947</v>
      </c>
      <c r="D267" s="28" t="s">
        <v>1294</v>
      </c>
      <c r="E267" s="49"/>
      <c r="F267" s="49"/>
      <c r="G267" s="49"/>
      <c r="I267" s="28" t="s">
        <v>94</v>
      </c>
      <c r="J267" s="24">
        <v>103407.0</v>
      </c>
      <c r="L267" s="62"/>
      <c r="M267" s="55" t="b">
        <v>0</v>
      </c>
      <c r="N267" s="54"/>
      <c r="O267" s="50" t="s">
        <v>1928</v>
      </c>
    </row>
    <row r="268">
      <c r="A268" s="28" t="s">
        <v>2734</v>
      </c>
      <c r="B268" s="28">
        <v>13.0</v>
      </c>
      <c r="C268" s="48" t="str">
        <f>HYPERLINK("http://ecotaxoserver.obs-vlfr.fr/browsetaxo/?id=15370","15370")</f>
        <v>15370</v>
      </c>
      <c r="D268" s="28" t="s">
        <v>2696</v>
      </c>
      <c r="E268" s="56">
        <v>178611.0</v>
      </c>
      <c r="F268" s="49" t="s">
        <v>2371</v>
      </c>
      <c r="G268" s="56">
        <v>178611.0</v>
      </c>
      <c r="H268" s="22" t="s">
        <v>2734</v>
      </c>
      <c r="I268" s="28" t="s">
        <v>94</v>
      </c>
      <c r="J268" s="56">
        <v>178611.0</v>
      </c>
      <c r="K268" s="28"/>
      <c r="L268" s="28"/>
      <c r="M268" s="55" t="b">
        <v>0</v>
      </c>
      <c r="N268" s="54"/>
      <c r="O268" s="50" t="s">
        <v>2489</v>
      </c>
    </row>
    <row r="269">
      <c r="A269" s="28" t="s">
        <v>2735</v>
      </c>
      <c r="B269" s="28">
        <v>52.0</v>
      </c>
      <c r="C269" s="48" t="str">
        <f>HYPERLINK("http://ecotaxoserver.obs-vlfr.fr/browsetaxo/?id=92930","92930")</f>
        <v>92930</v>
      </c>
      <c r="D269" s="28" t="s">
        <v>1331</v>
      </c>
      <c r="F269" s="49"/>
      <c r="G269" s="49"/>
      <c r="I269" s="28" t="s">
        <v>94</v>
      </c>
      <c r="J269" s="28"/>
      <c r="K269" s="66">
        <v>109464.0</v>
      </c>
      <c r="L269" s="66" t="s">
        <v>2736</v>
      </c>
      <c r="M269" s="51" t="b">
        <v>1</v>
      </c>
      <c r="N269" s="65" t="s">
        <v>2737</v>
      </c>
      <c r="O269" s="50"/>
    </row>
    <row r="270">
      <c r="A270" s="28" t="s">
        <v>2553</v>
      </c>
      <c r="B270" s="28">
        <v>371704.0</v>
      </c>
      <c r="C270" s="48" t="str">
        <f>HYPERLINK("http://ecotaxoserver.obs-vlfr.fr/browsetaxo/?id=85069","85069")</f>
        <v>85069</v>
      </c>
      <c r="D270" s="28" t="s">
        <v>2738</v>
      </c>
      <c r="E270" s="49"/>
      <c r="F270" s="49"/>
      <c r="G270" s="49"/>
      <c r="I270" s="28" t="s">
        <v>94</v>
      </c>
      <c r="J270" s="28"/>
      <c r="K270" s="28"/>
      <c r="L270" s="28"/>
      <c r="M270" s="51" t="b">
        <v>1</v>
      </c>
      <c r="N270" s="54"/>
      <c r="O270" s="50" t="s">
        <v>2387</v>
      </c>
    </row>
    <row r="271">
      <c r="A271" s="28" t="s">
        <v>2739</v>
      </c>
      <c r="B271" s="28">
        <v>2.0</v>
      </c>
      <c r="C271" s="48" t="str">
        <f>HYPERLINK("http://ecotaxoserver.obs-vlfr.fr/browsetaxo/?id=92511","92511")</f>
        <v>92511</v>
      </c>
      <c r="D271" s="28" t="s">
        <v>128</v>
      </c>
      <c r="E271" s="49"/>
      <c r="F271" s="49"/>
      <c r="G271" s="49"/>
      <c r="I271" s="50"/>
      <c r="J271" s="24">
        <v>233860.0</v>
      </c>
      <c r="K271" s="28"/>
      <c r="L271" s="62"/>
      <c r="M271" s="51" t="b">
        <v>0</v>
      </c>
      <c r="N271" s="53" t="s">
        <v>2740</v>
      </c>
      <c r="O271" s="50" t="s">
        <v>1928</v>
      </c>
    </row>
    <row r="272">
      <c r="A272" s="28" t="s">
        <v>2741</v>
      </c>
      <c r="B272" s="28">
        <v>3.0</v>
      </c>
      <c r="C272" s="48" t="str">
        <f>HYPERLINK("http://ecotaxoserver.obs-vlfr.fr/browsetaxo/?id=28306","28306")</f>
        <v>28306</v>
      </c>
      <c r="D272" s="28" t="s">
        <v>2742</v>
      </c>
      <c r="E272" s="49"/>
      <c r="F272" s="24" t="s">
        <v>2743</v>
      </c>
      <c r="G272" s="49"/>
      <c r="I272" s="28" t="s">
        <v>94</v>
      </c>
      <c r="J272" s="24">
        <v>163624.0</v>
      </c>
      <c r="K272" s="28"/>
      <c r="L272" s="62"/>
      <c r="M272" s="55" t="b">
        <v>0</v>
      </c>
      <c r="N272" s="53" t="s">
        <v>2621</v>
      </c>
      <c r="O272" s="50" t="s">
        <v>1928</v>
      </c>
    </row>
    <row r="273">
      <c r="A273" s="28" t="s">
        <v>2744</v>
      </c>
      <c r="B273" s="28">
        <v>1.0</v>
      </c>
      <c r="C273" s="48" t="str">
        <f>HYPERLINK("http://ecotaxoserver.obs-vlfr.fr/browsetaxo/?id=86071","86071")</f>
        <v>86071</v>
      </c>
      <c r="D273" s="28" t="s">
        <v>2745</v>
      </c>
      <c r="E273" s="49"/>
      <c r="F273" s="49"/>
      <c r="G273" s="49"/>
      <c r="I273" s="50" t="s">
        <v>1927</v>
      </c>
      <c r="J273" s="24">
        <v>160561.0</v>
      </c>
      <c r="K273" s="28"/>
      <c r="L273" s="28"/>
      <c r="M273" s="55" t="b">
        <v>0</v>
      </c>
      <c r="N273" s="54"/>
      <c r="O273" s="50" t="s">
        <v>1928</v>
      </c>
    </row>
    <row r="274">
      <c r="A274" s="28" t="s">
        <v>2746</v>
      </c>
      <c r="B274" s="28">
        <v>980.0</v>
      </c>
      <c r="C274" s="48" t="str">
        <f>HYPERLINK("http://ecotaxoserver.obs-vlfr.fr/browsetaxo/?id=85249","85249")</f>
        <v>85249</v>
      </c>
      <c r="D274" s="28" t="s">
        <v>2747</v>
      </c>
      <c r="E274" s="49"/>
      <c r="F274" s="49"/>
      <c r="G274" s="49"/>
      <c r="I274" s="28" t="s">
        <v>94</v>
      </c>
      <c r="J274" s="28"/>
      <c r="K274" s="24">
        <v>148899.0</v>
      </c>
      <c r="L274" s="50" t="s">
        <v>2412</v>
      </c>
      <c r="M274" s="51" t="b">
        <v>1</v>
      </c>
      <c r="N274" s="53" t="s">
        <v>2748</v>
      </c>
      <c r="O274" s="50" t="s">
        <v>1928</v>
      </c>
    </row>
    <row r="275">
      <c r="A275" s="28" t="s">
        <v>2749</v>
      </c>
      <c r="B275" s="28">
        <v>1288.0</v>
      </c>
      <c r="C275" s="48" t="str">
        <f>HYPERLINK("http://ecotaxoserver.obs-vlfr.fr/browsetaxo/?id=85258","85258")</f>
        <v>85258</v>
      </c>
      <c r="D275" s="28" t="s">
        <v>2747</v>
      </c>
      <c r="E275" s="49"/>
      <c r="F275" s="49"/>
      <c r="G275" s="49"/>
      <c r="I275" s="28" t="s">
        <v>94</v>
      </c>
      <c r="J275" s="28"/>
      <c r="K275" s="24">
        <v>148899.0</v>
      </c>
      <c r="L275" s="50" t="s">
        <v>2414</v>
      </c>
      <c r="M275" s="51" t="b">
        <v>1</v>
      </c>
      <c r="N275" s="53" t="s">
        <v>2748</v>
      </c>
      <c r="O275" s="50" t="s">
        <v>1928</v>
      </c>
    </row>
    <row r="276">
      <c r="A276" s="28" t="s">
        <v>2750</v>
      </c>
      <c r="B276" s="28">
        <v>1589.0</v>
      </c>
      <c r="C276" s="48" t="str">
        <f>HYPERLINK("http://ecotaxoserver.obs-vlfr.fr/browsetaxo/?id=85259","85259")</f>
        <v>85259</v>
      </c>
      <c r="D276" s="28" t="s">
        <v>2747</v>
      </c>
      <c r="E276" s="49"/>
      <c r="F276" s="49"/>
      <c r="G276" s="49"/>
      <c r="I276" s="28" t="s">
        <v>94</v>
      </c>
      <c r="J276" s="28"/>
      <c r="K276" s="24">
        <v>148899.0</v>
      </c>
      <c r="L276" s="50" t="s">
        <v>2416</v>
      </c>
      <c r="M276" s="51" t="b">
        <v>1</v>
      </c>
      <c r="N276" s="53" t="s">
        <v>2748</v>
      </c>
      <c r="O276" s="50" t="s">
        <v>1928</v>
      </c>
    </row>
    <row r="277">
      <c r="A277" s="28" t="s">
        <v>2751</v>
      </c>
      <c r="B277" s="28">
        <v>62.0</v>
      </c>
      <c r="C277" s="48" t="str">
        <f>HYPERLINK("http://ecotaxoserver.obs-vlfr.fr/browsetaxo/?id=85260","85260")</f>
        <v>85260</v>
      </c>
      <c r="D277" s="28" t="s">
        <v>2747</v>
      </c>
      <c r="E277" s="49"/>
      <c r="F277" s="49"/>
      <c r="G277" s="49"/>
      <c r="I277" s="28" t="s">
        <v>94</v>
      </c>
      <c r="J277" s="28"/>
      <c r="K277" s="24">
        <v>148899.0</v>
      </c>
      <c r="L277" s="50" t="s">
        <v>2418</v>
      </c>
      <c r="M277" s="51" t="b">
        <v>1</v>
      </c>
      <c r="N277" s="53" t="s">
        <v>2748</v>
      </c>
      <c r="O277" s="50" t="s">
        <v>1928</v>
      </c>
    </row>
    <row r="278">
      <c r="A278" s="28" t="s">
        <v>2752</v>
      </c>
      <c r="B278" s="28">
        <v>88.0</v>
      </c>
      <c r="C278" s="48" t="str">
        <f>HYPERLINK("http://ecotaxoserver.obs-vlfr.fr/browsetaxo/?id=85261","85261")</f>
        <v>85261</v>
      </c>
      <c r="D278" s="28" t="s">
        <v>2747</v>
      </c>
      <c r="E278" s="49"/>
      <c r="F278" s="49"/>
      <c r="G278" s="49"/>
      <c r="I278" s="28" t="s">
        <v>94</v>
      </c>
      <c r="J278" s="28"/>
      <c r="K278" s="24">
        <v>148899.0</v>
      </c>
      <c r="L278" s="50" t="s">
        <v>2420</v>
      </c>
      <c r="M278" s="51" t="b">
        <v>1</v>
      </c>
      <c r="N278" s="53" t="s">
        <v>2748</v>
      </c>
      <c r="O278" s="50" t="s">
        <v>1928</v>
      </c>
    </row>
    <row r="279">
      <c r="A279" s="28" t="s">
        <v>2753</v>
      </c>
      <c r="B279" s="28">
        <v>867.0</v>
      </c>
      <c r="C279" s="48" t="str">
        <f>HYPERLINK("http://ecotaxoserver.obs-vlfr.fr/browsetaxo/?id=85250","85250")</f>
        <v>85250</v>
      </c>
      <c r="D279" s="28" t="s">
        <v>2747</v>
      </c>
      <c r="E279" s="49"/>
      <c r="F279" s="49"/>
      <c r="G279" s="49"/>
      <c r="I279" s="28" t="s">
        <v>94</v>
      </c>
      <c r="J279" s="28"/>
      <c r="K279" s="24">
        <v>148899.0</v>
      </c>
      <c r="L279" s="50" t="s">
        <v>2424</v>
      </c>
      <c r="M279" s="51" t="b">
        <v>1</v>
      </c>
      <c r="N279" s="53" t="s">
        <v>2748</v>
      </c>
      <c r="O279" s="50" t="s">
        <v>1928</v>
      </c>
    </row>
    <row r="280">
      <c r="A280" s="28" t="s">
        <v>2754</v>
      </c>
      <c r="B280" s="28">
        <v>2871.0</v>
      </c>
      <c r="C280" s="48" t="str">
        <f>HYPERLINK("http://ecotaxoserver.obs-vlfr.fr/browsetaxo/?id=85251","85251")</f>
        <v>85251</v>
      </c>
      <c r="D280" s="28" t="s">
        <v>2747</v>
      </c>
      <c r="E280" s="49"/>
      <c r="F280" s="49"/>
      <c r="G280" s="49"/>
      <c r="I280" s="28" t="s">
        <v>94</v>
      </c>
      <c r="J280" s="28"/>
      <c r="K280" s="24">
        <v>148899.0</v>
      </c>
      <c r="L280" s="50" t="s">
        <v>2359</v>
      </c>
      <c r="M280" s="51" t="b">
        <v>1</v>
      </c>
      <c r="N280" s="53" t="s">
        <v>2748</v>
      </c>
      <c r="O280" s="50" t="s">
        <v>1928</v>
      </c>
    </row>
    <row r="281">
      <c r="A281" s="28" t="s">
        <v>2755</v>
      </c>
      <c r="B281" s="28">
        <v>915.0</v>
      </c>
      <c r="C281" s="48" t="str">
        <f>HYPERLINK("http://ecotaxoserver.obs-vlfr.fr/browsetaxo/?id=85252","85252")</f>
        <v>85252</v>
      </c>
      <c r="D281" s="28" t="s">
        <v>2747</v>
      </c>
      <c r="E281" s="49"/>
      <c r="F281" s="49"/>
      <c r="G281" s="49"/>
      <c r="I281" s="28" t="s">
        <v>94</v>
      </c>
      <c r="J281" s="28"/>
      <c r="K281" s="24">
        <v>148899.0</v>
      </c>
      <c r="L281" s="50" t="s">
        <v>2361</v>
      </c>
      <c r="M281" s="51" t="b">
        <v>1</v>
      </c>
      <c r="N281" s="53" t="s">
        <v>2748</v>
      </c>
      <c r="O281" s="50" t="s">
        <v>1928</v>
      </c>
    </row>
    <row r="282">
      <c r="A282" s="28" t="s">
        <v>2756</v>
      </c>
      <c r="B282" s="28">
        <v>171.0</v>
      </c>
      <c r="C282" s="48" t="str">
        <f>HYPERLINK("http://ecotaxoserver.obs-vlfr.fr/browsetaxo/?id=85253","85253")</f>
        <v>85253</v>
      </c>
      <c r="D282" s="28" t="s">
        <v>2747</v>
      </c>
      <c r="E282" s="49"/>
      <c r="F282" s="49"/>
      <c r="G282" s="49"/>
      <c r="I282" s="28" t="s">
        <v>94</v>
      </c>
      <c r="J282" s="28"/>
      <c r="K282" s="24">
        <v>148899.0</v>
      </c>
      <c r="L282" s="50" t="s">
        <v>2428</v>
      </c>
      <c r="M282" s="51" t="b">
        <v>1</v>
      </c>
      <c r="N282" s="53" t="s">
        <v>2748</v>
      </c>
      <c r="O282" s="50" t="s">
        <v>1928</v>
      </c>
    </row>
    <row r="283">
      <c r="A283" s="28" t="s">
        <v>2757</v>
      </c>
      <c r="B283" s="28">
        <v>1146.0</v>
      </c>
      <c r="C283" s="48" t="str">
        <f>HYPERLINK("http://ecotaxoserver.obs-vlfr.fr/browsetaxo/?id=85254","85254")</f>
        <v>85254</v>
      </c>
      <c r="D283" s="28" t="s">
        <v>2747</v>
      </c>
      <c r="E283" s="49"/>
      <c r="F283" s="49"/>
      <c r="G283" s="49"/>
      <c r="I283" s="28" t="s">
        <v>94</v>
      </c>
      <c r="J283" s="28"/>
      <c r="K283" s="24">
        <v>148899.0</v>
      </c>
      <c r="L283" s="50" t="s">
        <v>2430</v>
      </c>
      <c r="M283" s="51" t="b">
        <v>1</v>
      </c>
      <c r="N283" s="53" t="s">
        <v>2748</v>
      </c>
      <c r="O283" s="50" t="s">
        <v>1928</v>
      </c>
    </row>
    <row r="284">
      <c r="A284" s="28" t="s">
        <v>2758</v>
      </c>
      <c r="B284" s="28">
        <v>749.0</v>
      </c>
      <c r="C284" s="48" t="str">
        <f>HYPERLINK("http://ecotaxoserver.obs-vlfr.fr/browsetaxo/?id=85255","85255")</f>
        <v>85255</v>
      </c>
      <c r="D284" s="28" t="s">
        <v>2747</v>
      </c>
      <c r="E284" s="49"/>
      <c r="F284" s="49"/>
      <c r="G284" s="49"/>
      <c r="I284" s="28" t="s">
        <v>94</v>
      </c>
      <c r="J284" s="28"/>
      <c r="K284" s="24">
        <v>148899.0</v>
      </c>
      <c r="L284" s="50" t="s">
        <v>2432</v>
      </c>
      <c r="M284" s="51" t="b">
        <v>1</v>
      </c>
      <c r="N284" s="53" t="s">
        <v>2748</v>
      </c>
      <c r="O284" s="50" t="s">
        <v>1928</v>
      </c>
    </row>
    <row r="285">
      <c r="A285" s="28" t="s">
        <v>2759</v>
      </c>
      <c r="B285" s="28">
        <v>116.0</v>
      </c>
      <c r="C285" s="48" t="str">
        <f>HYPERLINK("http://ecotaxoserver.obs-vlfr.fr/browsetaxo/?id=85256","85256")</f>
        <v>85256</v>
      </c>
      <c r="D285" s="28" t="s">
        <v>2747</v>
      </c>
      <c r="E285" s="49"/>
      <c r="F285" s="49"/>
      <c r="G285" s="49"/>
      <c r="I285" s="28" t="s">
        <v>94</v>
      </c>
      <c r="J285" s="28"/>
      <c r="K285" s="24">
        <v>148899.0</v>
      </c>
      <c r="L285" s="50" t="s">
        <v>2434</v>
      </c>
      <c r="M285" s="51" t="b">
        <v>1</v>
      </c>
      <c r="N285" s="53" t="s">
        <v>2748</v>
      </c>
      <c r="O285" s="50" t="s">
        <v>1928</v>
      </c>
    </row>
    <row r="286">
      <c r="A286" s="28" t="s">
        <v>2760</v>
      </c>
      <c r="B286" s="28">
        <v>1232.0</v>
      </c>
      <c r="C286" s="48" t="str">
        <f>HYPERLINK("http://ecotaxoserver.obs-vlfr.fr/browsetaxo/?id=85257","85257")</f>
        <v>85257</v>
      </c>
      <c r="D286" s="28" t="s">
        <v>2747</v>
      </c>
      <c r="E286" s="49"/>
      <c r="F286" s="49"/>
      <c r="G286" s="49"/>
      <c r="I286" s="28" t="s">
        <v>94</v>
      </c>
      <c r="J286" s="28"/>
      <c r="K286" s="24">
        <v>148899.0</v>
      </c>
      <c r="L286" s="50" t="s">
        <v>2436</v>
      </c>
      <c r="M286" s="51" t="b">
        <v>1</v>
      </c>
      <c r="N286" s="53" t="s">
        <v>2748</v>
      </c>
      <c r="O286" s="50" t="s">
        <v>1928</v>
      </c>
    </row>
    <row r="287">
      <c r="A287" s="28" t="s">
        <v>2761</v>
      </c>
      <c r="B287" s="28">
        <v>13920.0</v>
      </c>
      <c r="C287" s="48" t="str">
        <f>HYPERLINK("http://ecotaxoserver.obs-vlfr.fr/browsetaxo/?id=27304","27304")</f>
        <v>27304</v>
      </c>
      <c r="D287" s="28" t="s">
        <v>1404</v>
      </c>
      <c r="E287" s="49"/>
      <c r="F287" s="49"/>
      <c r="G287" s="49"/>
      <c r="I287" s="28" t="s">
        <v>94</v>
      </c>
      <c r="J287" s="28"/>
      <c r="K287" s="24">
        <v>115088.0</v>
      </c>
      <c r="L287" s="50" t="s">
        <v>2412</v>
      </c>
      <c r="M287" s="51" t="b">
        <v>1</v>
      </c>
      <c r="N287" s="53" t="s">
        <v>2762</v>
      </c>
      <c r="O287" s="50" t="s">
        <v>1928</v>
      </c>
    </row>
    <row r="288">
      <c r="A288" s="28" t="s">
        <v>2763</v>
      </c>
      <c r="B288" s="28">
        <v>3749.0</v>
      </c>
      <c r="C288" s="48" t="str">
        <f>HYPERLINK("http://ecotaxoserver.obs-vlfr.fr/browsetaxo/?id=27303","27303")</f>
        <v>27303</v>
      </c>
      <c r="D288" s="28" t="s">
        <v>1404</v>
      </c>
      <c r="E288" s="49"/>
      <c r="F288" s="49"/>
      <c r="G288" s="49"/>
      <c r="I288" s="28" t="s">
        <v>94</v>
      </c>
      <c r="J288" s="28"/>
      <c r="K288" s="24">
        <v>115088.0</v>
      </c>
      <c r="L288" s="50" t="s">
        <v>2424</v>
      </c>
      <c r="M288" s="51" t="b">
        <v>1</v>
      </c>
      <c r="N288" s="53" t="s">
        <v>2762</v>
      </c>
      <c r="O288" s="50" t="s">
        <v>1928</v>
      </c>
    </row>
    <row r="289">
      <c r="A289" s="28" t="s">
        <v>2764</v>
      </c>
      <c r="B289" s="28">
        <v>1209.0</v>
      </c>
      <c r="C289" s="48" t="str">
        <f>HYPERLINK("http://ecotaxoserver.obs-vlfr.fr/browsetaxo/?id=27302","27302")</f>
        <v>27302</v>
      </c>
      <c r="D289" s="28" t="s">
        <v>1404</v>
      </c>
      <c r="E289" s="49"/>
      <c r="F289" s="49"/>
      <c r="G289" s="49"/>
      <c r="I289" s="28" t="s">
        <v>94</v>
      </c>
      <c r="J289" s="28"/>
      <c r="K289" s="24">
        <v>115088.0</v>
      </c>
      <c r="L289" s="50" t="s">
        <v>2359</v>
      </c>
      <c r="M289" s="51" t="b">
        <v>1</v>
      </c>
      <c r="N289" s="53" t="s">
        <v>2762</v>
      </c>
      <c r="O289" s="50" t="s">
        <v>1928</v>
      </c>
    </row>
    <row r="290">
      <c r="A290" s="28" t="s">
        <v>2765</v>
      </c>
      <c r="B290" s="28">
        <v>4.0</v>
      </c>
      <c r="C290" s="48" t="str">
        <f>HYPERLINK("http://ecotaxoserver.obs-vlfr.fr/browsetaxo/?id=78786","78786")</f>
        <v>78786</v>
      </c>
      <c r="D290" s="28" t="s">
        <v>2766</v>
      </c>
      <c r="E290" s="49"/>
      <c r="F290" s="49"/>
      <c r="G290" s="49"/>
      <c r="I290" s="28" t="s">
        <v>94</v>
      </c>
      <c r="J290" s="24">
        <v>156505.0</v>
      </c>
      <c r="K290" s="28"/>
      <c r="L290" s="60"/>
      <c r="M290" s="55" t="b">
        <v>0</v>
      </c>
      <c r="N290" s="54"/>
      <c r="O290" s="50" t="s">
        <v>1928</v>
      </c>
    </row>
    <row r="291">
      <c r="A291" s="28" t="s">
        <v>2767</v>
      </c>
      <c r="B291" s="28">
        <v>75.0</v>
      </c>
      <c r="C291" s="48" t="str">
        <f>HYPERLINK("http://ecotaxoserver.obs-vlfr.fr/browsetaxo/?id=85147","85147")</f>
        <v>85147</v>
      </c>
      <c r="D291" s="28" t="s">
        <v>956</v>
      </c>
      <c r="E291" s="49"/>
      <c r="F291" s="49"/>
      <c r="G291" s="49"/>
      <c r="I291" s="28" t="s">
        <v>94</v>
      </c>
      <c r="J291" s="28"/>
      <c r="K291" s="28"/>
      <c r="L291" s="28"/>
      <c r="M291" s="55" t="b">
        <v>0</v>
      </c>
      <c r="N291" s="77" t="s">
        <v>2768</v>
      </c>
      <c r="O291" s="38" t="s">
        <v>2387</v>
      </c>
    </row>
    <row r="292">
      <c r="A292" s="28" t="s">
        <v>2769</v>
      </c>
      <c r="B292" s="28">
        <v>19.0</v>
      </c>
      <c r="C292" s="48" t="str">
        <f>HYPERLINK("http://ecotaxoserver.obs-vlfr.fr/browsetaxo/?id=16672","16672")</f>
        <v>16672</v>
      </c>
      <c r="D292" s="28" t="s">
        <v>1019</v>
      </c>
      <c r="E292" s="49"/>
      <c r="F292" s="49"/>
      <c r="G292" s="49"/>
      <c r="I292" s="28" t="s">
        <v>94</v>
      </c>
      <c r="J292" s="24">
        <v>135335.0</v>
      </c>
      <c r="K292" s="28"/>
      <c r="L292" s="62"/>
      <c r="M292" s="55" t="b">
        <v>0</v>
      </c>
      <c r="N292" s="54"/>
      <c r="O292" s="50" t="s">
        <v>1928</v>
      </c>
    </row>
    <row r="293">
      <c r="A293" s="28" t="s">
        <v>2770</v>
      </c>
      <c r="B293" s="28">
        <v>2147.0</v>
      </c>
      <c r="C293" s="48" t="str">
        <f>HYPERLINK("http://ecotaxoserver.obs-vlfr.fr/browsetaxo/?id=20900","20900")</f>
        <v>20900</v>
      </c>
      <c r="D293" s="28" t="s">
        <v>2771</v>
      </c>
      <c r="E293" s="56">
        <v>658688.0</v>
      </c>
      <c r="F293" s="49" t="s">
        <v>2008</v>
      </c>
      <c r="G293" s="49"/>
      <c r="I293" s="28" t="s">
        <v>94</v>
      </c>
      <c r="J293" s="56">
        <v>658688.0</v>
      </c>
      <c r="K293" s="28"/>
      <c r="L293" s="28"/>
      <c r="M293" s="55" t="b">
        <v>0</v>
      </c>
      <c r="N293" s="54"/>
      <c r="O293" s="50" t="s">
        <v>2489</v>
      </c>
    </row>
    <row r="294">
      <c r="A294" s="28" t="s">
        <v>2772</v>
      </c>
      <c r="B294" s="28">
        <v>2437.0</v>
      </c>
      <c r="C294" s="48" t="str">
        <f>HYPERLINK("http://ecotaxoserver.obs-vlfr.fr/browsetaxo/?id=60211","60211")</f>
        <v>60211</v>
      </c>
      <c r="D294" s="28" t="s">
        <v>1780</v>
      </c>
      <c r="E294" s="56">
        <v>324619.0</v>
      </c>
      <c r="F294" s="49" t="s">
        <v>2371</v>
      </c>
      <c r="G294" s="56">
        <v>324619.0</v>
      </c>
      <c r="H294" s="22" t="s">
        <v>2772</v>
      </c>
      <c r="I294" s="28" t="s">
        <v>94</v>
      </c>
      <c r="J294" s="56">
        <v>324619.0</v>
      </c>
      <c r="K294" s="28"/>
      <c r="L294" s="28"/>
      <c r="M294" s="55" t="b">
        <v>0</v>
      </c>
      <c r="N294" s="54"/>
      <c r="O294" s="50" t="s">
        <v>2489</v>
      </c>
    </row>
    <row r="295">
      <c r="A295" s="28" t="s">
        <v>2773</v>
      </c>
      <c r="B295" s="28">
        <v>67.0</v>
      </c>
      <c r="C295" s="48" t="str">
        <f>HYPERLINK("http://ecotaxoserver.obs-vlfr.fr/browsetaxo/?id=79652","79652")</f>
        <v>79652</v>
      </c>
      <c r="D295" s="28" t="s">
        <v>2772</v>
      </c>
      <c r="E295" s="56">
        <v>330855.0</v>
      </c>
      <c r="F295" s="49" t="s">
        <v>2371</v>
      </c>
      <c r="G295" s="56">
        <v>330855.0</v>
      </c>
      <c r="H295" s="22" t="s">
        <v>2773</v>
      </c>
      <c r="I295" s="28" t="s">
        <v>94</v>
      </c>
      <c r="J295" s="56">
        <v>330855.0</v>
      </c>
      <c r="K295" s="28"/>
      <c r="L295" s="28"/>
      <c r="M295" s="55" t="b">
        <v>0</v>
      </c>
      <c r="N295" s="54"/>
      <c r="O295" s="50" t="s">
        <v>2489</v>
      </c>
    </row>
    <row r="296">
      <c r="A296" s="28" t="s">
        <v>575</v>
      </c>
      <c r="B296" s="28">
        <v>22.0</v>
      </c>
      <c r="C296" s="48" t="str">
        <f>HYPERLINK("http://ecotaxoserver.obs-vlfr.fr/browsetaxo/?id=11757","11757")</f>
        <v>11757</v>
      </c>
      <c r="D296" s="28" t="s">
        <v>869</v>
      </c>
      <c r="E296" s="49"/>
      <c r="F296" s="49"/>
      <c r="G296" s="49"/>
      <c r="I296" s="28" t="s">
        <v>94</v>
      </c>
      <c r="J296" s="24">
        <v>235740.0</v>
      </c>
      <c r="K296" s="28"/>
      <c r="L296" s="62"/>
      <c r="M296" s="55" t="b">
        <v>0</v>
      </c>
      <c r="N296" s="54"/>
      <c r="O296" s="50" t="s">
        <v>1928</v>
      </c>
    </row>
    <row r="297">
      <c r="A297" s="28" t="s">
        <v>2774</v>
      </c>
      <c r="B297" s="28">
        <v>3.0</v>
      </c>
      <c r="C297" s="48" t="str">
        <f>HYPERLINK("http://ecotaxoserver.obs-vlfr.fr/browsetaxo/?id=18151","18151")</f>
        <v>18151</v>
      </c>
      <c r="D297" s="28" t="s">
        <v>2775</v>
      </c>
      <c r="E297" s="49"/>
      <c r="F297" s="49"/>
      <c r="G297" s="49"/>
      <c r="I297" s="28" t="s">
        <v>94</v>
      </c>
      <c r="J297" s="28"/>
      <c r="K297" s="28"/>
      <c r="L297" s="28"/>
      <c r="M297" s="55" t="b">
        <v>0</v>
      </c>
      <c r="N297" s="65" t="s">
        <v>2776</v>
      </c>
      <c r="O297" s="70" t="s">
        <v>1928</v>
      </c>
    </row>
    <row r="298">
      <c r="A298" s="28" t="s">
        <v>2777</v>
      </c>
      <c r="B298" s="28">
        <v>42.0</v>
      </c>
      <c r="C298" s="48" t="str">
        <f>HYPERLINK("http://ecotaxoserver.obs-vlfr.fr/browsetaxo/?id=85288","85288")</f>
        <v>85288</v>
      </c>
      <c r="D298" s="28" t="s">
        <v>1270</v>
      </c>
      <c r="E298" s="49"/>
      <c r="F298" s="49"/>
      <c r="G298" s="49"/>
      <c r="I298" s="50"/>
      <c r="J298" s="24">
        <v>109487.0</v>
      </c>
      <c r="K298" s="28"/>
      <c r="L298" s="62"/>
      <c r="M298" s="55" t="b">
        <v>0</v>
      </c>
      <c r="N298" s="53"/>
      <c r="O298" s="50" t="s">
        <v>1928</v>
      </c>
    </row>
    <row r="299">
      <c r="A299" s="28" t="s">
        <v>2778</v>
      </c>
      <c r="B299" s="28">
        <v>31.0</v>
      </c>
      <c r="C299" s="48" t="str">
        <f>HYPERLINK("http://ecotaxoserver.obs-vlfr.fr/browsetaxo/?id=85289","85289")</f>
        <v>85289</v>
      </c>
      <c r="D299" s="28" t="s">
        <v>1506</v>
      </c>
      <c r="E299" s="49"/>
      <c r="F299" s="49"/>
      <c r="G299" s="49"/>
      <c r="I299" s="50"/>
      <c r="J299" s="28"/>
      <c r="K299" s="24">
        <v>109396.0</v>
      </c>
      <c r="L299" s="50" t="s">
        <v>2412</v>
      </c>
      <c r="M299" s="51" t="b">
        <v>1</v>
      </c>
      <c r="N299" s="54"/>
      <c r="O299" s="50" t="s">
        <v>1928</v>
      </c>
    </row>
    <row r="300">
      <c r="A300" s="28" t="s">
        <v>2779</v>
      </c>
      <c r="B300" s="28">
        <v>137.0</v>
      </c>
      <c r="C300" s="48" t="str">
        <f>HYPERLINK("http://ecotaxoserver.obs-vlfr.fr/browsetaxo/?id=85290","85290")</f>
        <v>85290</v>
      </c>
      <c r="D300" s="28" t="s">
        <v>1506</v>
      </c>
      <c r="E300" s="49"/>
      <c r="F300" s="49"/>
      <c r="G300" s="49"/>
      <c r="I300" s="50"/>
      <c r="J300" s="28"/>
      <c r="K300" s="24">
        <v>109396.0</v>
      </c>
      <c r="L300" s="50" t="s">
        <v>2424</v>
      </c>
      <c r="M300" s="51" t="b">
        <v>1</v>
      </c>
      <c r="N300" s="54"/>
      <c r="O300" s="50" t="s">
        <v>1928</v>
      </c>
    </row>
    <row r="301">
      <c r="A301" s="28" t="s">
        <v>2780</v>
      </c>
      <c r="B301" s="28">
        <v>260.0</v>
      </c>
      <c r="C301" s="48" t="str">
        <f>HYPERLINK("http://ecotaxoserver.obs-vlfr.fr/browsetaxo/?id=85291","85291")</f>
        <v>85291</v>
      </c>
      <c r="D301" s="28" t="s">
        <v>1506</v>
      </c>
      <c r="E301" s="49"/>
      <c r="F301" s="49"/>
      <c r="G301" s="49"/>
      <c r="I301" s="50"/>
      <c r="J301" s="28"/>
      <c r="K301" s="24">
        <v>109396.0</v>
      </c>
      <c r="L301" s="50" t="s">
        <v>2359</v>
      </c>
      <c r="M301" s="51" t="b">
        <v>1</v>
      </c>
      <c r="N301" s="54"/>
      <c r="O301" s="50" t="s">
        <v>1928</v>
      </c>
    </row>
    <row r="302">
      <c r="A302" s="28" t="s">
        <v>2781</v>
      </c>
      <c r="B302" s="28">
        <v>99.0</v>
      </c>
      <c r="C302" s="48" t="str">
        <f>HYPERLINK("http://ecotaxoserver.obs-vlfr.fr/browsetaxo/?id=85292","85292")</f>
        <v>85292</v>
      </c>
      <c r="D302" s="28" t="s">
        <v>1506</v>
      </c>
      <c r="E302" s="49"/>
      <c r="F302" s="49"/>
      <c r="G302" s="49"/>
      <c r="I302" s="50"/>
      <c r="J302" s="28"/>
      <c r="K302" s="24">
        <v>109396.0</v>
      </c>
      <c r="L302" s="50" t="s">
        <v>2361</v>
      </c>
      <c r="M302" s="51" t="b">
        <v>1</v>
      </c>
      <c r="N302" s="54"/>
      <c r="O302" s="50" t="s">
        <v>1928</v>
      </c>
    </row>
    <row r="303">
      <c r="A303" s="28" t="s">
        <v>2782</v>
      </c>
      <c r="B303" s="28">
        <v>60.0</v>
      </c>
      <c r="C303" s="48" t="str">
        <f>HYPERLINK("http://ecotaxoserver.obs-vlfr.fr/browsetaxo/?id=85293","85293")</f>
        <v>85293</v>
      </c>
      <c r="D303" s="28" t="s">
        <v>1506</v>
      </c>
      <c r="E303" s="49"/>
      <c r="F303" s="49"/>
      <c r="G303" s="49"/>
      <c r="I303" s="50"/>
      <c r="J303" s="28"/>
      <c r="K303" s="24">
        <v>109396.0</v>
      </c>
      <c r="L303" s="50" t="s">
        <v>2428</v>
      </c>
      <c r="M303" s="51" t="b">
        <v>1</v>
      </c>
      <c r="N303" s="54"/>
      <c r="O303" s="50" t="s">
        <v>1928</v>
      </c>
    </row>
    <row r="304">
      <c r="A304" s="28" t="s">
        <v>2783</v>
      </c>
      <c r="B304" s="28">
        <v>5.0</v>
      </c>
      <c r="C304" s="48" t="str">
        <f>HYPERLINK("http://ecotaxoserver.obs-vlfr.fr/browsetaxo/?id=85294","85294")</f>
        <v>85294</v>
      </c>
      <c r="D304" s="28" t="s">
        <v>1506</v>
      </c>
      <c r="E304" s="49"/>
      <c r="F304" s="49"/>
      <c r="G304" s="49"/>
      <c r="I304" s="50"/>
      <c r="J304" s="28"/>
      <c r="K304" s="24">
        <v>109396.0</v>
      </c>
      <c r="L304" s="50" t="s">
        <v>2430</v>
      </c>
      <c r="M304" s="51" t="b">
        <v>1</v>
      </c>
      <c r="N304" s="54"/>
      <c r="O304" s="50" t="s">
        <v>1928</v>
      </c>
    </row>
    <row r="305">
      <c r="A305" s="28" t="s">
        <v>2784</v>
      </c>
      <c r="B305" s="28">
        <v>81.0</v>
      </c>
      <c r="C305" s="48" t="str">
        <f>HYPERLINK("http://ecotaxoserver.obs-vlfr.fr/browsetaxo/?id=85295","85295")</f>
        <v>85295</v>
      </c>
      <c r="D305" s="28" t="s">
        <v>1506</v>
      </c>
      <c r="E305" s="49"/>
      <c r="F305" s="49"/>
      <c r="G305" s="49"/>
      <c r="I305" s="50"/>
      <c r="J305" s="28"/>
      <c r="K305" s="24">
        <v>109396.0</v>
      </c>
      <c r="L305" s="50" t="s">
        <v>2432</v>
      </c>
      <c r="M305" s="51" t="b">
        <v>1</v>
      </c>
      <c r="N305" s="54"/>
      <c r="O305" s="50" t="s">
        <v>1928</v>
      </c>
    </row>
    <row r="306">
      <c r="A306" s="28" t="s">
        <v>2785</v>
      </c>
      <c r="B306" s="28">
        <v>45.0</v>
      </c>
      <c r="C306" s="48" t="str">
        <f>HYPERLINK("http://ecotaxoserver.obs-vlfr.fr/browsetaxo/?id=85297","85297")</f>
        <v>85297</v>
      </c>
      <c r="D306" s="28" t="s">
        <v>1506</v>
      </c>
      <c r="E306" s="49"/>
      <c r="F306" s="49"/>
      <c r="G306" s="49"/>
      <c r="I306" s="50"/>
      <c r="J306" s="28"/>
      <c r="K306" s="24">
        <v>109396.0</v>
      </c>
      <c r="L306" s="50" t="s">
        <v>2436</v>
      </c>
      <c r="M306" s="51" t="b">
        <v>1</v>
      </c>
      <c r="N306" s="54"/>
      <c r="O306" s="50" t="s">
        <v>1928</v>
      </c>
    </row>
    <row r="307">
      <c r="A307" s="28" t="s">
        <v>2786</v>
      </c>
      <c r="B307" s="28">
        <v>2.0</v>
      </c>
      <c r="C307" s="48" t="str">
        <f>HYPERLINK("http://ecotaxoserver.obs-vlfr.fr/browsetaxo/?id=58518","58518")</f>
        <v>58518</v>
      </c>
      <c r="D307" s="28" t="s">
        <v>1505</v>
      </c>
      <c r="E307" s="49"/>
      <c r="F307" s="49"/>
      <c r="G307" s="49"/>
      <c r="I307" s="28" t="s">
        <v>94</v>
      </c>
      <c r="J307" s="24">
        <v>109566.0</v>
      </c>
      <c r="K307" s="28"/>
      <c r="M307" s="55" t="b">
        <v>0</v>
      </c>
      <c r="N307" s="54"/>
      <c r="O307" s="50" t="s">
        <v>1928</v>
      </c>
    </row>
    <row r="308">
      <c r="A308" s="28" t="s">
        <v>2787</v>
      </c>
      <c r="B308" s="28">
        <v>1.0</v>
      </c>
      <c r="C308" s="48" t="str">
        <f>HYPERLINK("http://ecotaxoserver.obs-vlfr.fr/browsetaxo/?id=91419","91419")</f>
        <v>91419</v>
      </c>
      <c r="D308" s="28" t="s">
        <v>751</v>
      </c>
      <c r="E308" s="56">
        <v>573956.0</v>
      </c>
      <c r="F308" s="49" t="s">
        <v>2371</v>
      </c>
      <c r="G308" s="56">
        <v>573956.0</v>
      </c>
      <c r="H308" s="22" t="s">
        <v>2787</v>
      </c>
      <c r="I308" s="28" t="s">
        <v>94</v>
      </c>
      <c r="J308" s="28"/>
      <c r="K308" s="56">
        <v>573956.0</v>
      </c>
      <c r="L308" s="50" t="s">
        <v>2788</v>
      </c>
      <c r="M308" s="51" t="b">
        <v>1</v>
      </c>
      <c r="N308" s="53" t="s">
        <v>2789</v>
      </c>
      <c r="O308" s="50" t="s">
        <v>1928</v>
      </c>
    </row>
    <row r="309">
      <c r="A309" s="28" t="s">
        <v>2790</v>
      </c>
      <c r="B309" s="28">
        <v>210.0</v>
      </c>
      <c r="C309" s="48" t="str">
        <f>HYPERLINK("http://ecotaxoserver.obs-vlfr.fr/browsetaxo/?id=85218","85218")</f>
        <v>85218</v>
      </c>
      <c r="D309" s="28" t="s">
        <v>2791</v>
      </c>
      <c r="E309" s="49"/>
      <c r="F309" s="49"/>
      <c r="G309" s="49"/>
      <c r="I309" s="50"/>
      <c r="J309" s="28"/>
      <c r="K309" s="50"/>
      <c r="L309" s="50" t="s">
        <v>2412</v>
      </c>
      <c r="M309" s="51" t="b">
        <v>1</v>
      </c>
      <c r="N309" s="53" t="s">
        <v>2792</v>
      </c>
      <c r="O309" s="50" t="s">
        <v>1928</v>
      </c>
    </row>
    <row r="310">
      <c r="A310" s="28" t="s">
        <v>2793</v>
      </c>
      <c r="B310" s="28">
        <v>39.0</v>
      </c>
      <c r="C310" s="48" t="str">
        <f>HYPERLINK("http://ecotaxoserver.obs-vlfr.fr/browsetaxo/?id=85219","85219")</f>
        <v>85219</v>
      </c>
      <c r="D310" s="28" t="s">
        <v>2791</v>
      </c>
      <c r="E310" s="49"/>
      <c r="F310" s="49"/>
      <c r="G310" s="49"/>
      <c r="I310" s="50"/>
      <c r="J310" s="28"/>
      <c r="K310" s="50"/>
      <c r="L310" s="50" t="s">
        <v>2424</v>
      </c>
      <c r="M310" s="51" t="b">
        <v>1</v>
      </c>
      <c r="N310" s="53" t="s">
        <v>2792</v>
      </c>
      <c r="O310" s="50" t="s">
        <v>1928</v>
      </c>
    </row>
    <row r="311">
      <c r="A311" s="28" t="s">
        <v>2794</v>
      </c>
      <c r="B311" s="28">
        <v>60.0</v>
      </c>
      <c r="C311" s="48" t="str">
        <f>HYPERLINK("http://ecotaxoserver.obs-vlfr.fr/browsetaxo/?id=85220","85220")</f>
        <v>85220</v>
      </c>
      <c r="D311" s="28" t="s">
        <v>2791</v>
      </c>
      <c r="E311" s="49"/>
      <c r="F311" s="49"/>
      <c r="G311" s="49"/>
      <c r="I311" s="50"/>
      <c r="J311" s="28"/>
      <c r="K311" s="50"/>
      <c r="L311" s="50" t="s">
        <v>2359</v>
      </c>
      <c r="M311" s="51" t="b">
        <v>1</v>
      </c>
      <c r="N311" s="53" t="s">
        <v>2792</v>
      </c>
      <c r="O311" s="50" t="s">
        <v>1928</v>
      </c>
    </row>
    <row r="312">
      <c r="A312" s="28" t="s">
        <v>2795</v>
      </c>
      <c r="B312" s="28">
        <v>218.0</v>
      </c>
      <c r="C312" s="48" t="str">
        <f>HYPERLINK("http://ecotaxoserver.obs-vlfr.fr/browsetaxo/?id=85221","85221")</f>
        <v>85221</v>
      </c>
      <c r="D312" s="28" t="s">
        <v>2791</v>
      </c>
      <c r="E312" s="49"/>
      <c r="F312" s="49"/>
      <c r="G312" s="49"/>
      <c r="I312" s="50"/>
      <c r="J312" s="28"/>
      <c r="K312" s="50"/>
      <c r="L312" s="50" t="s">
        <v>2361</v>
      </c>
      <c r="M312" s="51" t="b">
        <v>1</v>
      </c>
      <c r="N312" s="53" t="s">
        <v>2792</v>
      </c>
      <c r="O312" s="50" t="s">
        <v>1928</v>
      </c>
    </row>
    <row r="313">
      <c r="A313" s="28" t="s">
        <v>2796</v>
      </c>
      <c r="B313" s="28">
        <v>80.0</v>
      </c>
      <c r="C313" s="48" t="str">
        <f>HYPERLINK("http://ecotaxoserver.obs-vlfr.fr/browsetaxo/?id=85222","85222")</f>
        <v>85222</v>
      </c>
      <c r="D313" s="28" t="s">
        <v>2791</v>
      </c>
      <c r="E313" s="49"/>
      <c r="F313" s="49"/>
      <c r="G313" s="49"/>
      <c r="I313" s="50"/>
      <c r="J313" s="28"/>
      <c r="K313" s="50"/>
      <c r="L313" s="50" t="s">
        <v>2428</v>
      </c>
      <c r="M313" s="51" t="b">
        <v>1</v>
      </c>
      <c r="N313" s="53" t="s">
        <v>2792</v>
      </c>
      <c r="O313" s="50" t="s">
        <v>1928</v>
      </c>
    </row>
    <row r="314">
      <c r="A314" s="28" t="s">
        <v>2797</v>
      </c>
      <c r="B314" s="28">
        <v>100.0</v>
      </c>
      <c r="C314" s="48" t="str">
        <f>HYPERLINK("http://ecotaxoserver.obs-vlfr.fr/browsetaxo/?id=85223","85223")</f>
        <v>85223</v>
      </c>
      <c r="D314" s="28" t="s">
        <v>2791</v>
      </c>
      <c r="E314" s="49"/>
      <c r="F314" s="49"/>
      <c r="G314" s="49"/>
      <c r="I314" s="50"/>
      <c r="J314" s="28"/>
      <c r="K314" s="50"/>
      <c r="L314" s="50" t="s">
        <v>2430</v>
      </c>
      <c r="M314" s="51" t="b">
        <v>1</v>
      </c>
      <c r="N314" s="53" t="s">
        <v>2792</v>
      </c>
      <c r="O314" s="50" t="s">
        <v>1928</v>
      </c>
    </row>
    <row r="315">
      <c r="A315" s="28" t="s">
        <v>2798</v>
      </c>
      <c r="B315" s="28">
        <v>2141.0</v>
      </c>
      <c r="C315" s="48" t="str">
        <f>HYPERLINK("http://ecotaxoserver.obs-vlfr.fr/browsetaxo/?id=58410","58410")</f>
        <v>58410</v>
      </c>
      <c r="D315" s="28" t="s">
        <v>760</v>
      </c>
      <c r="E315" s="49"/>
      <c r="F315" s="49"/>
      <c r="G315" s="49"/>
      <c r="I315" s="28" t="s">
        <v>94</v>
      </c>
      <c r="J315" s="24">
        <v>109553.0</v>
      </c>
      <c r="K315" s="28"/>
      <c r="M315" s="55" t="b">
        <v>0</v>
      </c>
      <c r="N315" s="54"/>
      <c r="O315" s="50" t="s">
        <v>1928</v>
      </c>
    </row>
    <row r="316">
      <c r="A316" s="28" t="s">
        <v>2799</v>
      </c>
      <c r="B316" s="28">
        <v>38.0</v>
      </c>
      <c r="C316" s="48" t="str">
        <f>HYPERLINK("http://ecotaxoserver.obs-vlfr.fr/browsetaxo/?id=89614","89614")</f>
        <v>89614</v>
      </c>
      <c r="D316" s="28" t="s">
        <v>2800</v>
      </c>
      <c r="E316" s="49"/>
      <c r="F316" s="49"/>
      <c r="G316" s="49"/>
      <c r="I316" s="28" t="s">
        <v>94</v>
      </c>
      <c r="J316" s="28"/>
      <c r="K316" s="28"/>
      <c r="L316" s="24" t="s">
        <v>2801</v>
      </c>
      <c r="M316" s="55" t="b">
        <v>0</v>
      </c>
      <c r="N316" s="53" t="s">
        <v>2464</v>
      </c>
      <c r="O316" s="50" t="s">
        <v>1928</v>
      </c>
    </row>
    <row r="317">
      <c r="A317" s="28" t="s">
        <v>2802</v>
      </c>
      <c r="B317" s="28">
        <v>1914.0</v>
      </c>
      <c r="C317" s="48" t="str">
        <f>HYPERLINK("http://ecotaxoserver.obs-vlfr.fr/browsetaxo/?id=85198","85198")</f>
        <v>85198</v>
      </c>
      <c r="D317" s="28" t="s">
        <v>1550</v>
      </c>
      <c r="E317" s="49"/>
      <c r="F317" s="49"/>
      <c r="G317" s="49"/>
      <c r="I317" s="28" t="s">
        <v>94</v>
      </c>
      <c r="J317" s="28"/>
      <c r="K317" s="24">
        <v>149151.0</v>
      </c>
      <c r="L317" s="50" t="s">
        <v>2447</v>
      </c>
      <c r="M317" s="51" t="b">
        <v>1</v>
      </c>
      <c r="N317" s="53" t="s">
        <v>2803</v>
      </c>
      <c r="O317" s="50" t="s">
        <v>1928</v>
      </c>
    </row>
    <row r="318">
      <c r="A318" s="28" t="s">
        <v>2804</v>
      </c>
      <c r="B318" s="28">
        <v>26.0</v>
      </c>
      <c r="C318" s="48" t="str">
        <f>HYPERLINK("http://ecotaxoserver.obs-vlfr.fr/browsetaxo/?id=85452","85452")</f>
        <v>85452</v>
      </c>
      <c r="D318" s="28" t="s">
        <v>1550</v>
      </c>
      <c r="E318" s="49"/>
      <c r="F318" s="49"/>
      <c r="G318" s="49"/>
      <c r="I318" s="28" t="s">
        <v>94</v>
      </c>
      <c r="J318" s="24">
        <v>411766.0</v>
      </c>
      <c r="K318" s="28"/>
      <c r="L318" s="62"/>
      <c r="M318" s="55" t="b">
        <v>0</v>
      </c>
      <c r="N318" s="53" t="s">
        <v>2621</v>
      </c>
      <c r="O318" s="50" t="s">
        <v>1928</v>
      </c>
    </row>
    <row r="319">
      <c r="A319" s="28" t="s">
        <v>2805</v>
      </c>
      <c r="B319" s="28">
        <v>2033.0</v>
      </c>
      <c r="C319" s="48" t="str">
        <f>HYPERLINK("http://ecotaxoserver.obs-vlfr.fr/browsetaxo/?id=85199","85199")</f>
        <v>85199</v>
      </c>
      <c r="D319" s="28" t="s">
        <v>1550</v>
      </c>
      <c r="E319" s="49"/>
      <c r="F319" s="49"/>
      <c r="G319" s="49"/>
      <c r="I319" s="28" t="s">
        <v>94</v>
      </c>
      <c r="J319" s="28"/>
      <c r="K319" s="24">
        <v>149151.0</v>
      </c>
      <c r="L319" s="50" t="s">
        <v>2457</v>
      </c>
      <c r="M319" s="51" t="b">
        <v>1</v>
      </c>
      <c r="N319" s="53" t="s">
        <v>2803</v>
      </c>
      <c r="O319" s="50" t="s">
        <v>1928</v>
      </c>
    </row>
    <row r="320">
      <c r="A320" s="28" t="s">
        <v>2806</v>
      </c>
      <c r="B320" s="28">
        <v>936.0</v>
      </c>
      <c r="C320" s="48" t="str">
        <f>HYPERLINK("http://ecotaxoserver.obs-vlfr.fr/browsetaxo/?id=12402","12402")</f>
        <v>12402</v>
      </c>
      <c r="D320" s="28" t="s">
        <v>957</v>
      </c>
      <c r="E320" s="56">
        <v>160595.0</v>
      </c>
      <c r="F320" s="49" t="s">
        <v>2371</v>
      </c>
      <c r="G320" s="56">
        <v>160595.0</v>
      </c>
      <c r="H320" s="22" t="s">
        <v>2806</v>
      </c>
      <c r="I320" s="28" t="s">
        <v>94</v>
      </c>
      <c r="J320" s="56">
        <v>160595.0</v>
      </c>
      <c r="K320" s="28"/>
      <c r="L320" s="28"/>
      <c r="M320" s="55" t="b">
        <v>0</v>
      </c>
      <c r="N320" s="54"/>
      <c r="O320" s="50" t="s">
        <v>2489</v>
      </c>
    </row>
    <row r="321">
      <c r="A321" s="28" t="s">
        <v>2807</v>
      </c>
      <c r="B321" s="28">
        <v>55.0</v>
      </c>
      <c r="C321" s="48" t="str">
        <f>HYPERLINK("http://ecotaxoserver.obs-vlfr.fr/browsetaxo/?id=85320","85320")</f>
        <v>85320</v>
      </c>
      <c r="D321" s="28" t="s">
        <v>2806</v>
      </c>
      <c r="E321" s="49"/>
      <c r="F321" s="49"/>
      <c r="G321" s="49"/>
      <c r="I321" s="50"/>
      <c r="J321" s="28"/>
      <c r="K321" s="24">
        <v>160595.0</v>
      </c>
      <c r="L321" s="50" t="s">
        <v>2412</v>
      </c>
      <c r="M321" s="51" t="b">
        <v>1</v>
      </c>
      <c r="N321" s="53" t="s">
        <v>2808</v>
      </c>
      <c r="O321" s="50" t="s">
        <v>1928</v>
      </c>
    </row>
    <row r="322">
      <c r="A322" s="28" t="s">
        <v>2809</v>
      </c>
      <c r="B322" s="28">
        <v>40.0</v>
      </c>
      <c r="C322" s="48" t="str">
        <f>HYPERLINK("http://ecotaxoserver.obs-vlfr.fr/browsetaxo/?id=85321","85321")</f>
        <v>85321</v>
      </c>
      <c r="D322" s="28" t="s">
        <v>2806</v>
      </c>
      <c r="E322" s="49"/>
      <c r="F322" s="49"/>
      <c r="G322" s="49"/>
      <c r="I322" s="50"/>
      <c r="J322" s="28"/>
      <c r="K322" s="24">
        <v>160595.0</v>
      </c>
      <c r="L322" s="50" t="s">
        <v>2424</v>
      </c>
      <c r="M322" s="51" t="b">
        <v>1</v>
      </c>
      <c r="N322" s="53" t="s">
        <v>2808</v>
      </c>
      <c r="O322" s="50" t="s">
        <v>1928</v>
      </c>
    </row>
    <row r="323">
      <c r="A323" s="28" t="s">
        <v>2810</v>
      </c>
      <c r="B323" s="28">
        <v>1.0</v>
      </c>
      <c r="C323" s="48" t="str">
        <f>HYPERLINK("http://ecotaxoserver.obs-vlfr.fr/browsetaxo/?id=86087","86087")</f>
        <v>86087</v>
      </c>
      <c r="D323" s="28" t="s">
        <v>2806</v>
      </c>
      <c r="E323" s="49"/>
      <c r="F323" s="49"/>
      <c r="G323" s="49"/>
      <c r="I323" s="28" t="s">
        <v>94</v>
      </c>
      <c r="J323" s="24">
        <v>160595.0</v>
      </c>
      <c r="K323" s="28"/>
      <c r="L323" s="78"/>
      <c r="M323" s="55" t="b">
        <v>0</v>
      </c>
      <c r="N323" s="54"/>
      <c r="O323" s="50" t="s">
        <v>1928</v>
      </c>
    </row>
    <row r="324">
      <c r="A324" s="28" t="s">
        <v>2811</v>
      </c>
      <c r="B324" s="28">
        <v>4.0</v>
      </c>
      <c r="C324" s="48" t="str">
        <f>HYPERLINK("http://ecotaxoserver.obs-vlfr.fr/browsetaxo/?id=15220","15220")</f>
        <v>15220</v>
      </c>
      <c r="D324" s="28" t="s">
        <v>2812</v>
      </c>
      <c r="E324" s="56">
        <v>178946.0</v>
      </c>
      <c r="F324" s="49" t="s">
        <v>2371</v>
      </c>
      <c r="G324" s="56">
        <v>178946.0</v>
      </c>
      <c r="H324" s="22" t="s">
        <v>2811</v>
      </c>
      <c r="I324" s="28" t="s">
        <v>94</v>
      </c>
      <c r="J324" s="56">
        <v>178946.0</v>
      </c>
      <c r="K324" s="28"/>
      <c r="L324" s="28"/>
      <c r="M324" s="55" t="b">
        <v>0</v>
      </c>
      <c r="N324" s="54"/>
      <c r="O324" s="50" t="s">
        <v>2489</v>
      </c>
    </row>
    <row r="325">
      <c r="A325" s="28" t="s">
        <v>869</v>
      </c>
      <c r="B325" s="28">
        <v>8787.0</v>
      </c>
      <c r="C325" s="48" t="str">
        <f>HYPERLINK("http://ecotaxoserver.obs-vlfr.fr/browsetaxo/?id=2244","2244")</f>
        <v>2244</v>
      </c>
      <c r="D325" s="28" t="s">
        <v>100</v>
      </c>
      <c r="E325" s="49"/>
      <c r="F325" s="49"/>
      <c r="G325" s="49"/>
      <c r="I325" s="50" t="s">
        <v>1927</v>
      </c>
      <c r="J325" s="24">
        <v>582420.0</v>
      </c>
      <c r="K325" s="28"/>
      <c r="L325" s="28"/>
      <c r="M325" s="55" t="b">
        <v>0</v>
      </c>
      <c r="N325" s="53" t="s">
        <v>2813</v>
      </c>
      <c r="O325" s="50" t="s">
        <v>1928</v>
      </c>
    </row>
    <row r="326">
      <c r="A326" s="28" t="s">
        <v>2814</v>
      </c>
      <c r="B326" s="28">
        <v>1.0</v>
      </c>
      <c r="C326" s="48" t="str">
        <f>HYPERLINK("http://ecotaxoserver.obs-vlfr.fr/browsetaxo/?id=92648","92648")</f>
        <v>92648</v>
      </c>
      <c r="D326" s="28" t="s">
        <v>128</v>
      </c>
      <c r="E326" s="49"/>
      <c r="F326" s="49"/>
      <c r="G326" s="49"/>
      <c r="I326" s="28" t="s">
        <v>94</v>
      </c>
      <c r="J326" s="24">
        <v>626382.0</v>
      </c>
      <c r="K326" s="28"/>
      <c r="L326" s="62"/>
      <c r="M326" s="55" t="b">
        <v>0</v>
      </c>
      <c r="N326" s="54"/>
      <c r="O326" s="50" t="s">
        <v>1928</v>
      </c>
    </row>
    <row r="327">
      <c r="A327" s="28" t="s">
        <v>2815</v>
      </c>
      <c r="B327" s="28">
        <v>1921.0</v>
      </c>
      <c r="C327" s="48" t="str">
        <f>HYPERLINK("http://ecotaxoserver.obs-vlfr.fr/browsetaxo/?id=92691","92691")</f>
        <v>92691</v>
      </c>
      <c r="D327" s="28" t="s">
        <v>1605</v>
      </c>
      <c r="E327" s="49"/>
      <c r="F327" s="49"/>
      <c r="G327" s="49"/>
      <c r="I327" s="28" t="s">
        <v>94</v>
      </c>
      <c r="K327" s="24">
        <v>115068.0</v>
      </c>
      <c r="L327" s="24" t="s">
        <v>1613</v>
      </c>
      <c r="M327" s="51" t="b">
        <v>1</v>
      </c>
      <c r="N327" s="65" t="s">
        <v>2661</v>
      </c>
      <c r="O327" s="28" t="s">
        <v>94</v>
      </c>
    </row>
    <row r="328">
      <c r="A328" s="28" t="s">
        <v>2816</v>
      </c>
      <c r="B328" s="28">
        <v>1.0</v>
      </c>
      <c r="C328" s="48" t="str">
        <f>HYPERLINK("http://ecotaxoserver.obs-vlfr.fr/browsetaxo/?id=92375","92375")</f>
        <v>92375</v>
      </c>
      <c r="D328" s="28" t="s">
        <v>128</v>
      </c>
      <c r="E328" s="49"/>
      <c r="F328" s="49"/>
      <c r="G328" s="49"/>
      <c r="I328" s="28" t="s">
        <v>94</v>
      </c>
      <c r="J328" s="24">
        <v>341396.0</v>
      </c>
      <c r="K328" s="28"/>
      <c r="L328" s="62"/>
      <c r="M328" s="55" t="b">
        <v>0</v>
      </c>
      <c r="N328" s="54"/>
      <c r="O328" s="50" t="s">
        <v>1928</v>
      </c>
    </row>
    <row r="329">
      <c r="A329" s="28" t="s">
        <v>688</v>
      </c>
      <c r="B329" s="28">
        <v>22864.0</v>
      </c>
      <c r="C329" s="48" t="str">
        <f>HYPERLINK("http://ecotaxoserver.obs-vlfr.fr/browsetaxo/?id=17523","17523")</f>
        <v>17523</v>
      </c>
      <c r="D329" s="28" t="s">
        <v>2527</v>
      </c>
      <c r="E329" s="49"/>
      <c r="F329" s="49"/>
      <c r="G329" s="49"/>
      <c r="I329" s="28" t="s">
        <v>94</v>
      </c>
      <c r="J329" s="24">
        <v>149068.0</v>
      </c>
      <c r="K329" s="28"/>
      <c r="L329" s="62"/>
      <c r="M329" s="55" t="b">
        <v>0</v>
      </c>
      <c r="N329" s="54"/>
      <c r="O329" s="50" t="s">
        <v>1928</v>
      </c>
    </row>
    <row r="330">
      <c r="A330" s="28" t="s">
        <v>2817</v>
      </c>
      <c r="B330" s="28">
        <v>47.0</v>
      </c>
      <c r="C330" s="48" t="str">
        <f>HYPERLINK("http://ecotaxoserver.obs-vlfr.fr/browsetaxo/?id=28295","28295")</f>
        <v>28295</v>
      </c>
      <c r="D330" s="28" t="s">
        <v>688</v>
      </c>
      <c r="E330" s="49"/>
      <c r="F330" s="49"/>
      <c r="G330" s="49"/>
      <c r="I330" s="28" t="s">
        <v>94</v>
      </c>
      <c r="J330" s="24">
        <v>149068.0</v>
      </c>
      <c r="K330" s="28"/>
      <c r="L330" s="62"/>
      <c r="M330" s="55" t="b">
        <v>0</v>
      </c>
      <c r="N330" s="54"/>
      <c r="O330" s="50" t="s">
        <v>1928</v>
      </c>
    </row>
    <row r="331">
      <c r="A331" s="28" t="s">
        <v>2818</v>
      </c>
      <c r="B331" s="28">
        <v>2.0</v>
      </c>
      <c r="C331" s="48" t="str">
        <f>HYPERLINK("http://ecotaxoserver.obs-vlfr.fr/browsetaxo/?id=23049","23049")</f>
        <v>23049</v>
      </c>
      <c r="D331" s="28" t="s">
        <v>2819</v>
      </c>
      <c r="E331" s="49"/>
      <c r="F331" s="49"/>
      <c r="G331" s="49"/>
      <c r="I331" s="28" t="s">
        <v>94</v>
      </c>
      <c r="J331" s="28"/>
      <c r="K331" s="28"/>
      <c r="L331" s="28"/>
      <c r="M331" s="55" t="b">
        <v>0</v>
      </c>
      <c r="N331" s="53" t="s">
        <v>2820</v>
      </c>
      <c r="O331" s="50" t="s">
        <v>1928</v>
      </c>
    </row>
    <row r="332">
      <c r="A332" s="28" t="s">
        <v>2821</v>
      </c>
      <c r="B332" s="28">
        <v>1.0</v>
      </c>
      <c r="C332" s="48" t="str">
        <f>HYPERLINK("http://ecotaxoserver.obs-vlfr.fr/browsetaxo/?id=71623","71623")</f>
        <v>71623</v>
      </c>
      <c r="D332" s="28" t="s">
        <v>1623</v>
      </c>
      <c r="E332" s="49"/>
      <c r="F332" s="49"/>
      <c r="G332" s="49"/>
      <c r="I332" s="28" t="s">
        <v>94</v>
      </c>
      <c r="J332" s="24">
        <v>266700.0</v>
      </c>
      <c r="K332" s="28"/>
      <c r="L332" s="62"/>
      <c r="M332" s="55" t="b">
        <v>0</v>
      </c>
      <c r="N332" s="54"/>
      <c r="O332" s="50" t="s">
        <v>1928</v>
      </c>
    </row>
    <row r="333">
      <c r="A333" s="28" t="s">
        <v>2822</v>
      </c>
      <c r="B333" s="28">
        <v>6.0</v>
      </c>
      <c r="C333" s="48" t="str">
        <f>HYPERLINK("http://ecotaxoserver.obs-vlfr.fr/browsetaxo/?id=30861","30861")</f>
        <v>30861</v>
      </c>
      <c r="D333" s="28" t="s">
        <v>2823</v>
      </c>
      <c r="E333" s="56"/>
      <c r="F333" s="49"/>
      <c r="G333" s="56"/>
      <c r="I333" s="28" t="s">
        <v>94</v>
      </c>
      <c r="J333" s="28"/>
      <c r="K333" s="76"/>
      <c r="L333" s="28"/>
      <c r="M333" s="55" t="b">
        <v>0</v>
      </c>
      <c r="N333" s="31" t="s">
        <v>2824</v>
      </c>
      <c r="O333" s="50" t="s">
        <v>2489</v>
      </c>
    </row>
    <row r="334">
      <c r="A334" s="28" t="s">
        <v>2823</v>
      </c>
      <c r="B334" s="28">
        <v>53.0</v>
      </c>
      <c r="C334" s="48" t="str">
        <f>HYPERLINK("http://ecotaxoserver.obs-vlfr.fr/browsetaxo/?id=18466","18466")</f>
        <v>18466</v>
      </c>
      <c r="D334" s="28" t="s">
        <v>1440</v>
      </c>
      <c r="E334" s="49"/>
      <c r="F334" s="49"/>
      <c r="G334" s="49"/>
      <c r="I334" s="28" t="s">
        <v>94</v>
      </c>
      <c r="J334" s="28"/>
      <c r="K334" s="76"/>
      <c r="L334" s="79"/>
      <c r="M334" s="55" t="b">
        <v>0</v>
      </c>
      <c r="N334" s="31" t="s">
        <v>2825</v>
      </c>
      <c r="O334" s="24" t="s">
        <v>1928</v>
      </c>
    </row>
    <row r="335">
      <c r="A335" s="28" t="s">
        <v>2826</v>
      </c>
      <c r="B335" s="28">
        <v>1.0</v>
      </c>
      <c r="C335" s="48" t="str">
        <f>HYPERLINK("http://ecotaxoserver.obs-vlfr.fr/browsetaxo/?id=83586","83586")</f>
        <v>83586</v>
      </c>
      <c r="D335" s="28" t="s">
        <v>424</v>
      </c>
      <c r="E335" s="56">
        <v>206362.0</v>
      </c>
      <c r="F335" s="49" t="s">
        <v>2371</v>
      </c>
      <c r="G335" s="56">
        <v>206362.0</v>
      </c>
      <c r="H335" s="22" t="s">
        <v>2826</v>
      </c>
      <c r="I335" s="28" t="s">
        <v>94</v>
      </c>
      <c r="J335" s="56">
        <v>206362.0</v>
      </c>
      <c r="K335" s="28"/>
      <c r="L335" s="28"/>
      <c r="M335" s="55" t="b">
        <v>0</v>
      </c>
      <c r="N335" s="54"/>
      <c r="O335" s="50" t="s">
        <v>2489</v>
      </c>
    </row>
    <row r="336">
      <c r="A336" s="28" t="s">
        <v>2827</v>
      </c>
      <c r="B336" s="28">
        <v>3.0</v>
      </c>
      <c r="C336" s="48" t="str">
        <f>HYPERLINK("http://ecotaxoserver.obs-vlfr.fr/browsetaxo/?id=15214","15214")</f>
        <v>15214</v>
      </c>
      <c r="D336" s="28" t="s">
        <v>2812</v>
      </c>
      <c r="E336" s="56">
        <v>160602.0</v>
      </c>
      <c r="F336" s="49" t="s">
        <v>2371</v>
      </c>
      <c r="G336" s="56">
        <v>160602.0</v>
      </c>
      <c r="H336" s="22" t="s">
        <v>2827</v>
      </c>
      <c r="I336" s="28" t="s">
        <v>94</v>
      </c>
      <c r="J336" s="56">
        <v>160602.0</v>
      </c>
      <c r="K336" s="28"/>
      <c r="L336" s="28"/>
      <c r="M336" s="55" t="b">
        <v>0</v>
      </c>
      <c r="N336" s="54"/>
      <c r="O336" s="50" t="s">
        <v>2489</v>
      </c>
    </row>
    <row r="337">
      <c r="A337" s="28" t="s">
        <v>2828</v>
      </c>
      <c r="B337" s="28">
        <v>105.0</v>
      </c>
      <c r="C337" s="48" t="str">
        <f>HYPERLINK("http://ecotaxoserver.obs-vlfr.fr/browsetaxo/?id=20642","20642")</f>
        <v>20642</v>
      </c>
      <c r="D337" s="28" t="s">
        <v>2827</v>
      </c>
      <c r="E337" s="49"/>
      <c r="F337" s="49"/>
      <c r="G337" s="49"/>
      <c r="I337" s="50" t="s">
        <v>1927</v>
      </c>
      <c r="J337" s="24">
        <v>160602.0</v>
      </c>
      <c r="K337" s="28"/>
      <c r="M337" s="55" t="b">
        <v>0</v>
      </c>
      <c r="N337" s="54"/>
      <c r="O337" s="50" t="s">
        <v>1928</v>
      </c>
    </row>
    <row r="338">
      <c r="A338" s="28" t="s">
        <v>2829</v>
      </c>
      <c r="B338" s="28">
        <v>1.0</v>
      </c>
      <c r="C338" s="48" t="str">
        <f>HYPERLINK("http://ecotaxoserver.obs-vlfr.fr/browsetaxo/?id=58431","58431")</f>
        <v>58431</v>
      </c>
      <c r="D338" s="28" t="s">
        <v>2830</v>
      </c>
      <c r="E338" s="49"/>
      <c r="F338" s="49"/>
      <c r="G338" s="49"/>
      <c r="I338" s="50" t="s">
        <v>1927</v>
      </c>
      <c r="J338" s="24">
        <v>109545.0</v>
      </c>
      <c r="L338" s="80"/>
      <c r="M338" s="51" t="b">
        <v>0</v>
      </c>
      <c r="N338" s="5"/>
      <c r="O338" s="50" t="s">
        <v>1928</v>
      </c>
    </row>
    <row r="339">
      <c r="A339" s="28" t="s">
        <v>2831</v>
      </c>
      <c r="B339" s="28">
        <v>1.0</v>
      </c>
      <c r="C339" s="48" t="str">
        <f>HYPERLINK("http://ecotaxoserver.obs-vlfr.fr/browsetaxo/?id=24012","24012")</f>
        <v>24012</v>
      </c>
      <c r="D339" s="28" t="s">
        <v>2832</v>
      </c>
      <c r="E339" s="49"/>
      <c r="F339" s="49"/>
      <c r="G339" s="49"/>
      <c r="I339" s="28" t="s">
        <v>94</v>
      </c>
      <c r="J339" s="28"/>
      <c r="K339" s="28"/>
      <c r="L339" s="28"/>
      <c r="M339" s="55" t="b">
        <v>0</v>
      </c>
      <c r="N339" s="53" t="s">
        <v>2820</v>
      </c>
      <c r="O339" s="50" t="s">
        <v>1928</v>
      </c>
    </row>
    <row r="340">
      <c r="A340" s="28" t="s">
        <v>2833</v>
      </c>
      <c r="B340" s="28">
        <v>2677.0</v>
      </c>
      <c r="C340" s="48" t="str">
        <f>HYPERLINK("http://ecotaxoserver.obs-vlfr.fr/browsetaxo/?id=85215","85215")</f>
        <v>85215</v>
      </c>
      <c r="D340" s="28" t="s">
        <v>2515</v>
      </c>
      <c r="E340" s="49"/>
      <c r="F340" s="49"/>
      <c r="G340" s="49"/>
      <c r="I340" s="28" t="s">
        <v>94</v>
      </c>
      <c r="J340" s="28"/>
      <c r="K340" s="28"/>
      <c r="L340" s="50" t="s">
        <v>2834</v>
      </c>
      <c r="M340" s="51" t="b">
        <v>1</v>
      </c>
      <c r="N340" s="53" t="s">
        <v>2835</v>
      </c>
      <c r="O340" s="50" t="s">
        <v>1928</v>
      </c>
    </row>
    <row r="341">
      <c r="A341" s="28" t="s">
        <v>2836</v>
      </c>
      <c r="B341" s="28">
        <v>200.0</v>
      </c>
      <c r="C341" s="48" t="str">
        <f>HYPERLINK("http://ecotaxoserver.obs-vlfr.fr/browsetaxo/?id=85214","85214")</f>
        <v>85214</v>
      </c>
      <c r="D341" s="28" t="s">
        <v>2515</v>
      </c>
      <c r="E341" s="49"/>
      <c r="F341" s="49"/>
      <c r="G341" s="49"/>
      <c r="I341" s="28" t="s">
        <v>94</v>
      </c>
      <c r="J341" s="28"/>
      <c r="K341" s="24">
        <v>149109.0</v>
      </c>
      <c r="L341" s="50" t="s">
        <v>2834</v>
      </c>
      <c r="M341" s="51" t="b">
        <v>1</v>
      </c>
      <c r="N341" s="53" t="s">
        <v>2837</v>
      </c>
      <c r="O341" s="50" t="s">
        <v>1928</v>
      </c>
    </row>
    <row r="342">
      <c r="A342" s="28" t="s">
        <v>2838</v>
      </c>
      <c r="B342" s="28">
        <v>11.0</v>
      </c>
      <c r="C342" s="48" t="str">
        <f>HYPERLINK("http://ecotaxoserver.obs-vlfr.fr/browsetaxo/?id=85216","85216")</f>
        <v>85216</v>
      </c>
      <c r="D342" s="28" t="s">
        <v>2515</v>
      </c>
      <c r="E342" s="49"/>
      <c r="F342" s="49"/>
      <c r="G342" s="49"/>
      <c r="I342" s="28" t="s">
        <v>94</v>
      </c>
      <c r="J342" s="28"/>
      <c r="K342" s="28"/>
      <c r="L342" s="50" t="s">
        <v>2838</v>
      </c>
      <c r="M342" s="51" t="b">
        <v>1</v>
      </c>
      <c r="N342" s="53" t="s">
        <v>2835</v>
      </c>
      <c r="O342" s="50" t="s">
        <v>1928</v>
      </c>
    </row>
    <row r="343">
      <c r="A343" s="28" t="s">
        <v>2839</v>
      </c>
      <c r="B343" s="28">
        <v>1107.0</v>
      </c>
      <c r="C343" s="48" t="str">
        <f>HYPERLINK("http://ecotaxoserver.obs-vlfr.fr/browsetaxo/?id=85226","85226")</f>
        <v>85226</v>
      </c>
      <c r="D343" s="28" t="s">
        <v>2838</v>
      </c>
      <c r="E343" s="49"/>
      <c r="F343" s="49"/>
      <c r="G343" s="49"/>
      <c r="I343" s="28" t="s">
        <v>94</v>
      </c>
      <c r="J343" s="28"/>
      <c r="K343" s="24">
        <v>148899.0</v>
      </c>
      <c r="L343" s="50" t="s">
        <v>2840</v>
      </c>
      <c r="M343" s="51" t="b">
        <v>1</v>
      </c>
      <c r="N343" s="53" t="s">
        <v>2841</v>
      </c>
      <c r="O343" s="50" t="s">
        <v>1928</v>
      </c>
    </row>
    <row r="344">
      <c r="A344" s="28" t="s">
        <v>2842</v>
      </c>
      <c r="B344" s="28">
        <v>168.0</v>
      </c>
      <c r="C344" s="48" t="str">
        <f>HYPERLINK("http://ecotaxoserver.obs-vlfr.fr/browsetaxo/?id=85225","85225")</f>
        <v>85225</v>
      </c>
      <c r="D344" s="28" t="s">
        <v>2838</v>
      </c>
      <c r="E344" s="49"/>
      <c r="F344" s="49"/>
      <c r="G344" s="49"/>
      <c r="I344" s="28" t="s">
        <v>94</v>
      </c>
      <c r="K344" s="24">
        <v>115057.0</v>
      </c>
      <c r="L344" s="50" t="s">
        <v>2516</v>
      </c>
      <c r="M344" s="51" t="b">
        <v>1</v>
      </c>
      <c r="N344" s="53" t="s">
        <v>2517</v>
      </c>
      <c r="O344" s="50" t="s">
        <v>1928</v>
      </c>
    </row>
    <row r="345">
      <c r="A345" s="28" t="s">
        <v>2843</v>
      </c>
      <c r="B345" s="28">
        <v>155.0</v>
      </c>
      <c r="C345" s="48" t="str">
        <f>HYPERLINK("http://ecotaxoserver.obs-vlfr.fr/browsetaxo/?id=85228","85228")</f>
        <v>85228</v>
      </c>
      <c r="D345" s="28" t="s">
        <v>2838</v>
      </c>
      <c r="E345" s="49"/>
      <c r="F345" s="49"/>
      <c r="G345" s="49"/>
      <c r="I345" s="28" t="s">
        <v>94</v>
      </c>
      <c r="J345" s="28"/>
      <c r="K345" s="24">
        <v>146232.0</v>
      </c>
      <c r="L345" s="50" t="s">
        <v>2844</v>
      </c>
      <c r="M345" s="51" t="b">
        <v>1</v>
      </c>
      <c r="N345" s="53" t="s">
        <v>2845</v>
      </c>
      <c r="O345" s="50" t="s">
        <v>1928</v>
      </c>
    </row>
    <row r="346">
      <c r="A346" s="28" t="s">
        <v>2846</v>
      </c>
      <c r="B346" s="28">
        <v>576.0</v>
      </c>
      <c r="C346" s="48" t="str">
        <f>HYPERLINK("http://ecotaxoserver.obs-vlfr.fr/browsetaxo/?id=85227","85227")</f>
        <v>85227</v>
      </c>
      <c r="D346" s="28" t="s">
        <v>2838</v>
      </c>
      <c r="E346" s="49"/>
      <c r="F346" s="49"/>
      <c r="G346" s="49"/>
      <c r="I346" s="28" t="s">
        <v>94</v>
      </c>
      <c r="J346" s="28"/>
      <c r="K346" s="24">
        <v>19542.0</v>
      </c>
      <c r="L346" s="50" t="s">
        <v>2847</v>
      </c>
      <c r="M346" s="51" t="b">
        <v>1</v>
      </c>
      <c r="N346" s="53" t="s">
        <v>2848</v>
      </c>
      <c r="O346" s="50" t="s">
        <v>1928</v>
      </c>
    </row>
    <row r="347">
      <c r="A347" s="28" t="s">
        <v>2849</v>
      </c>
      <c r="B347" s="28">
        <v>91.0</v>
      </c>
      <c r="C347" s="48" t="str">
        <f>HYPERLINK("http://ecotaxoserver.obs-vlfr.fr/browsetaxo/?id=85224","85224")</f>
        <v>85224</v>
      </c>
      <c r="D347" s="28" t="s">
        <v>2838</v>
      </c>
      <c r="E347" s="49"/>
      <c r="F347" s="49"/>
      <c r="G347" s="49"/>
      <c r="I347" s="28" t="s">
        <v>94</v>
      </c>
      <c r="J347" s="28"/>
      <c r="K347" s="24">
        <v>732976.0</v>
      </c>
      <c r="L347" s="50" t="s">
        <v>2850</v>
      </c>
      <c r="M347" s="51" t="b">
        <v>1</v>
      </c>
      <c r="N347" s="53" t="s">
        <v>2851</v>
      </c>
      <c r="O347" s="50" t="s">
        <v>1928</v>
      </c>
    </row>
    <row r="348">
      <c r="A348" s="28" t="s">
        <v>2852</v>
      </c>
      <c r="B348" s="28">
        <v>1.0</v>
      </c>
      <c r="C348" s="48" t="str">
        <f>HYPERLINK("http://ecotaxoserver.obs-vlfr.fr/browsetaxo/?id=54512","54512")</f>
        <v>54512</v>
      </c>
      <c r="D348" s="28" t="s">
        <v>2853</v>
      </c>
      <c r="E348" s="56">
        <v>148350.0</v>
      </c>
      <c r="F348" s="49" t="s">
        <v>2371</v>
      </c>
      <c r="G348" s="56">
        <v>148350.0</v>
      </c>
      <c r="H348" s="22" t="s">
        <v>2852</v>
      </c>
      <c r="I348" s="28" t="s">
        <v>94</v>
      </c>
      <c r="J348" s="56">
        <v>148350.0</v>
      </c>
      <c r="K348" s="28"/>
      <c r="L348" s="28"/>
      <c r="M348" s="55" t="b">
        <v>0</v>
      </c>
      <c r="N348" s="54"/>
      <c r="O348" s="50" t="s">
        <v>2489</v>
      </c>
    </row>
    <row r="349">
      <c r="A349" s="28" t="s">
        <v>2854</v>
      </c>
      <c r="B349" s="28">
        <v>2.0</v>
      </c>
      <c r="C349" s="48" t="str">
        <f>HYPERLINK("http://ecotaxoserver.obs-vlfr.fr/browsetaxo/?id=59645","59645")</f>
        <v>59645</v>
      </c>
      <c r="D349" s="28" t="s">
        <v>2855</v>
      </c>
      <c r="E349" s="56">
        <v>157597.0</v>
      </c>
      <c r="F349" s="49" t="s">
        <v>2371</v>
      </c>
      <c r="G349" s="56">
        <v>157597.0</v>
      </c>
      <c r="H349" s="22" t="s">
        <v>2854</v>
      </c>
      <c r="I349" s="28" t="s">
        <v>94</v>
      </c>
      <c r="J349" s="56">
        <v>157597.0</v>
      </c>
      <c r="K349" s="28"/>
      <c r="L349" s="28"/>
      <c r="M349" s="55" t="b">
        <v>0</v>
      </c>
      <c r="N349" s="54"/>
      <c r="O349" s="50" t="s">
        <v>2489</v>
      </c>
    </row>
    <row r="350">
      <c r="A350" s="28" t="s">
        <v>2856</v>
      </c>
      <c r="B350" s="28">
        <v>24467.0</v>
      </c>
      <c r="C350" s="48" t="str">
        <f>HYPERLINK("http://ecotaxoserver.obs-vlfr.fr/browsetaxo/?id=85036","85036")</f>
        <v>85036</v>
      </c>
      <c r="D350" s="28" t="s">
        <v>574</v>
      </c>
      <c r="E350" s="49"/>
      <c r="F350" s="49"/>
      <c r="G350" s="49"/>
      <c r="I350" s="28" t="s">
        <v>94</v>
      </c>
      <c r="J350" s="28"/>
      <c r="K350" s="81">
        <v>863399.0</v>
      </c>
      <c r="L350" s="50" t="s">
        <v>2857</v>
      </c>
      <c r="M350" s="51" t="b">
        <v>1</v>
      </c>
      <c r="N350" s="53" t="s">
        <v>2858</v>
      </c>
      <c r="O350" s="50" t="s">
        <v>1928</v>
      </c>
    </row>
    <row r="351">
      <c r="A351" s="28" t="s">
        <v>2859</v>
      </c>
      <c r="B351" s="28">
        <v>497.0</v>
      </c>
      <c r="C351" s="48" t="str">
        <f>HYPERLINK("http://ecotaxoserver.obs-vlfr.fr/browsetaxo/?id=85038","85038")</f>
        <v>85038</v>
      </c>
      <c r="D351" s="28" t="s">
        <v>574</v>
      </c>
      <c r="E351" s="49"/>
      <c r="F351" s="49"/>
      <c r="G351" s="49"/>
      <c r="I351" s="28" t="s">
        <v>94</v>
      </c>
      <c r="J351" s="28"/>
      <c r="K351" s="81">
        <v>863399.0</v>
      </c>
      <c r="L351" s="50" t="s">
        <v>2860</v>
      </c>
      <c r="M351" s="51" t="b">
        <v>1</v>
      </c>
      <c r="N351" s="53" t="s">
        <v>2861</v>
      </c>
      <c r="O351" s="50" t="s">
        <v>1928</v>
      </c>
    </row>
    <row r="352">
      <c r="A352" s="28" t="s">
        <v>2862</v>
      </c>
      <c r="B352" s="28">
        <v>4112.0</v>
      </c>
      <c r="C352" s="48" t="str">
        <f>HYPERLINK("http://ecotaxoserver.obs-vlfr.fr/browsetaxo/?id=85039","85039")</f>
        <v>85039</v>
      </c>
      <c r="D352" s="28" t="s">
        <v>574</v>
      </c>
      <c r="E352" s="49"/>
      <c r="F352" s="49"/>
      <c r="G352" s="49"/>
      <c r="I352" s="28" t="s">
        <v>94</v>
      </c>
      <c r="J352" s="28"/>
      <c r="K352" s="81">
        <v>863399.0</v>
      </c>
      <c r="L352" s="50" t="s">
        <v>2863</v>
      </c>
      <c r="M352" s="51" t="b">
        <v>1</v>
      </c>
      <c r="N352" s="53" t="s">
        <v>2864</v>
      </c>
      <c r="O352" s="50" t="s">
        <v>1928</v>
      </c>
    </row>
    <row r="353">
      <c r="A353" s="28" t="s">
        <v>2865</v>
      </c>
      <c r="B353" s="28">
        <v>810.0</v>
      </c>
      <c r="C353" s="48" t="str">
        <f>HYPERLINK("http://ecotaxoserver.obs-vlfr.fr/browsetaxo/?id=85037","85037")</f>
        <v>85037</v>
      </c>
      <c r="D353" s="28" t="s">
        <v>574</v>
      </c>
      <c r="E353" s="49"/>
      <c r="F353" s="49"/>
      <c r="G353" s="49"/>
      <c r="I353" s="28" t="s">
        <v>94</v>
      </c>
      <c r="J353" s="28"/>
      <c r="K353" s="81">
        <v>863399.0</v>
      </c>
      <c r="L353" s="50" t="s">
        <v>2866</v>
      </c>
      <c r="M353" s="51" t="b">
        <v>1</v>
      </c>
      <c r="N353" s="53" t="s">
        <v>2867</v>
      </c>
      <c r="O353" s="50" t="s">
        <v>1928</v>
      </c>
    </row>
    <row r="354">
      <c r="A354" s="75" t="s">
        <v>724</v>
      </c>
      <c r="B354" s="28">
        <v>1.0</v>
      </c>
      <c r="C354" s="48" t="str">
        <f>HYPERLINK("http://ecotaxoserver.obs-vlfr.fr/browsetaxo/?id=17351","17351")</f>
        <v>17351</v>
      </c>
      <c r="D354" s="28" t="s">
        <v>1713</v>
      </c>
      <c r="E354" s="49"/>
      <c r="F354" s="49"/>
      <c r="G354" s="49"/>
      <c r="I354" s="50"/>
      <c r="J354" s="76"/>
      <c r="K354" s="76"/>
      <c r="L354" s="62"/>
      <c r="M354" s="55" t="b">
        <v>0</v>
      </c>
      <c r="N354" s="10" t="s">
        <v>2868</v>
      </c>
      <c r="O354" s="24" t="s">
        <v>1928</v>
      </c>
    </row>
    <row r="355">
      <c r="A355" s="28" t="s">
        <v>1732</v>
      </c>
      <c r="B355" s="28">
        <v>60.0</v>
      </c>
      <c r="C355" s="48" t="str">
        <f>HYPERLINK("http://ecotaxoserver.obs-vlfr.fr/browsetaxo/?id=18603","18603")</f>
        <v>18603</v>
      </c>
      <c r="D355" s="28" t="s">
        <v>508</v>
      </c>
      <c r="E355" s="49"/>
      <c r="F355" s="49"/>
      <c r="G355" s="49"/>
      <c r="I355" s="28" t="s">
        <v>94</v>
      </c>
      <c r="J355" s="24">
        <v>178825.0</v>
      </c>
      <c r="L355" s="62"/>
      <c r="M355" s="55" t="b">
        <v>0</v>
      </c>
      <c r="N355" s="5"/>
      <c r="O355" s="50" t="s">
        <v>1928</v>
      </c>
    </row>
    <row r="356">
      <c r="A356" s="28" t="s">
        <v>2869</v>
      </c>
      <c r="B356" s="28">
        <v>6.0</v>
      </c>
      <c r="C356" s="48" t="str">
        <f>HYPERLINK("http://ecotaxoserver.obs-vlfr.fr/browsetaxo/?id=85148","85148")</f>
        <v>85148</v>
      </c>
      <c r="D356" s="28" t="s">
        <v>956</v>
      </c>
      <c r="E356" s="49"/>
      <c r="F356" s="49"/>
      <c r="G356" s="49"/>
      <c r="I356" s="28" t="s">
        <v>94</v>
      </c>
      <c r="J356" s="28"/>
      <c r="K356" s="24">
        <v>134528.0</v>
      </c>
      <c r="L356" s="28"/>
      <c r="M356" s="51" t="b">
        <v>1</v>
      </c>
      <c r="N356" s="54"/>
      <c r="O356" s="50" t="s">
        <v>1928</v>
      </c>
    </row>
    <row r="357">
      <c r="A357" s="28" t="s">
        <v>2870</v>
      </c>
      <c r="B357" s="28">
        <v>77.0</v>
      </c>
      <c r="C357" s="48" t="str">
        <f>HYPERLINK("http://ecotaxoserver.obs-vlfr.fr/browsetaxo/?id=60237","60237")</f>
        <v>60237</v>
      </c>
      <c r="D357" s="28" t="s">
        <v>1780</v>
      </c>
      <c r="E357" s="56">
        <v>413514.0</v>
      </c>
      <c r="F357" s="49" t="s">
        <v>2371</v>
      </c>
      <c r="G357" s="56">
        <v>413514.0</v>
      </c>
      <c r="H357" s="22" t="s">
        <v>2870</v>
      </c>
      <c r="I357" s="28" t="s">
        <v>94</v>
      </c>
      <c r="J357" s="56">
        <v>413514.0</v>
      </c>
      <c r="K357" s="28"/>
      <c r="L357" s="28"/>
      <c r="M357" s="55" t="b">
        <v>0</v>
      </c>
      <c r="N357" s="54"/>
      <c r="O357" s="50" t="s">
        <v>2489</v>
      </c>
    </row>
    <row r="358">
      <c r="A358" s="28" t="s">
        <v>2871</v>
      </c>
      <c r="B358" s="28">
        <v>2026.0</v>
      </c>
      <c r="C358" s="48" t="str">
        <f>HYPERLINK("http://ecotaxoserver.obs-vlfr.fr/browsetaxo/?id=85154","85154")</f>
        <v>85154</v>
      </c>
      <c r="D358" s="28" t="s">
        <v>128</v>
      </c>
      <c r="E358" s="49"/>
      <c r="F358" s="49"/>
      <c r="G358" s="49"/>
      <c r="I358" s="28" t="s">
        <v>94</v>
      </c>
      <c r="J358" s="28"/>
      <c r="K358" s="24">
        <v>163932.0</v>
      </c>
      <c r="L358" s="50" t="s">
        <v>2872</v>
      </c>
      <c r="M358" s="51" t="b">
        <v>1</v>
      </c>
      <c r="N358" s="53" t="s">
        <v>2873</v>
      </c>
      <c r="O358" s="50" t="s">
        <v>1928</v>
      </c>
    </row>
    <row r="359">
      <c r="A359" s="28" t="s">
        <v>2874</v>
      </c>
      <c r="B359" s="28">
        <v>179.0</v>
      </c>
      <c r="C359" s="48" t="str">
        <f>HYPERLINK("http://ecotaxoserver.obs-vlfr.fr/browsetaxo/?id=85158","85158")</f>
        <v>85158</v>
      </c>
      <c r="D359" s="28" t="s">
        <v>128</v>
      </c>
      <c r="E359" s="49"/>
      <c r="F359" s="49"/>
      <c r="G359" s="49"/>
      <c r="I359" s="28" t="s">
        <v>94</v>
      </c>
      <c r="J359" s="28"/>
      <c r="K359" s="24">
        <v>149623.0</v>
      </c>
      <c r="L359" s="50" t="s">
        <v>2872</v>
      </c>
      <c r="M359" s="51" t="b">
        <v>1</v>
      </c>
      <c r="N359" s="53" t="s">
        <v>2875</v>
      </c>
      <c r="O359" s="50" t="s">
        <v>1928</v>
      </c>
    </row>
    <row r="360">
      <c r="A360" s="28" t="s">
        <v>2876</v>
      </c>
      <c r="B360" s="28">
        <v>623.0</v>
      </c>
      <c r="C360" s="48" t="str">
        <f>HYPERLINK("http://ecotaxoserver.obs-vlfr.fr/browsetaxo/?id=85229","85229")</f>
        <v>85229</v>
      </c>
      <c r="D360" s="28" t="s">
        <v>450</v>
      </c>
      <c r="E360" s="49"/>
      <c r="F360" s="49"/>
      <c r="G360" s="49"/>
      <c r="I360" s="28" t="s">
        <v>94</v>
      </c>
      <c r="J360" s="28"/>
      <c r="K360" s="24">
        <v>149120.0</v>
      </c>
      <c r="L360" s="50" t="s">
        <v>2872</v>
      </c>
      <c r="M360" s="51" t="b">
        <v>1</v>
      </c>
      <c r="N360" s="53" t="s">
        <v>2877</v>
      </c>
      <c r="O360" s="50" t="s">
        <v>1928</v>
      </c>
    </row>
    <row r="361">
      <c r="A361" s="28" t="s">
        <v>2878</v>
      </c>
      <c r="B361" s="28">
        <v>4.0</v>
      </c>
      <c r="C361" s="48" t="str">
        <f>HYPERLINK("http://ecotaxoserver.obs-vlfr.fr/browsetaxo/?id=85174","85174")</f>
        <v>85174</v>
      </c>
      <c r="D361" s="28" t="s">
        <v>128</v>
      </c>
      <c r="E361" s="49"/>
      <c r="F361" s="49"/>
      <c r="G361" s="49"/>
      <c r="I361" s="28" t="s">
        <v>94</v>
      </c>
      <c r="J361" s="28"/>
      <c r="K361" s="24">
        <v>115059.0</v>
      </c>
      <c r="L361" s="50" t="s">
        <v>2872</v>
      </c>
      <c r="M361" s="51" t="b">
        <v>1</v>
      </c>
      <c r="N361" s="53" t="s">
        <v>2879</v>
      </c>
      <c r="O361" s="50" t="s">
        <v>1928</v>
      </c>
    </row>
    <row r="362">
      <c r="A362" s="28" t="s">
        <v>2880</v>
      </c>
      <c r="B362" s="28">
        <v>53975.0</v>
      </c>
      <c r="C362" s="48" t="str">
        <f>HYPERLINK("http://ecotaxoserver.obs-vlfr.fr/browsetaxo/?id=85161","85161")</f>
        <v>85161</v>
      </c>
      <c r="D362" s="28" t="s">
        <v>128</v>
      </c>
      <c r="E362" s="49"/>
      <c r="F362" s="49"/>
      <c r="G362" s="49"/>
      <c r="I362" s="28" t="s">
        <v>94</v>
      </c>
      <c r="J362" s="28"/>
      <c r="K362" s="24">
        <v>17639.0</v>
      </c>
      <c r="L362" s="50" t="s">
        <v>2872</v>
      </c>
      <c r="M362" s="51" t="b">
        <v>1</v>
      </c>
      <c r="N362" s="82" t="s">
        <v>2881</v>
      </c>
      <c r="O362" s="50" t="s">
        <v>1928</v>
      </c>
    </row>
    <row r="363">
      <c r="A363" s="28" t="s">
        <v>2882</v>
      </c>
      <c r="B363" s="28">
        <v>12767.0</v>
      </c>
      <c r="C363" s="48" t="str">
        <f>HYPERLINK("http://ecotaxoserver.obs-vlfr.fr/browsetaxo/?id=85183","85183")</f>
        <v>85183</v>
      </c>
      <c r="D363" s="28" t="s">
        <v>128</v>
      </c>
      <c r="E363" s="49"/>
      <c r="F363" s="49"/>
      <c r="G363" s="49"/>
      <c r="I363" s="28" t="s">
        <v>94</v>
      </c>
      <c r="J363" s="28"/>
      <c r="K363" s="50"/>
      <c r="L363" s="50" t="s">
        <v>2872</v>
      </c>
      <c r="M363" s="51" t="b">
        <v>1</v>
      </c>
      <c r="N363" s="53" t="s">
        <v>2883</v>
      </c>
      <c r="O363" s="50" t="s">
        <v>1928</v>
      </c>
    </row>
    <row r="364">
      <c r="A364" s="28" t="s">
        <v>2884</v>
      </c>
      <c r="B364" s="28">
        <v>39.0</v>
      </c>
      <c r="C364" s="48" t="str">
        <f>HYPERLINK("http://ecotaxoserver.obs-vlfr.fr/browsetaxo/?id=85163","85163")</f>
        <v>85163</v>
      </c>
      <c r="D364" s="28" t="s">
        <v>128</v>
      </c>
      <c r="E364" s="49"/>
      <c r="F364" s="49"/>
      <c r="G364" s="49"/>
      <c r="I364" s="28" t="s">
        <v>94</v>
      </c>
      <c r="J364" s="28"/>
      <c r="K364" s="24">
        <v>109885.0</v>
      </c>
      <c r="L364" s="50" t="s">
        <v>2872</v>
      </c>
      <c r="M364" s="51" t="b">
        <v>1</v>
      </c>
      <c r="N364" s="53" t="s">
        <v>2885</v>
      </c>
      <c r="O364" s="50" t="s">
        <v>1928</v>
      </c>
    </row>
    <row r="365">
      <c r="A365" s="28" t="s">
        <v>2886</v>
      </c>
      <c r="B365" s="28">
        <v>1.0</v>
      </c>
      <c r="C365" s="48" t="str">
        <f>HYPERLINK("http://ecotaxoserver.obs-vlfr.fr/browsetaxo/?id=92031","92031")</f>
        <v>92031</v>
      </c>
      <c r="D365" s="28" t="s">
        <v>128</v>
      </c>
      <c r="E365" s="49"/>
      <c r="F365" s="49"/>
      <c r="G365" s="49"/>
      <c r="I365" s="28" t="s">
        <v>94</v>
      </c>
      <c r="J365" s="28"/>
      <c r="K365" s="24">
        <v>110156.0</v>
      </c>
      <c r="L365" s="50" t="s">
        <v>2872</v>
      </c>
      <c r="M365" s="51" t="b">
        <v>1</v>
      </c>
      <c r="N365" s="53" t="s">
        <v>2887</v>
      </c>
      <c r="O365" s="50" t="s">
        <v>1928</v>
      </c>
    </row>
    <row r="366">
      <c r="A366" s="28" t="s">
        <v>2888</v>
      </c>
      <c r="B366" s="28">
        <v>2293.0</v>
      </c>
      <c r="C366" s="48" t="str">
        <f>HYPERLINK("http://ecotaxoserver.obs-vlfr.fr/browsetaxo/?id=85168","85168")</f>
        <v>85168</v>
      </c>
      <c r="D366" s="28" t="s">
        <v>128</v>
      </c>
      <c r="E366" s="49"/>
      <c r="F366" s="49"/>
      <c r="G366" s="49"/>
      <c r="I366" s="28" t="s">
        <v>94</v>
      </c>
      <c r="J366" s="28"/>
      <c r="K366" s="24">
        <v>17329.0</v>
      </c>
      <c r="L366" s="50" t="s">
        <v>2872</v>
      </c>
      <c r="M366" s="51" t="b">
        <v>1</v>
      </c>
      <c r="N366" s="53" t="s">
        <v>2889</v>
      </c>
      <c r="O366" s="50" t="s">
        <v>1928</v>
      </c>
    </row>
    <row r="367">
      <c r="A367" s="28" t="s">
        <v>2890</v>
      </c>
      <c r="B367" s="28">
        <v>1091.0</v>
      </c>
      <c r="C367" s="48" t="str">
        <f>HYPERLINK("http://ecotaxoserver.obs-vlfr.fr/browsetaxo/?id=92027","92027")</f>
        <v>92027</v>
      </c>
      <c r="D367" s="28" t="s">
        <v>128</v>
      </c>
      <c r="E367" s="49"/>
      <c r="F367" s="49"/>
      <c r="G367" s="49"/>
      <c r="I367" s="28" t="s">
        <v>94</v>
      </c>
      <c r="J367" s="28"/>
      <c r="K367" s="24">
        <v>109889.0</v>
      </c>
      <c r="L367" s="50" t="s">
        <v>2872</v>
      </c>
      <c r="M367" s="51" t="b">
        <v>1</v>
      </c>
      <c r="N367" s="53" t="s">
        <v>2891</v>
      </c>
      <c r="O367" s="50" t="s">
        <v>1928</v>
      </c>
    </row>
    <row r="368">
      <c r="A368" s="28" t="s">
        <v>2892</v>
      </c>
      <c r="B368" s="28">
        <v>12.0</v>
      </c>
      <c r="C368" s="48" t="str">
        <f>HYPERLINK("http://ecotaxoserver.obs-vlfr.fr/browsetaxo/?id=86081","86081")</f>
        <v>86081</v>
      </c>
      <c r="D368" s="28" t="s">
        <v>2812</v>
      </c>
      <c r="E368" s="56">
        <v>162934.0</v>
      </c>
      <c r="F368" s="49" t="s">
        <v>2371</v>
      </c>
      <c r="G368" s="56">
        <v>162934.0</v>
      </c>
      <c r="H368" s="22" t="s">
        <v>2892</v>
      </c>
      <c r="I368" s="28" t="s">
        <v>94</v>
      </c>
      <c r="J368" s="56">
        <v>162934.0</v>
      </c>
      <c r="K368" s="28"/>
      <c r="L368" s="28"/>
      <c r="M368" s="55" t="b">
        <v>0</v>
      </c>
      <c r="N368" s="54"/>
      <c r="O368" s="50" t="s">
        <v>2489</v>
      </c>
    </row>
    <row r="369">
      <c r="A369" s="28" t="s">
        <v>2893</v>
      </c>
      <c r="B369" s="28">
        <v>36.0</v>
      </c>
      <c r="C369" s="48" t="str">
        <f>HYPERLINK("http://ecotaxoserver.obs-vlfr.fr/browsetaxo/?id=83669","83669")</f>
        <v>83669</v>
      </c>
      <c r="D369" s="28" t="s">
        <v>2619</v>
      </c>
      <c r="E369" s="56">
        <v>196160.0</v>
      </c>
      <c r="F369" s="49" t="s">
        <v>2371</v>
      </c>
      <c r="G369" s="56">
        <v>196160.0</v>
      </c>
      <c r="H369" s="22" t="s">
        <v>2893</v>
      </c>
      <c r="I369" s="28" t="s">
        <v>94</v>
      </c>
      <c r="J369" s="56">
        <v>196160.0</v>
      </c>
      <c r="K369" s="28"/>
      <c r="L369" s="28"/>
      <c r="M369" s="55" t="b">
        <v>0</v>
      </c>
      <c r="N369" s="54"/>
      <c r="O369" s="50" t="s">
        <v>2489</v>
      </c>
    </row>
    <row r="370">
      <c r="A370" s="28" t="s">
        <v>2894</v>
      </c>
      <c r="B370" s="28">
        <v>1.0</v>
      </c>
      <c r="C370" s="48" t="str">
        <f>HYPERLINK("http://ecotaxoserver.obs-vlfr.fr/browsetaxo/?id=82678","82678")</f>
        <v>82678</v>
      </c>
      <c r="D370" s="28" t="s">
        <v>2895</v>
      </c>
      <c r="E370" s="49"/>
      <c r="F370" s="49"/>
      <c r="G370" s="49"/>
      <c r="I370" s="50" t="s">
        <v>1927</v>
      </c>
      <c r="J370" s="24">
        <v>149770.0</v>
      </c>
      <c r="K370" s="28"/>
      <c r="L370" s="28"/>
      <c r="M370" s="55" t="b">
        <v>0</v>
      </c>
      <c r="N370" s="54"/>
      <c r="O370" s="50" t="s">
        <v>1928</v>
      </c>
    </row>
    <row r="371">
      <c r="A371" s="28" t="s">
        <v>2896</v>
      </c>
      <c r="B371" s="28">
        <v>80.0</v>
      </c>
      <c r="C371" s="48" t="str">
        <f>HYPERLINK("http://ecotaxoserver.obs-vlfr.fr/browsetaxo/?id=85298","85298")</f>
        <v>85298</v>
      </c>
      <c r="D371" s="28" t="s">
        <v>2897</v>
      </c>
      <c r="E371" s="49"/>
      <c r="F371" s="49"/>
      <c r="G371" s="49"/>
      <c r="I371" s="50"/>
      <c r="K371" s="24">
        <v>231814.0</v>
      </c>
      <c r="L371" s="50" t="s">
        <v>2872</v>
      </c>
      <c r="M371" s="51" t="b">
        <v>1</v>
      </c>
      <c r="N371" s="54"/>
      <c r="O371" s="50" t="s">
        <v>1928</v>
      </c>
    </row>
    <row r="372">
      <c r="A372" s="28" t="s">
        <v>2898</v>
      </c>
      <c r="B372" s="28">
        <v>36204.0</v>
      </c>
      <c r="C372" s="48" t="str">
        <f>HYPERLINK("http://ecotaxoserver.obs-vlfr.fr/browsetaxo/?id=57489","57489")</f>
        <v>57489</v>
      </c>
      <c r="D372" s="28" t="s">
        <v>1820</v>
      </c>
      <c r="E372" s="49"/>
      <c r="F372" s="49"/>
      <c r="G372" s="49"/>
      <c r="I372" s="28" t="s">
        <v>94</v>
      </c>
      <c r="J372" s="24">
        <v>417152.0</v>
      </c>
      <c r="K372" s="83"/>
      <c r="L372" s="83"/>
      <c r="M372" s="55" t="b">
        <v>0</v>
      </c>
      <c r="N372" s="54"/>
      <c r="O372" s="50" t="s">
        <v>2489</v>
      </c>
    </row>
    <row r="373">
      <c r="A373" s="28" t="s">
        <v>1231</v>
      </c>
      <c r="B373" s="28">
        <v>15.0</v>
      </c>
      <c r="C373" s="48" t="str">
        <f>HYPERLINK("http://ecotaxoserver.obs-vlfr.fr/browsetaxo/?id=16669","16669")</f>
        <v>16669</v>
      </c>
      <c r="D373" s="28" t="s">
        <v>1019</v>
      </c>
      <c r="E373" s="49"/>
      <c r="F373" s="49"/>
      <c r="G373" s="49"/>
      <c r="I373" s="28" t="s">
        <v>94</v>
      </c>
      <c r="J373" s="24">
        <v>22754.0</v>
      </c>
      <c r="K373" s="28"/>
      <c r="L373" s="62"/>
      <c r="M373" s="55" t="b">
        <v>0</v>
      </c>
      <c r="N373" s="53" t="s">
        <v>2621</v>
      </c>
      <c r="O373" s="50" t="s">
        <v>1928</v>
      </c>
    </row>
    <row r="374">
      <c r="A374" s="28" t="s">
        <v>2899</v>
      </c>
      <c r="B374" s="28">
        <v>17.0</v>
      </c>
      <c r="C374" s="48" t="str">
        <f>HYPERLINK("http://ecotaxoserver.obs-vlfr.fr/browsetaxo/?id=93528","93528")</f>
        <v>93528</v>
      </c>
      <c r="D374" s="28" t="s">
        <v>1841</v>
      </c>
      <c r="E374" s="49"/>
      <c r="F374" s="49"/>
      <c r="G374" s="49"/>
      <c r="I374" s="28" t="s">
        <v>94</v>
      </c>
      <c r="J374" s="24"/>
      <c r="K374" s="84">
        <v>177604.0</v>
      </c>
      <c r="L374" s="50" t="s">
        <v>2900</v>
      </c>
      <c r="M374" s="51" t="b">
        <v>1</v>
      </c>
      <c r="N374" s="53" t="s">
        <v>2901</v>
      </c>
      <c r="O374" s="50" t="s">
        <v>1928</v>
      </c>
    </row>
    <row r="375">
      <c r="A375" s="28" t="s">
        <v>2902</v>
      </c>
      <c r="B375" s="28">
        <v>8.0</v>
      </c>
      <c r="C375" s="48" t="str">
        <f>HYPERLINK("http://ecotaxoserver.obs-vlfr.fr/browsetaxo/?id=92587","92587")</f>
        <v>92587</v>
      </c>
      <c r="D375" s="28" t="s">
        <v>128</v>
      </c>
      <c r="E375" s="49"/>
      <c r="F375" s="49"/>
      <c r="G375" s="49"/>
      <c r="I375" s="28" t="s">
        <v>94</v>
      </c>
      <c r="J375" s="28"/>
      <c r="K375" s="24">
        <v>841193.0</v>
      </c>
      <c r="L375" s="50" t="s">
        <v>2872</v>
      </c>
      <c r="M375" s="51" t="b">
        <v>1</v>
      </c>
      <c r="N375" s="53" t="s">
        <v>2903</v>
      </c>
      <c r="O375" s="50" t="s">
        <v>1928</v>
      </c>
    </row>
    <row r="376">
      <c r="A376" s="28" t="s">
        <v>2904</v>
      </c>
      <c r="B376" s="28">
        <v>1.0</v>
      </c>
      <c r="C376" s="48" t="str">
        <f>HYPERLINK("http://ecotaxoserver.obs-vlfr.fr/browsetaxo/?id=92591","92591")</f>
        <v>92591</v>
      </c>
      <c r="D376" s="28" t="s">
        <v>128</v>
      </c>
      <c r="E376" s="49"/>
      <c r="F376" s="49"/>
      <c r="G376" s="49"/>
      <c r="I376" s="28" t="s">
        <v>94</v>
      </c>
      <c r="J376" s="28"/>
      <c r="K376" s="24">
        <v>841200.0</v>
      </c>
      <c r="L376" s="50" t="s">
        <v>2872</v>
      </c>
      <c r="M376" s="51" t="b">
        <v>1</v>
      </c>
      <c r="N376" s="53" t="s">
        <v>2905</v>
      </c>
      <c r="O376" s="50" t="s">
        <v>1928</v>
      </c>
    </row>
    <row r="377">
      <c r="A377" s="28" t="s">
        <v>2906</v>
      </c>
      <c r="B377" s="28">
        <v>59.0</v>
      </c>
      <c r="C377" s="48" t="str">
        <f>HYPERLINK("http://ecotaxoserver.obs-vlfr.fr/browsetaxo/?id=92603","92603")</f>
        <v>92603</v>
      </c>
      <c r="D377" s="28" t="s">
        <v>128</v>
      </c>
      <c r="E377" s="49"/>
      <c r="F377" s="49"/>
      <c r="G377" s="49"/>
      <c r="I377" s="28" t="s">
        <v>94</v>
      </c>
      <c r="J377" s="28"/>
      <c r="K377" s="24">
        <v>837222.0</v>
      </c>
      <c r="L377" s="50" t="s">
        <v>2872</v>
      </c>
      <c r="M377" s="51" t="b">
        <v>1</v>
      </c>
      <c r="N377" s="53" t="s">
        <v>2907</v>
      </c>
      <c r="O377" s="50" t="s">
        <v>1928</v>
      </c>
    </row>
    <row r="378">
      <c r="A378" s="28" t="s">
        <v>2908</v>
      </c>
      <c r="B378" s="28">
        <v>170.0</v>
      </c>
      <c r="C378" s="48" t="str">
        <f>HYPERLINK("http://ecotaxoserver.obs-vlfr.fr/browsetaxo/?id=92887","92887")</f>
        <v>92887</v>
      </c>
      <c r="D378" s="28" t="s">
        <v>2909</v>
      </c>
      <c r="E378" s="49"/>
      <c r="F378" s="49"/>
      <c r="G378" s="49"/>
      <c r="I378" s="28" t="s">
        <v>94</v>
      </c>
      <c r="J378" s="28"/>
      <c r="K378" s="75">
        <v>1.0</v>
      </c>
      <c r="L378" s="50" t="s">
        <v>2910</v>
      </c>
      <c r="M378" s="51" t="b">
        <v>1</v>
      </c>
      <c r="N378" s="31" t="s">
        <v>2911</v>
      </c>
      <c r="O378" s="24" t="s">
        <v>1928</v>
      </c>
    </row>
    <row r="379">
      <c r="A379" s="28" t="s">
        <v>2912</v>
      </c>
      <c r="B379" s="28">
        <v>245.0</v>
      </c>
      <c r="C379" s="48" t="str">
        <f>HYPERLINK("http://ecotaxoserver.obs-vlfr.fr/browsetaxo/?id=23978","23978")</f>
        <v>23978</v>
      </c>
      <c r="D379" s="28" t="s">
        <v>2832</v>
      </c>
      <c r="E379" s="49"/>
      <c r="F379" s="49"/>
      <c r="G379" s="49"/>
      <c r="I379" s="28" t="s">
        <v>94</v>
      </c>
      <c r="J379" s="28"/>
      <c r="K379" s="28"/>
      <c r="L379" s="28"/>
      <c r="M379" s="55" t="b">
        <v>0</v>
      </c>
      <c r="N379" s="53" t="s">
        <v>2820</v>
      </c>
      <c r="O379" s="50" t="s">
        <v>1928</v>
      </c>
    </row>
    <row r="380">
      <c r="A380" s="28" t="s">
        <v>2913</v>
      </c>
      <c r="B380" s="28">
        <v>15.0</v>
      </c>
      <c r="C380" s="48" t="str">
        <f>HYPERLINK("http://ecotaxoserver.obs-vlfr.fr/browsetaxo/?id=8982","8982")</f>
        <v>8982</v>
      </c>
      <c r="D380" s="28" t="s">
        <v>215</v>
      </c>
      <c r="E380" s="49"/>
      <c r="F380" s="49"/>
      <c r="G380" s="49"/>
      <c r="I380" s="28" t="s">
        <v>94</v>
      </c>
      <c r="J380" s="28"/>
      <c r="K380" s="61">
        <v>146542.0</v>
      </c>
      <c r="L380" s="28"/>
      <c r="M380" s="51" t="b">
        <v>1</v>
      </c>
      <c r="N380" s="54"/>
      <c r="O380" s="50" t="s">
        <v>1928</v>
      </c>
    </row>
    <row r="381">
      <c r="A381" s="28" t="s">
        <v>2914</v>
      </c>
      <c r="B381" s="28">
        <v>701.0</v>
      </c>
      <c r="C381" s="48" t="str">
        <f>HYPERLINK("http://ecotaxoserver.obs-vlfr.fr/browsetaxo/?id=8983","8983")</f>
        <v>8983</v>
      </c>
      <c r="D381" s="28" t="s">
        <v>215</v>
      </c>
      <c r="E381" s="49"/>
      <c r="F381" s="49"/>
      <c r="G381" s="49"/>
      <c r="I381" s="50" t="s">
        <v>1927</v>
      </c>
      <c r="J381" s="28"/>
      <c r="K381" s="28"/>
      <c r="L381" s="50" t="s">
        <v>2384</v>
      </c>
      <c r="M381" s="55" t="b">
        <v>0</v>
      </c>
      <c r="N381" s="53" t="s">
        <v>2915</v>
      </c>
      <c r="O381" s="50" t="s">
        <v>1928</v>
      </c>
    </row>
    <row r="382">
      <c r="A382" s="28" t="s">
        <v>2916</v>
      </c>
      <c r="B382" s="28">
        <v>2361.0</v>
      </c>
      <c r="C382" s="48" t="str">
        <f>HYPERLINK("http://ecotaxoserver.obs-vlfr.fr/browsetaxo/?id=92678","92678")</f>
        <v>92678</v>
      </c>
      <c r="D382" s="28" t="s">
        <v>128</v>
      </c>
      <c r="E382" s="49"/>
      <c r="F382" s="49"/>
      <c r="G382" s="49"/>
      <c r="I382" s="28" t="s">
        <v>94</v>
      </c>
      <c r="J382" s="28"/>
      <c r="K382" s="50"/>
      <c r="L382" s="50" t="s">
        <v>2666</v>
      </c>
      <c r="M382" s="51" t="b">
        <v>1</v>
      </c>
      <c r="N382" s="53" t="s">
        <v>2883</v>
      </c>
      <c r="O382" s="50" t="s">
        <v>1928</v>
      </c>
    </row>
    <row r="383">
      <c r="A383" s="28" t="s">
        <v>2917</v>
      </c>
      <c r="B383" s="28">
        <v>11412.0</v>
      </c>
      <c r="C383" s="48" t="str">
        <f>HYPERLINK("http://ecotaxoserver.obs-vlfr.fr/browsetaxo/?id=26325","26325")</f>
        <v>26325</v>
      </c>
      <c r="D383" s="28" t="s">
        <v>2918</v>
      </c>
      <c r="E383" s="49"/>
      <c r="F383" s="49"/>
      <c r="G383" s="49"/>
      <c r="I383" s="50"/>
      <c r="K383" s="24">
        <v>1424949.0</v>
      </c>
      <c r="L383" s="50" t="s">
        <v>2384</v>
      </c>
      <c r="M383" s="51" t="b">
        <v>1</v>
      </c>
      <c r="N383" s="10" t="s">
        <v>2919</v>
      </c>
      <c r="O383" s="50" t="s">
        <v>1928</v>
      </c>
    </row>
    <row r="384">
      <c r="A384" s="28" t="s">
        <v>2920</v>
      </c>
      <c r="B384" s="28">
        <v>6386.0</v>
      </c>
      <c r="C384" s="48" t="str">
        <f>HYPERLINK("http://ecotaxoserver.obs-vlfr.fr/browsetaxo/?id=51958","51958")</f>
        <v>51958</v>
      </c>
      <c r="D384" s="28" t="s">
        <v>2917</v>
      </c>
      <c r="E384" s="49"/>
      <c r="F384" s="49"/>
      <c r="G384" s="49"/>
      <c r="I384" s="50"/>
      <c r="K384" s="24">
        <v>1424949.0</v>
      </c>
      <c r="L384" s="50" t="s">
        <v>2666</v>
      </c>
      <c r="M384" s="51" t="b">
        <v>1</v>
      </c>
      <c r="N384" s="10" t="s">
        <v>2919</v>
      </c>
      <c r="O384" s="50" t="s">
        <v>1928</v>
      </c>
    </row>
    <row r="385">
      <c r="A385" s="28" t="s">
        <v>2921</v>
      </c>
      <c r="B385" s="28">
        <v>2834.0</v>
      </c>
      <c r="C385" s="48" t="str">
        <f>HYPERLINK("http://ecotaxoserver.obs-vlfr.fr/browsetaxo/?id=6","6")</f>
        <v>6</v>
      </c>
      <c r="D385" s="28" t="s">
        <v>181</v>
      </c>
      <c r="E385" s="49"/>
      <c r="F385" s="49"/>
      <c r="G385" s="49"/>
      <c r="I385" s="28" t="s">
        <v>94</v>
      </c>
      <c r="J385" s="28"/>
      <c r="K385" s="28"/>
      <c r="L385" s="50" t="s">
        <v>2553</v>
      </c>
      <c r="M385" s="51" t="b">
        <v>1</v>
      </c>
      <c r="N385" s="54"/>
      <c r="O385" s="50" t="s">
        <v>1928</v>
      </c>
    </row>
    <row r="386">
      <c r="A386" s="28" t="s">
        <v>2922</v>
      </c>
      <c r="B386" s="28">
        <v>1.0</v>
      </c>
      <c r="C386" s="48" t="str">
        <f>HYPERLINK("http://ecotaxoserver.obs-vlfr.fr/browsetaxo/?id=71136","71136")</f>
        <v>71136</v>
      </c>
      <c r="D386" s="28" t="s">
        <v>2923</v>
      </c>
      <c r="E386" s="49"/>
      <c r="F386" s="49"/>
      <c r="G386" s="49"/>
      <c r="I386" s="28" t="s">
        <v>94</v>
      </c>
      <c r="J386" s="28"/>
      <c r="K386" s="28"/>
      <c r="L386" s="28"/>
      <c r="M386" s="55" t="b">
        <v>0</v>
      </c>
      <c r="N386" s="53" t="s">
        <v>2924</v>
      </c>
      <c r="O386" s="50" t="s">
        <v>1928</v>
      </c>
    </row>
    <row r="387">
      <c r="A387" s="28" t="s">
        <v>2925</v>
      </c>
      <c r="B387" s="28">
        <v>938.0</v>
      </c>
      <c r="C387" s="48" t="str">
        <f>HYPERLINK("http://ecotaxoserver.obs-vlfr.fr/browsetaxo/?id=15096","15096")</f>
        <v>15096</v>
      </c>
      <c r="D387" s="28" t="s">
        <v>773</v>
      </c>
      <c r="E387" s="56">
        <v>576718.0</v>
      </c>
      <c r="F387" s="49" t="s">
        <v>2371</v>
      </c>
      <c r="G387" s="56">
        <v>576718.0</v>
      </c>
      <c r="H387" s="22" t="s">
        <v>2925</v>
      </c>
      <c r="I387" s="28" t="s">
        <v>94</v>
      </c>
      <c r="J387" s="56">
        <v>576718.0</v>
      </c>
      <c r="K387" s="28"/>
      <c r="L387" s="28"/>
      <c r="M387" s="55" t="b">
        <v>0</v>
      </c>
      <c r="N387" s="54"/>
      <c r="O387" s="50" t="s">
        <v>2489</v>
      </c>
    </row>
    <row r="388">
      <c r="A388" s="28" t="s">
        <v>2926</v>
      </c>
      <c r="B388" s="28">
        <v>6.0</v>
      </c>
      <c r="C388" s="48" t="str">
        <f>HYPERLINK("http://ecotaxoserver.obs-vlfr.fr/browsetaxo/?id=43471","43471")</f>
        <v>43471</v>
      </c>
      <c r="D388" s="28" t="s">
        <v>2927</v>
      </c>
      <c r="E388" s="56">
        <v>1337469.0</v>
      </c>
      <c r="F388" s="49" t="s">
        <v>2371</v>
      </c>
      <c r="G388" s="56">
        <v>1337469.0</v>
      </c>
      <c r="H388" s="22" t="s">
        <v>2926</v>
      </c>
      <c r="I388" s="28" t="s">
        <v>94</v>
      </c>
      <c r="J388" s="56">
        <v>1337469.0</v>
      </c>
      <c r="K388" s="28"/>
      <c r="L388" s="28"/>
      <c r="M388" s="55" t="b">
        <v>0</v>
      </c>
      <c r="N388" s="54"/>
      <c r="O388" s="50" t="s">
        <v>2489</v>
      </c>
    </row>
    <row r="389">
      <c r="A389" s="67" t="s">
        <v>2928</v>
      </c>
      <c r="B389" s="67">
        <v>2.0</v>
      </c>
      <c r="C389" s="85" t="str">
        <f>HYPERLINK("http://ecotaxoserver.obs-vlfr.fr/browsetaxo/?id=93066","93066")</f>
        <v>93066</v>
      </c>
      <c r="D389" s="67" t="s">
        <v>1914</v>
      </c>
      <c r="E389" s="49"/>
      <c r="F389" s="49"/>
      <c r="G389" s="49"/>
      <c r="I389" s="28" t="s">
        <v>94</v>
      </c>
      <c r="J389" s="28"/>
      <c r="K389" s="28"/>
      <c r="L389" s="28"/>
      <c r="M389" s="50"/>
      <c r="N389" s="54"/>
      <c r="O389" s="50"/>
    </row>
    <row r="390">
      <c r="A390" s="28"/>
      <c r="B390" s="28"/>
      <c r="C390" s="28"/>
      <c r="D390" s="28"/>
      <c r="E390" s="56"/>
      <c r="F390" s="49"/>
      <c r="G390" s="56"/>
      <c r="I390" s="28"/>
      <c r="J390" s="28"/>
      <c r="K390" s="28"/>
      <c r="L390" s="28"/>
      <c r="M390" s="28"/>
      <c r="N390" s="54"/>
      <c r="O390" s="50"/>
    </row>
    <row r="391">
      <c r="A391" s="28"/>
      <c r="B391" s="28"/>
      <c r="C391" s="28"/>
      <c r="D391" s="28"/>
      <c r="E391" s="56"/>
      <c r="F391" s="49"/>
      <c r="G391" s="56"/>
      <c r="I391" s="28"/>
      <c r="J391" s="28"/>
      <c r="K391" s="28"/>
      <c r="L391" s="28"/>
      <c r="M391" s="28"/>
      <c r="N391" s="54"/>
      <c r="O391" s="50"/>
    </row>
    <row r="392">
      <c r="A392" s="28"/>
      <c r="B392" s="28"/>
      <c r="C392" s="28"/>
      <c r="D392" s="28"/>
      <c r="E392" s="56"/>
      <c r="F392" s="49"/>
      <c r="G392" s="56"/>
      <c r="I392" s="28"/>
      <c r="J392" s="28"/>
      <c r="K392" s="28"/>
      <c r="L392" s="28"/>
      <c r="M392" s="28"/>
      <c r="N392" s="54"/>
      <c r="O392" s="50"/>
    </row>
    <row r="393">
      <c r="A393" s="28"/>
      <c r="B393" s="28"/>
      <c r="C393" s="28"/>
      <c r="D393" s="28"/>
      <c r="E393" s="56"/>
      <c r="F393" s="49"/>
      <c r="G393" s="56"/>
      <c r="I393" s="28"/>
      <c r="J393" s="28"/>
      <c r="K393" s="28"/>
      <c r="L393" s="28"/>
      <c r="M393" s="28"/>
      <c r="N393" s="54"/>
      <c r="O393" s="50"/>
    </row>
    <row r="394">
      <c r="A394" s="28"/>
      <c r="B394" s="28"/>
      <c r="C394" s="28"/>
      <c r="D394" s="28"/>
      <c r="E394" s="56"/>
      <c r="F394" s="49"/>
      <c r="G394" s="56"/>
      <c r="I394" s="28"/>
      <c r="J394" s="28"/>
      <c r="K394" s="28"/>
      <c r="L394" s="28"/>
      <c r="M394" s="28"/>
      <c r="N394" s="54"/>
      <c r="O394" s="50"/>
    </row>
    <row r="395">
      <c r="A395" s="28"/>
      <c r="B395" s="28"/>
      <c r="C395" s="28"/>
      <c r="D395" s="28"/>
      <c r="E395" s="56"/>
      <c r="F395" s="49"/>
      <c r="G395" s="56"/>
      <c r="I395" s="28"/>
      <c r="J395" s="28"/>
      <c r="K395" s="28"/>
      <c r="L395" s="28"/>
      <c r="M395" s="28"/>
      <c r="N395" s="54"/>
      <c r="O395" s="50"/>
    </row>
    <row r="396">
      <c r="A396" s="28"/>
      <c r="B396" s="28"/>
      <c r="C396" s="28"/>
      <c r="D396" s="28"/>
      <c r="E396" s="56"/>
      <c r="F396" s="49"/>
      <c r="G396" s="56"/>
      <c r="I396" s="28"/>
      <c r="J396" s="28"/>
      <c r="K396" s="28"/>
      <c r="L396" s="28"/>
      <c r="M396" s="28"/>
      <c r="N396" s="54"/>
      <c r="O396" s="50"/>
    </row>
    <row r="397">
      <c r="A397" s="28"/>
      <c r="B397" s="28"/>
      <c r="C397" s="28"/>
      <c r="D397" s="28"/>
      <c r="E397" s="49"/>
      <c r="F397" s="49"/>
      <c r="G397" s="49"/>
      <c r="I397" s="28"/>
      <c r="J397" s="28"/>
      <c r="K397" s="28"/>
      <c r="L397" s="28"/>
      <c r="M397" s="28"/>
      <c r="N397" s="54"/>
      <c r="O397" s="50"/>
    </row>
    <row r="398">
      <c r="A398" s="28"/>
      <c r="B398" s="28"/>
      <c r="C398" s="28"/>
      <c r="D398" s="28"/>
      <c r="E398" s="49"/>
      <c r="F398" s="49"/>
      <c r="G398" s="49"/>
      <c r="I398" s="28"/>
      <c r="J398" s="28"/>
      <c r="K398" s="28"/>
      <c r="L398" s="28"/>
      <c r="M398" s="28"/>
      <c r="N398" s="54"/>
      <c r="O398" s="50"/>
    </row>
    <row r="399">
      <c r="A399" s="28"/>
      <c r="B399" s="28"/>
      <c r="C399" s="28"/>
      <c r="D399" s="28"/>
      <c r="E399" s="49"/>
      <c r="F399" s="49"/>
      <c r="G399" s="49"/>
      <c r="I399" s="28"/>
      <c r="J399" s="28"/>
      <c r="K399" s="28"/>
      <c r="L399" s="28"/>
      <c r="M399" s="28"/>
      <c r="N399" s="54"/>
      <c r="O399" s="50"/>
    </row>
    <row r="400">
      <c r="A400" s="28"/>
      <c r="B400" s="28"/>
      <c r="C400" s="28"/>
      <c r="D400" s="28"/>
      <c r="E400" s="49"/>
      <c r="F400" s="49"/>
      <c r="G400" s="49"/>
      <c r="I400" s="28"/>
      <c r="J400" s="28"/>
      <c r="K400" s="28"/>
      <c r="L400" s="28"/>
      <c r="M400" s="28"/>
      <c r="N400" s="54"/>
      <c r="O400" s="50"/>
    </row>
    <row r="401">
      <c r="A401" s="28"/>
      <c r="B401" s="28"/>
      <c r="C401" s="28"/>
      <c r="D401" s="28"/>
      <c r="E401" s="49"/>
      <c r="F401" s="49"/>
      <c r="G401" s="49"/>
      <c r="I401" s="28"/>
      <c r="J401" s="28"/>
      <c r="K401" s="28"/>
      <c r="L401" s="28"/>
      <c r="M401" s="28"/>
      <c r="N401" s="54"/>
      <c r="O401" s="50"/>
    </row>
    <row r="402">
      <c r="A402" s="28"/>
      <c r="B402" s="28"/>
      <c r="C402" s="28"/>
      <c r="D402" s="28"/>
      <c r="E402" s="49"/>
      <c r="F402" s="49"/>
      <c r="G402" s="49"/>
      <c r="I402" s="28"/>
      <c r="J402" s="28"/>
      <c r="K402" s="28"/>
      <c r="L402" s="28"/>
      <c r="M402" s="28"/>
      <c r="N402" s="54"/>
      <c r="O402" s="50"/>
    </row>
    <row r="403">
      <c r="A403" s="28"/>
      <c r="B403" s="28"/>
      <c r="C403" s="28"/>
      <c r="D403" s="28"/>
      <c r="E403" s="49"/>
      <c r="F403" s="49"/>
      <c r="G403" s="49"/>
      <c r="I403" s="28"/>
      <c r="J403" s="28"/>
      <c r="K403" s="28"/>
      <c r="L403" s="28"/>
      <c r="M403" s="28"/>
      <c r="N403" s="54"/>
      <c r="O403" s="50"/>
    </row>
    <row r="404">
      <c r="A404" s="28"/>
      <c r="B404" s="28"/>
      <c r="C404" s="28"/>
      <c r="D404" s="28"/>
      <c r="E404" s="49"/>
      <c r="F404" s="49"/>
      <c r="G404" s="49"/>
      <c r="I404" s="28"/>
      <c r="J404" s="28"/>
      <c r="K404" s="28"/>
      <c r="L404" s="28"/>
      <c r="M404" s="28"/>
      <c r="N404" s="54"/>
      <c r="O404" s="50"/>
    </row>
    <row r="405">
      <c r="A405" s="28"/>
      <c r="B405" s="28"/>
      <c r="C405" s="28"/>
      <c r="D405" s="28"/>
      <c r="E405" s="49"/>
      <c r="F405" s="49"/>
      <c r="G405" s="49"/>
      <c r="I405" s="28"/>
      <c r="J405" s="28"/>
      <c r="K405" s="28"/>
      <c r="L405" s="28"/>
      <c r="M405" s="28"/>
      <c r="N405" s="54"/>
      <c r="O405" s="50"/>
    </row>
    <row r="406">
      <c r="A406" s="28"/>
      <c r="B406" s="28"/>
      <c r="C406" s="28"/>
      <c r="D406" s="28"/>
      <c r="E406" s="49"/>
      <c r="F406" s="49"/>
      <c r="G406" s="49"/>
      <c r="I406" s="28"/>
      <c r="J406" s="28"/>
      <c r="K406" s="28"/>
      <c r="L406" s="28"/>
      <c r="M406" s="28"/>
      <c r="N406" s="54"/>
      <c r="O406" s="50"/>
    </row>
    <row r="407">
      <c r="A407" s="28"/>
      <c r="B407" s="28"/>
      <c r="C407" s="28"/>
      <c r="D407" s="28"/>
      <c r="E407" s="49"/>
      <c r="F407" s="49"/>
      <c r="G407" s="49"/>
      <c r="I407" s="28"/>
      <c r="J407" s="28"/>
      <c r="K407" s="28"/>
      <c r="L407" s="28"/>
      <c r="M407" s="28"/>
      <c r="N407" s="54"/>
      <c r="O407" s="50"/>
    </row>
    <row r="408">
      <c r="A408" s="28"/>
      <c r="B408" s="28"/>
      <c r="C408" s="28"/>
      <c r="D408" s="28"/>
      <c r="E408" s="49"/>
      <c r="F408" s="49"/>
      <c r="G408" s="49"/>
      <c r="I408" s="28"/>
      <c r="J408" s="28"/>
      <c r="K408" s="28"/>
      <c r="L408" s="28"/>
      <c r="M408" s="28"/>
      <c r="N408" s="54"/>
      <c r="O408" s="50"/>
    </row>
    <row r="409">
      <c r="A409" s="28"/>
      <c r="B409" s="28"/>
      <c r="C409" s="28"/>
      <c r="D409" s="28"/>
      <c r="E409" s="49"/>
      <c r="F409" s="49"/>
      <c r="G409" s="49"/>
      <c r="I409" s="28"/>
      <c r="J409" s="28"/>
      <c r="K409" s="28"/>
      <c r="L409" s="28"/>
      <c r="M409" s="28"/>
      <c r="N409" s="54"/>
      <c r="O409" s="50"/>
    </row>
    <row r="410">
      <c r="A410" s="28"/>
      <c r="B410" s="28"/>
      <c r="C410" s="28"/>
      <c r="D410" s="28"/>
      <c r="E410" s="49"/>
      <c r="F410" s="49"/>
      <c r="G410" s="49"/>
      <c r="I410" s="28"/>
      <c r="J410" s="28"/>
      <c r="K410" s="28"/>
      <c r="L410" s="28"/>
      <c r="M410" s="28"/>
      <c r="N410" s="54"/>
      <c r="O410" s="50"/>
    </row>
    <row r="411">
      <c r="A411" s="28"/>
      <c r="B411" s="28"/>
      <c r="C411" s="28"/>
      <c r="D411" s="28"/>
      <c r="E411" s="49"/>
      <c r="F411" s="49"/>
      <c r="G411" s="49"/>
      <c r="I411" s="28"/>
      <c r="J411" s="28"/>
      <c r="K411" s="28"/>
      <c r="L411" s="28"/>
      <c r="M411" s="28"/>
      <c r="N411" s="54"/>
      <c r="O411" s="50"/>
    </row>
    <row r="412">
      <c r="A412" s="28"/>
      <c r="B412" s="28"/>
      <c r="C412" s="28"/>
      <c r="D412" s="28"/>
      <c r="E412" s="49"/>
      <c r="F412" s="49"/>
      <c r="G412" s="49"/>
      <c r="I412" s="28"/>
      <c r="J412" s="28"/>
      <c r="K412" s="28"/>
      <c r="L412" s="28"/>
      <c r="M412" s="28"/>
      <c r="N412" s="54"/>
      <c r="O412" s="50"/>
    </row>
    <row r="413">
      <c r="A413" s="28"/>
      <c r="B413" s="28"/>
      <c r="C413" s="28"/>
      <c r="D413" s="28"/>
      <c r="E413" s="49"/>
      <c r="F413" s="49"/>
      <c r="G413" s="49"/>
      <c r="I413" s="28"/>
      <c r="J413" s="28"/>
      <c r="K413" s="28"/>
      <c r="L413" s="28"/>
      <c r="M413" s="28"/>
      <c r="N413" s="54"/>
      <c r="O413" s="50"/>
    </row>
    <row r="414">
      <c r="A414" s="28"/>
      <c r="B414" s="28"/>
      <c r="C414" s="28"/>
      <c r="D414" s="28"/>
      <c r="E414" s="49"/>
      <c r="F414" s="49"/>
      <c r="G414" s="49"/>
      <c r="I414" s="28"/>
      <c r="J414" s="28"/>
      <c r="K414" s="28"/>
      <c r="L414" s="28"/>
      <c r="M414" s="28"/>
      <c r="N414" s="54"/>
      <c r="O414" s="50"/>
    </row>
    <row r="415">
      <c r="A415" s="28"/>
      <c r="B415" s="28"/>
      <c r="C415" s="28"/>
      <c r="D415" s="28"/>
      <c r="E415" s="49"/>
      <c r="F415" s="49"/>
      <c r="G415" s="49"/>
      <c r="I415" s="28"/>
      <c r="J415" s="28"/>
      <c r="K415" s="28"/>
      <c r="L415" s="28"/>
      <c r="M415" s="28"/>
      <c r="N415" s="54"/>
      <c r="O415" s="50"/>
    </row>
    <row r="416">
      <c r="A416" s="28"/>
      <c r="B416" s="28"/>
      <c r="C416" s="28"/>
      <c r="D416" s="28"/>
      <c r="E416" s="49"/>
      <c r="F416" s="49"/>
      <c r="G416" s="49"/>
      <c r="I416" s="28"/>
      <c r="J416" s="28"/>
      <c r="K416" s="28"/>
      <c r="L416" s="28"/>
      <c r="M416" s="28"/>
      <c r="N416" s="54"/>
      <c r="O416" s="50"/>
    </row>
    <row r="417">
      <c r="A417" s="28"/>
      <c r="B417" s="28"/>
      <c r="C417" s="28"/>
      <c r="D417" s="28"/>
      <c r="E417" s="49"/>
      <c r="F417" s="49"/>
      <c r="G417" s="49"/>
      <c r="I417" s="28"/>
      <c r="J417" s="28"/>
      <c r="K417" s="28"/>
      <c r="L417" s="28"/>
      <c r="M417" s="28"/>
      <c r="N417" s="54"/>
      <c r="O417" s="50"/>
    </row>
    <row r="418">
      <c r="A418" s="28"/>
      <c r="B418" s="28"/>
      <c r="C418" s="28"/>
      <c r="D418" s="28"/>
      <c r="E418" s="49"/>
      <c r="F418" s="49"/>
      <c r="G418" s="49"/>
      <c r="I418" s="28"/>
      <c r="J418" s="28"/>
      <c r="K418" s="28"/>
      <c r="L418" s="28"/>
      <c r="M418" s="28"/>
      <c r="N418" s="54"/>
      <c r="O418" s="50"/>
    </row>
    <row r="419">
      <c r="A419" s="28"/>
      <c r="B419" s="28"/>
      <c r="C419" s="28"/>
      <c r="D419" s="28"/>
      <c r="E419" s="49"/>
      <c r="F419" s="49"/>
      <c r="G419" s="49"/>
      <c r="I419" s="28"/>
      <c r="J419" s="28"/>
      <c r="K419" s="28"/>
      <c r="L419" s="28"/>
      <c r="M419" s="28"/>
      <c r="N419" s="54"/>
      <c r="O419" s="50"/>
    </row>
    <row r="420">
      <c r="A420" s="28"/>
      <c r="B420" s="28"/>
      <c r="C420" s="28"/>
      <c r="D420" s="28"/>
      <c r="E420" s="49"/>
      <c r="F420" s="49"/>
      <c r="G420" s="49"/>
      <c r="I420" s="28"/>
      <c r="J420" s="28"/>
      <c r="K420" s="28"/>
      <c r="L420" s="28"/>
      <c r="M420" s="28"/>
      <c r="N420" s="54"/>
      <c r="O420" s="50"/>
    </row>
    <row r="421">
      <c r="A421" s="28"/>
      <c r="B421" s="28"/>
      <c r="C421" s="28"/>
      <c r="D421" s="28"/>
      <c r="E421" s="49"/>
      <c r="F421" s="49"/>
      <c r="G421" s="49"/>
      <c r="I421" s="28"/>
      <c r="J421" s="28"/>
      <c r="K421" s="28"/>
      <c r="L421" s="28"/>
      <c r="M421" s="28"/>
      <c r="N421" s="54"/>
      <c r="O421" s="50"/>
    </row>
    <row r="422">
      <c r="A422" s="28"/>
      <c r="B422" s="28"/>
      <c r="C422" s="28"/>
      <c r="D422" s="28"/>
      <c r="E422" s="49"/>
      <c r="F422" s="49"/>
      <c r="G422" s="49"/>
      <c r="I422" s="28"/>
      <c r="J422" s="28"/>
      <c r="K422" s="28"/>
      <c r="L422" s="28"/>
      <c r="M422" s="28"/>
      <c r="N422" s="54"/>
      <c r="O422" s="50"/>
    </row>
    <row r="423">
      <c r="A423" s="28"/>
      <c r="B423" s="28"/>
      <c r="C423" s="28"/>
      <c r="D423" s="28"/>
      <c r="E423" s="49"/>
      <c r="F423" s="49"/>
      <c r="G423" s="49"/>
      <c r="I423" s="28"/>
      <c r="J423" s="28"/>
      <c r="K423" s="28"/>
      <c r="L423" s="28"/>
      <c r="M423" s="28"/>
      <c r="N423" s="54"/>
      <c r="O423" s="50"/>
    </row>
    <row r="424">
      <c r="A424" s="28"/>
      <c r="B424" s="28"/>
      <c r="C424" s="28"/>
      <c r="D424" s="28"/>
      <c r="E424" s="49"/>
      <c r="F424" s="49"/>
      <c r="G424" s="49"/>
      <c r="I424" s="28"/>
      <c r="J424" s="28"/>
      <c r="K424" s="28"/>
      <c r="L424" s="28"/>
      <c r="M424" s="28"/>
      <c r="N424" s="54"/>
      <c r="O424" s="50"/>
    </row>
    <row r="425">
      <c r="A425" s="28"/>
      <c r="B425" s="28"/>
      <c r="C425" s="28"/>
      <c r="D425" s="28"/>
      <c r="E425" s="49"/>
      <c r="F425" s="49"/>
      <c r="G425" s="49"/>
      <c r="I425" s="28"/>
      <c r="J425" s="28"/>
      <c r="K425" s="28"/>
      <c r="L425" s="28"/>
      <c r="M425" s="28"/>
      <c r="N425" s="54"/>
      <c r="O425" s="50"/>
    </row>
    <row r="426">
      <c r="A426" s="28"/>
      <c r="B426" s="28"/>
      <c r="C426" s="28"/>
      <c r="D426" s="28"/>
      <c r="E426" s="49"/>
      <c r="F426" s="49"/>
      <c r="G426" s="49"/>
      <c r="I426" s="28"/>
      <c r="J426" s="28"/>
      <c r="K426" s="28"/>
      <c r="L426" s="28"/>
      <c r="M426" s="28"/>
      <c r="N426" s="54"/>
      <c r="O426" s="50"/>
    </row>
    <row r="427">
      <c r="A427" s="28"/>
      <c r="B427" s="28"/>
      <c r="C427" s="28"/>
      <c r="D427" s="28"/>
      <c r="E427" s="49"/>
      <c r="F427" s="49"/>
      <c r="G427" s="49"/>
      <c r="I427" s="28"/>
      <c r="J427" s="28"/>
      <c r="K427" s="28"/>
      <c r="L427" s="28"/>
      <c r="M427" s="28"/>
      <c r="N427" s="54"/>
      <c r="O427" s="50"/>
    </row>
    <row r="428">
      <c r="A428" s="28"/>
      <c r="B428" s="28"/>
      <c r="C428" s="28"/>
      <c r="D428" s="28"/>
      <c r="E428" s="49"/>
      <c r="F428" s="49"/>
      <c r="G428" s="49"/>
      <c r="I428" s="28"/>
      <c r="J428" s="28"/>
      <c r="K428" s="28"/>
      <c r="L428" s="28"/>
      <c r="M428" s="28"/>
      <c r="N428" s="54"/>
      <c r="O428" s="50"/>
    </row>
    <row r="429">
      <c r="A429" s="28"/>
      <c r="B429" s="28"/>
      <c r="C429" s="28"/>
      <c r="D429" s="28"/>
      <c r="E429" s="49"/>
      <c r="F429" s="49"/>
      <c r="G429" s="49"/>
      <c r="I429" s="28"/>
      <c r="J429" s="28"/>
      <c r="K429" s="28"/>
      <c r="L429" s="28"/>
      <c r="M429" s="28"/>
      <c r="N429" s="54"/>
      <c r="O429" s="50"/>
    </row>
    <row r="430">
      <c r="A430" s="28"/>
      <c r="B430" s="28"/>
      <c r="C430" s="28"/>
      <c r="D430" s="28"/>
      <c r="E430" s="49"/>
      <c r="F430" s="49"/>
      <c r="G430" s="49"/>
      <c r="I430" s="28"/>
      <c r="J430" s="28"/>
      <c r="K430" s="28"/>
      <c r="L430" s="28"/>
      <c r="M430" s="28"/>
      <c r="N430" s="54"/>
      <c r="O430" s="50"/>
    </row>
    <row r="431">
      <c r="A431" s="28"/>
      <c r="B431" s="28"/>
      <c r="C431" s="28"/>
      <c r="D431" s="28"/>
      <c r="E431" s="49"/>
      <c r="F431" s="49"/>
      <c r="G431" s="49"/>
      <c r="I431" s="28"/>
      <c r="J431" s="28"/>
      <c r="K431" s="28"/>
      <c r="L431" s="28"/>
      <c r="M431" s="28"/>
      <c r="N431" s="54"/>
      <c r="O431" s="50"/>
    </row>
    <row r="432">
      <c r="A432" s="28"/>
      <c r="B432" s="28"/>
      <c r="C432" s="28"/>
      <c r="D432" s="28"/>
      <c r="E432" s="49"/>
      <c r="F432" s="49"/>
      <c r="G432" s="49"/>
      <c r="I432" s="28"/>
      <c r="J432" s="28"/>
      <c r="K432" s="28"/>
      <c r="L432" s="28"/>
      <c r="M432" s="28"/>
      <c r="N432" s="54"/>
      <c r="O432" s="50"/>
    </row>
    <row r="433">
      <c r="A433" s="28"/>
      <c r="B433" s="28"/>
      <c r="C433" s="28"/>
      <c r="D433" s="28"/>
      <c r="E433" s="49"/>
      <c r="F433" s="49"/>
      <c r="G433" s="49"/>
      <c r="I433" s="28"/>
      <c r="J433" s="28"/>
      <c r="K433" s="28"/>
      <c r="L433" s="28"/>
      <c r="M433" s="28"/>
      <c r="N433" s="54"/>
      <c r="O433" s="50"/>
    </row>
    <row r="434">
      <c r="A434" s="28"/>
      <c r="B434" s="28"/>
      <c r="C434" s="28"/>
      <c r="D434" s="28"/>
      <c r="E434" s="49"/>
      <c r="F434" s="49"/>
      <c r="G434" s="49"/>
      <c r="I434" s="28"/>
      <c r="J434" s="28"/>
      <c r="K434" s="28"/>
      <c r="L434" s="28"/>
      <c r="M434" s="28"/>
      <c r="N434" s="54"/>
      <c r="O434" s="50"/>
    </row>
    <row r="435">
      <c r="A435" s="28"/>
      <c r="B435" s="28"/>
      <c r="C435" s="28"/>
      <c r="D435" s="28"/>
      <c r="E435" s="49"/>
      <c r="F435" s="49"/>
      <c r="G435" s="49"/>
      <c r="I435" s="28"/>
      <c r="J435" s="28"/>
      <c r="K435" s="28"/>
      <c r="L435" s="28"/>
      <c r="M435" s="28"/>
      <c r="N435" s="54"/>
      <c r="O435" s="50"/>
    </row>
    <row r="436">
      <c r="A436" s="28"/>
      <c r="B436" s="28"/>
      <c r="C436" s="28"/>
      <c r="D436" s="28"/>
      <c r="E436" s="49"/>
      <c r="F436" s="49"/>
      <c r="G436" s="49"/>
      <c r="I436" s="28"/>
      <c r="J436" s="28"/>
      <c r="K436" s="28"/>
      <c r="L436" s="28"/>
      <c r="M436" s="28"/>
      <c r="N436" s="54"/>
      <c r="O436" s="50"/>
    </row>
    <row r="437">
      <c r="A437" s="28"/>
      <c r="B437" s="28"/>
      <c r="C437" s="28"/>
      <c r="D437" s="28"/>
      <c r="E437" s="49"/>
      <c r="F437" s="49"/>
      <c r="G437" s="49"/>
      <c r="I437" s="28"/>
      <c r="J437" s="28"/>
      <c r="K437" s="28"/>
      <c r="L437" s="28"/>
      <c r="M437" s="28"/>
      <c r="N437" s="54"/>
      <c r="O437" s="50"/>
    </row>
    <row r="438">
      <c r="A438" s="28"/>
      <c r="B438" s="28"/>
      <c r="C438" s="28"/>
      <c r="D438" s="28"/>
      <c r="E438" s="49"/>
      <c r="F438" s="49"/>
      <c r="G438" s="49"/>
      <c r="I438" s="28"/>
      <c r="J438" s="28"/>
      <c r="K438" s="28"/>
      <c r="L438" s="28"/>
      <c r="M438" s="28"/>
      <c r="N438" s="54"/>
      <c r="O438" s="50"/>
    </row>
    <row r="439">
      <c r="A439" s="28"/>
      <c r="B439" s="28"/>
      <c r="C439" s="28"/>
      <c r="D439" s="28"/>
      <c r="E439" s="49"/>
      <c r="F439" s="49"/>
      <c r="G439" s="49"/>
      <c r="I439" s="28"/>
      <c r="J439" s="28"/>
      <c r="K439" s="28"/>
      <c r="L439" s="28"/>
      <c r="M439" s="28"/>
      <c r="N439" s="54"/>
      <c r="O439" s="50"/>
    </row>
    <row r="440">
      <c r="A440" s="28"/>
      <c r="B440" s="28"/>
      <c r="C440" s="28"/>
      <c r="D440" s="28"/>
      <c r="E440" s="49"/>
      <c r="F440" s="49"/>
      <c r="G440" s="49"/>
      <c r="I440" s="28"/>
      <c r="J440" s="28"/>
      <c r="K440" s="28"/>
      <c r="L440" s="28"/>
      <c r="M440" s="28"/>
      <c r="N440" s="54"/>
      <c r="O440" s="50"/>
    </row>
    <row r="441">
      <c r="A441" s="28"/>
      <c r="B441" s="28"/>
      <c r="C441" s="28"/>
      <c r="D441" s="28"/>
      <c r="E441" s="49"/>
      <c r="F441" s="49"/>
      <c r="G441" s="49"/>
      <c r="I441" s="28"/>
      <c r="J441" s="28"/>
      <c r="K441" s="28"/>
      <c r="L441" s="28"/>
      <c r="M441" s="28"/>
      <c r="N441" s="54"/>
      <c r="O441" s="50"/>
    </row>
    <row r="442">
      <c r="A442" s="28"/>
      <c r="B442" s="28"/>
      <c r="C442" s="28"/>
      <c r="D442" s="28"/>
      <c r="E442" s="49"/>
      <c r="F442" s="49"/>
      <c r="G442" s="49"/>
      <c r="I442" s="28"/>
      <c r="J442" s="28"/>
      <c r="K442" s="28"/>
      <c r="L442" s="28"/>
      <c r="M442" s="28"/>
      <c r="N442" s="54"/>
      <c r="O442" s="50"/>
    </row>
    <row r="443">
      <c r="A443" s="28"/>
      <c r="B443" s="28"/>
      <c r="C443" s="28"/>
      <c r="D443" s="28"/>
      <c r="E443" s="49"/>
      <c r="F443" s="49"/>
      <c r="G443" s="49"/>
      <c r="I443" s="28"/>
      <c r="J443" s="28"/>
      <c r="K443" s="28"/>
      <c r="L443" s="28"/>
      <c r="M443" s="28"/>
      <c r="N443" s="54"/>
      <c r="O443" s="50"/>
    </row>
    <row r="444">
      <c r="A444" s="28"/>
      <c r="B444" s="28"/>
      <c r="C444" s="28"/>
      <c r="D444" s="28"/>
      <c r="E444" s="49"/>
      <c r="F444" s="49"/>
      <c r="G444" s="49"/>
      <c r="I444" s="28"/>
      <c r="J444" s="28"/>
      <c r="K444" s="28"/>
      <c r="L444" s="28"/>
      <c r="M444" s="28"/>
      <c r="N444" s="54"/>
      <c r="O444" s="50"/>
    </row>
    <row r="445">
      <c r="A445" s="28"/>
      <c r="B445" s="28"/>
      <c r="C445" s="28"/>
      <c r="D445" s="28"/>
      <c r="E445" s="49"/>
      <c r="F445" s="49"/>
      <c r="G445" s="49"/>
      <c r="I445" s="28"/>
      <c r="J445" s="28"/>
      <c r="K445" s="28"/>
      <c r="L445" s="28"/>
      <c r="M445" s="28"/>
      <c r="N445" s="54"/>
      <c r="O445" s="50"/>
    </row>
    <row r="446">
      <c r="A446" s="28"/>
      <c r="B446" s="28"/>
      <c r="C446" s="28"/>
      <c r="D446" s="28"/>
      <c r="E446" s="49"/>
      <c r="F446" s="49"/>
      <c r="G446" s="49"/>
      <c r="I446" s="28"/>
      <c r="J446" s="28"/>
      <c r="K446" s="28"/>
      <c r="L446" s="28"/>
      <c r="M446" s="28"/>
      <c r="N446" s="54"/>
      <c r="O446" s="50"/>
    </row>
    <row r="447">
      <c r="A447" s="28"/>
      <c r="B447" s="28"/>
      <c r="C447" s="28"/>
      <c r="D447" s="28"/>
      <c r="E447" s="49"/>
      <c r="F447" s="49"/>
      <c r="G447" s="49"/>
      <c r="I447" s="28"/>
      <c r="J447" s="28"/>
      <c r="K447" s="28"/>
      <c r="L447" s="28"/>
      <c r="M447" s="28"/>
      <c r="N447" s="54"/>
      <c r="O447" s="50"/>
    </row>
    <row r="448">
      <c r="A448" s="28"/>
      <c r="B448" s="28"/>
      <c r="C448" s="28"/>
      <c r="D448" s="28"/>
      <c r="E448" s="49"/>
      <c r="F448" s="49"/>
      <c r="G448" s="49"/>
      <c r="I448" s="28"/>
      <c r="J448" s="28"/>
      <c r="K448" s="28"/>
      <c r="L448" s="28"/>
      <c r="M448" s="28"/>
      <c r="N448" s="54"/>
      <c r="O448" s="50"/>
    </row>
    <row r="449">
      <c r="A449" s="28"/>
      <c r="B449" s="28"/>
      <c r="C449" s="28"/>
      <c r="D449" s="28"/>
      <c r="E449" s="49"/>
      <c r="F449" s="49"/>
      <c r="G449" s="49"/>
      <c r="I449" s="28"/>
      <c r="J449" s="28"/>
      <c r="K449" s="28"/>
      <c r="L449" s="28"/>
      <c r="M449" s="28"/>
      <c r="N449" s="54"/>
      <c r="O449" s="50"/>
    </row>
    <row r="450">
      <c r="A450" s="28"/>
      <c r="B450" s="28"/>
      <c r="C450" s="28"/>
      <c r="D450" s="28"/>
      <c r="E450" s="49"/>
      <c r="F450" s="49"/>
      <c r="G450" s="49"/>
      <c r="I450" s="28"/>
      <c r="J450" s="28"/>
      <c r="K450" s="28"/>
      <c r="L450" s="28"/>
      <c r="M450" s="28"/>
      <c r="N450" s="54"/>
      <c r="O450" s="50"/>
    </row>
    <row r="451">
      <c r="A451" s="28"/>
      <c r="B451" s="28"/>
      <c r="C451" s="28"/>
      <c r="D451" s="28"/>
      <c r="E451" s="49"/>
      <c r="F451" s="49"/>
      <c r="G451" s="49"/>
      <c r="I451" s="28"/>
      <c r="J451" s="28"/>
      <c r="K451" s="28"/>
      <c r="L451" s="28"/>
      <c r="M451" s="28"/>
      <c r="N451" s="54"/>
      <c r="O451" s="50"/>
    </row>
    <row r="452">
      <c r="A452" s="28"/>
      <c r="B452" s="28"/>
      <c r="C452" s="28"/>
      <c r="D452" s="28"/>
      <c r="E452" s="49"/>
      <c r="F452" s="49"/>
      <c r="G452" s="49"/>
      <c r="I452" s="28"/>
      <c r="J452" s="28"/>
      <c r="K452" s="28"/>
      <c r="L452" s="28"/>
      <c r="M452" s="28"/>
      <c r="N452" s="54"/>
      <c r="O452" s="50"/>
    </row>
    <row r="453">
      <c r="A453" s="28"/>
      <c r="B453" s="28"/>
      <c r="C453" s="28"/>
      <c r="D453" s="28"/>
      <c r="E453" s="49"/>
      <c r="F453" s="49"/>
      <c r="G453" s="49"/>
      <c r="I453" s="28"/>
      <c r="J453" s="28"/>
      <c r="K453" s="28"/>
      <c r="L453" s="28"/>
      <c r="M453" s="28"/>
      <c r="N453" s="54"/>
      <c r="O453" s="50"/>
    </row>
    <row r="454">
      <c r="A454" s="28"/>
      <c r="B454" s="28"/>
      <c r="C454" s="28"/>
      <c r="D454" s="28"/>
      <c r="E454" s="49"/>
      <c r="F454" s="49"/>
      <c r="G454" s="49"/>
      <c r="I454" s="28"/>
      <c r="J454" s="28"/>
      <c r="K454" s="28"/>
      <c r="L454" s="28"/>
      <c r="M454" s="28"/>
      <c r="N454" s="54"/>
      <c r="O454" s="50"/>
    </row>
    <row r="455">
      <c r="A455" s="28"/>
      <c r="B455" s="28"/>
      <c r="C455" s="28"/>
      <c r="D455" s="28"/>
      <c r="E455" s="49"/>
      <c r="F455" s="49"/>
      <c r="G455" s="49"/>
      <c r="I455" s="28"/>
      <c r="J455" s="28"/>
      <c r="K455" s="28"/>
      <c r="L455" s="28"/>
      <c r="M455" s="28"/>
      <c r="N455" s="54"/>
      <c r="O455" s="50"/>
    </row>
    <row r="456">
      <c r="A456" s="28"/>
      <c r="B456" s="28"/>
      <c r="C456" s="28"/>
      <c r="D456" s="28"/>
      <c r="E456" s="49"/>
      <c r="F456" s="49"/>
      <c r="G456" s="49"/>
      <c r="I456" s="28"/>
      <c r="J456" s="28"/>
      <c r="K456" s="28"/>
      <c r="L456" s="28"/>
      <c r="M456" s="28"/>
      <c r="N456" s="54"/>
      <c r="O456" s="50"/>
    </row>
    <row r="457">
      <c r="A457" s="28"/>
      <c r="B457" s="28"/>
      <c r="C457" s="28"/>
      <c r="D457" s="28"/>
      <c r="E457" s="49"/>
      <c r="F457" s="49"/>
      <c r="G457" s="49"/>
      <c r="I457" s="28"/>
      <c r="J457" s="28"/>
      <c r="K457" s="28"/>
      <c r="L457" s="28"/>
      <c r="M457" s="28"/>
      <c r="N457" s="54"/>
      <c r="O457" s="50"/>
    </row>
    <row r="458">
      <c r="A458" s="28"/>
      <c r="B458" s="28"/>
      <c r="C458" s="28"/>
      <c r="D458" s="28"/>
      <c r="E458" s="49"/>
      <c r="F458" s="49"/>
      <c r="G458" s="49"/>
      <c r="I458" s="28"/>
      <c r="J458" s="28"/>
      <c r="K458" s="28"/>
      <c r="L458" s="28"/>
      <c r="M458" s="28"/>
      <c r="N458" s="54"/>
      <c r="O458" s="50"/>
    </row>
    <row r="459">
      <c r="A459" s="28"/>
      <c r="B459" s="28"/>
      <c r="C459" s="28"/>
      <c r="D459" s="28"/>
      <c r="E459" s="49"/>
      <c r="F459" s="49"/>
      <c r="G459" s="49"/>
      <c r="I459" s="28"/>
      <c r="J459" s="28"/>
      <c r="K459" s="28"/>
      <c r="L459" s="28"/>
      <c r="M459" s="28"/>
      <c r="N459" s="54"/>
      <c r="O459" s="50"/>
    </row>
    <row r="460">
      <c r="A460" s="28"/>
      <c r="B460" s="28"/>
      <c r="C460" s="28"/>
      <c r="D460" s="28"/>
      <c r="E460" s="49"/>
      <c r="F460" s="49"/>
      <c r="G460" s="49"/>
      <c r="I460" s="28"/>
      <c r="J460" s="28"/>
      <c r="K460" s="28"/>
      <c r="L460" s="28"/>
      <c r="M460" s="28"/>
      <c r="N460" s="54"/>
      <c r="O460" s="50"/>
    </row>
    <row r="461">
      <c r="A461" s="28"/>
      <c r="B461" s="28"/>
      <c r="C461" s="28"/>
      <c r="D461" s="28"/>
      <c r="E461" s="49"/>
      <c r="F461" s="49"/>
      <c r="G461" s="49"/>
      <c r="I461" s="28"/>
      <c r="J461" s="28"/>
      <c r="K461" s="28"/>
      <c r="L461" s="28"/>
      <c r="M461" s="28"/>
      <c r="N461" s="54"/>
      <c r="O461" s="50"/>
    </row>
    <row r="462">
      <c r="A462" s="28"/>
      <c r="B462" s="28"/>
      <c r="C462" s="28"/>
      <c r="D462" s="28"/>
      <c r="E462" s="49"/>
      <c r="F462" s="49"/>
      <c r="G462" s="49"/>
      <c r="I462" s="28"/>
      <c r="J462" s="28"/>
      <c r="K462" s="28"/>
      <c r="L462" s="28"/>
      <c r="M462" s="28"/>
      <c r="N462" s="54"/>
      <c r="O462" s="50"/>
    </row>
    <row r="463">
      <c r="A463" s="28"/>
      <c r="B463" s="28"/>
      <c r="C463" s="28"/>
      <c r="D463" s="28"/>
      <c r="E463" s="49"/>
      <c r="F463" s="49"/>
      <c r="G463" s="49"/>
      <c r="I463" s="28"/>
      <c r="J463" s="28"/>
      <c r="K463" s="28"/>
      <c r="L463" s="28"/>
      <c r="M463" s="28"/>
      <c r="N463" s="54"/>
      <c r="O463" s="50"/>
    </row>
    <row r="464">
      <c r="A464" s="28"/>
      <c r="B464" s="28"/>
      <c r="C464" s="28"/>
      <c r="D464" s="28"/>
      <c r="E464" s="49"/>
      <c r="F464" s="49"/>
      <c r="G464" s="49"/>
      <c r="I464" s="28"/>
      <c r="J464" s="28"/>
      <c r="K464" s="28"/>
      <c r="L464" s="28"/>
      <c r="M464" s="28"/>
      <c r="N464" s="54"/>
      <c r="O464" s="50"/>
    </row>
    <row r="465">
      <c r="A465" s="28"/>
      <c r="B465" s="28"/>
      <c r="C465" s="28"/>
      <c r="D465" s="28"/>
      <c r="E465" s="49"/>
      <c r="F465" s="49"/>
      <c r="G465" s="49"/>
      <c r="I465" s="28"/>
      <c r="J465" s="28"/>
      <c r="K465" s="28"/>
      <c r="L465" s="28"/>
      <c r="M465" s="28"/>
      <c r="N465" s="54"/>
      <c r="O465" s="50"/>
    </row>
    <row r="466">
      <c r="A466" s="28"/>
      <c r="B466" s="28"/>
      <c r="C466" s="28"/>
      <c r="D466" s="28"/>
      <c r="E466" s="49"/>
      <c r="F466" s="49"/>
      <c r="G466" s="49"/>
      <c r="I466" s="28"/>
      <c r="J466" s="28"/>
      <c r="K466" s="28"/>
      <c r="L466" s="28"/>
      <c r="M466" s="28"/>
      <c r="N466" s="54"/>
      <c r="O466" s="50"/>
    </row>
    <row r="467">
      <c r="A467" s="28"/>
      <c r="B467" s="28"/>
      <c r="C467" s="28"/>
      <c r="D467" s="28"/>
      <c r="E467" s="49"/>
      <c r="F467" s="49"/>
      <c r="G467" s="49"/>
      <c r="I467" s="28"/>
      <c r="J467" s="28"/>
      <c r="K467" s="28"/>
      <c r="L467" s="28"/>
      <c r="M467" s="28"/>
      <c r="N467" s="54"/>
      <c r="O467" s="50"/>
    </row>
    <row r="468">
      <c r="A468" s="28"/>
      <c r="B468" s="28"/>
      <c r="C468" s="28"/>
      <c r="D468" s="28"/>
      <c r="E468" s="49"/>
      <c r="F468" s="49"/>
      <c r="G468" s="49"/>
      <c r="I468" s="28"/>
      <c r="J468" s="28"/>
      <c r="K468" s="28"/>
      <c r="L468" s="28"/>
      <c r="M468" s="28"/>
      <c r="N468" s="54"/>
      <c r="O468" s="50"/>
    </row>
    <row r="469">
      <c r="A469" s="28"/>
      <c r="B469" s="28"/>
      <c r="C469" s="28"/>
      <c r="D469" s="28"/>
      <c r="E469" s="49"/>
      <c r="F469" s="49"/>
      <c r="G469" s="49"/>
      <c r="I469" s="28"/>
      <c r="J469" s="28"/>
      <c r="K469" s="28"/>
      <c r="L469" s="28"/>
      <c r="M469" s="28"/>
      <c r="N469" s="54"/>
      <c r="O469" s="50"/>
    </row>
    <row r="470">
      <c r="A470" s="28"/>
      <c r="B470" s="28"/>
      <c r="C470" s="28"/>
      <c r="D470" s="28"/>
      <c r="E470" s="49"/>
      <c r="F470" s="49"/>
      <c r="G470" s="49"/>
      <c r="I470" s="28"/>
      <c r="J470" s="28"/>
      <c r="K470" s="28"/>
      <c r="L470" s="28"/>
      <c r="M470" s="28"/>
      <c r="N470" s="54"/>
      <c r="O470" s="50"/>
    </row>
    <row r="471">
      <c r="A471" s="28"/>
      <c r="B471" s="28"/>
      <c r="C471" s="28"/>
      <c r="D471" s="28"/>
      <c r="E471" s="49"/>
      <c r="F471" s="49"/>
      <c r="G471" s="49"/>
      <c r="I471" s="28"/>
      <c r="J471" s="28"/>
      <c r="K471" s="28"/>
      <c r="L471" s="28"/>
      <c r="M471" s="28"/>
      <c r="N471" s="54"/>
      <c r="O471" s="50"/>
    </row>
    <row r="472">
      <c r="A472" s="28"/>
      <c r="B472" s="28"/>
      <c r="C472" s="28"/>
      <c r="D472" s="28"/>
      <c r="E472" s="49"/>
      <c r="F472" s="49"/>
      <c r="G472" s="49"/>
      <c r="I472" s="28"/>
      <c r="J472" s="28"/>
      <c r="K472" s="28"/>
      <c r="L472" s="28"/>
      <c r="M472" s="28"/>
      <c r="N472" s="54"/>
      <c r="O472" s="50"/>
    </row>
    <row r="473">
      <c r="A473" s="28"/>
      <c r="B473" s="28"/>
      <c r="C473" s="28"/>
      <c r="D473" s="28"/>
      <c r="E473" s="49"/>
      <c r="F473" s="49"/>
      <c r="G473" s="49"/>
      <c r="I473" s="28"/>
      <c r="J473" s="28"/>
      <c r="K473" s="28"/>
      <c r="L473" s="28"/>
      <c r="M473" s="28"/>
      <c r="N473" s="54"/>
      <c r="O473" s="50"/>
    </row>
    <row r="474">
      <c r="A474" s="28"/>
      <c r="B474" s="28"/>
      <c r="C474" s="28"/>
      <c r="D474" s="28"/>
      <c r="E474" s="49"/>
      <c r="F474" s="49"/>
      <c r="G474" s="49"/>
      <c r="I474" s="28"/>
      <c r="J474" s="28"/>
      <c r="K474" s="28"/>
      <c r="L474" s="28"/>
      <c r="M474" s="28"/>
      <c r="N474" s="54"/>
      <c r="O474" s="50"/>
    </row>
    <row r="475">
      <c r="A475" s="28"/>
      <c r="B475" s="28"/>
      <c r="C475" s="28"/>
      <c r="D475" s="28"/>
      <c r="E475" s="49"/>
      <c r="F475" s="49"/>
      <c r="G475" s="49"/>
      <c r="I475" s="28"/>
      <c r="J475" s="28"/>
      <c r="K475" s="28"/>
      <c r="L475" s="28"/>
      <c r="M475" s="28"/>
      <c r="N475" s="54"/>
      <c r="O475" s="50"/>
    </row>
    <row r="476">
      <c r="A476" s="28"/>
      <c r="B476" s="28"/>
      <c r="C476" s="28"/>
      <c r="D476" s="28"/>
      <c r="E476" s="49"/>
      <c r="F476" s="49"/>
      <c r="G476" s="49"/>
      <c r="I476" s="28"/>
      <c r="J476" s="28"/>
      <c r="K476" s="28"/>
      <c r="L476" s="28"/>
      <c r="M476" s="28"/>
      <c r="N476" s="54"/>
      <c r="O476" s="50"/>
    </row>
    <row r="477">
      <c r="A477" s="28"/>
      <c r="B477" s="28"/>
      <c r="C477" s="28"/>
      <c r="D477" s="28"/>
      <c r="E477" s="49"/>
      <c r="F477" s="49"/>
      <c r="G477" s="49"/>
      <c r="I477" s="28"/>
      <c r="J477" s="28"/>
      <c r="K477" s="28"/>
      <c r="L477" s="28"/>
      <c r="M477" s="28"/>
      <c r="N477" s="54"/>
      <c r="O477" s="50"/>
    </row>
    <row r="478">
      <c r="A478" s="28"/>
      <c r="B478" s="28"/>
      <c r="C478" s="28"/>
      <c r="D478" s="28"/>
      <c r="E478" s="49"/>
      <c r="F478" s="49"/>
      <c r="G478" s="49"/>
      <c r="I478" s="28"/>
      <c r="J478" s="28"/>
      <c r="K478" s="28"/>
      <c r="L478" s="28"/>
      <c r="M478" s="28"/>
      <c r="N478" s="54"/>
      <c r="O478" s="50"/>
    </row>
    <row r="479">
      <c r="A479" s="28"/>
      <c r="B479" s="28"/>
      <c r="C479" s="28"/>
      <c r="D479" s="28"/>
      <c r="E479" s="49"/>
      <c r="F479" s="49"/>
      <c r="G479" s="49"/>
      <c r="I479" s="28"/>
      <c r="J479" s="28"/>
      <c r="K479" s="28"/>
      <c r="L479" s="28"/>
      <c r="M479" s="28"/>
      <c r="N479" s="54"/>
      <c r="O479" s="50"/>
    </row>
    <row r="480">
      <c r="A480" s="28"/>
      <c r="B480" s="28"/>
      <c r="C480" s="28"/>
      <c r="D480" s="28"/>
      <c r="E480" s="49"/>
      <c r="F480" s="49"/>
      <c r="G480" s="49"/>
      <c r="I480" s="28"/>
      <c r="J480" s="28"/>
      <c r="K480" s="28"/>
      <c r="L480" s="28"/>
      <c r="M480" s="28"/>
      <c r="N480" s="54"/>
      <c r="O480" s="50"/>
    </row>
    <row r="481">
      <c r="A481" s="28"/>
      <c r="B481" s="28"/>
      <c r="C481" s="28"/>
      <c r="D481" s="28"/>
      <c r="E481" s="49"/>
      <c r="F481" s="49"/>
      <c r="G481" s="49"/>
      <c r="I481" s="28"/>
      <c r="J481" s="28"/>
      <c r="K481" s="28"/>
      <c r="L481" s="28"/>
      <c r="M481" s="28"/>
      <c r="N481" s="54"/>
      <c r="O481" s="50"/>
    </row>
    <row r="482">
      <c r="A482" s="28"/>
      <c r="B482" s="28"/>
      <c r="C482" s="28"/>
      <c r="D482" s="28"/>
      <c r="E482" s="49"/>
      <c r="F482" s="49"/>
      <c r="G482" s="49"/>
      <c r="I482" s="28"/>
      <c r="J482" s="28"/>
      <c r="K482" s="28"/>
      <c r="L482" s="28"/>
      <c r="M482" s="28"/>
      <c r="N482" s="54"/>
      <c r="O482" s="50"/>
    </row>
    <row r="483">
      <c r="A483" s="28"/>
      <c r="B483" s="28"/>
      <c r="C483" s="28"/>
      <c r="D483" s="28"/>
      <c r="E483" s="49"/>
      <c r="F483" s="49"/>
      <c r="G483" s="49"/>
      <c r="I483" s="28"/>
      <c r="J483" s="28"/>
      <c r="K483" s="28"/>
      <c r="L483" s="28"/>
      <c r="M483" s="28"/>
      <c r="N483" s="54"/>
      <c r="O483" s="50"/>
    </row>
    <row r="484">
      <c r="A484" s="28"/>
      <c r="B484" s="28"/>
      <c r="C484" s="28"/>
      <c r="D484" s="28"/>
      <c r="E484" s="49"/>
      <c r="F484" s="49"/>
      <c r="G484" s="49"/>
      <c r="I484" s="28"/>
      <c r="J484" s="28"/>
      <c r="K484" s="28"/>
      <c r="L484" s="28"/>
      <c r="M484" s="28"/>
      <c r="N484" s="54"/>
      <c r="O484" s="50"/>
    </row>
    <row r="485">
      <c r="A485" s="28"/>
      <c r="B485" s="28"/>
      <c r="C485" s="28"/>
      <c r="D485" s="28"/>
      <c r="E485" s="49"/>
      <c r="F485" s="49"/>
      <c r="G485" s="49"/>
      <c r="I485" s="28"/>
      <c r="J485" s="28"/>
      <c r="K485" s="28"/>
      <c r="L485" s="28"/>
      <c r="M485" s="28"/>
      <c r="N485" s="54"/>
      <c r="O485" s="50"/>
    </row>
    <row r="486">
      <c r="A486" s="28"/>
      <c r="B486" s="28"/>
      <c r="C486" s="28"/>
      <c r="D486" s="28"/>
      <c r="E486" s="49"/>
      <c r="F486" s="49"/>
      <c r="G486" s="49"/>
      <c r="I486" s="28"/>
      <c r="J486" s="28"/>
      <c r="K486" s="28"/>
      <c r="L486" s="28"/>
      <c r="M486" s="28"/>
      <c r="N486" s="54"/>
      <c r="O486" s="50"/>
    </row>
    <row r="487">
      <c r="A487" s="28"/>
      <c r="B487" s="28"/>
      <c r="C487" s="28"/>
      <c r="D487" s="28"/>
      <c r="E487" s="49"/>
      <c r="F487" s="49"/>
      <c r="G487" s="49"/>
      <c r="I487" s="28"/>
      <c r="J487" s="28"/>
      <c r="K487" s="28"/>
      <c r="L487" s="28"/>
      <c r="M487" s="28"/>
      <c r="N487" s="54"/>
      <c r="O487" s="50"/>
    </row>
    <row r="488">
      <c r="A488" s="28"/>
      <c r="B488" s="28"/>
      <c r="C488" s="28"/>
      <c r="D488" s="28"/>
      <c r="E488" s="49"/>
      <c r="F488" s="49"/>
      <c r="G488" s="49"/>
      <c r="I488" s="28"/>
      <c r="J488" s="28"/>
      <c r="K488" s="28"/>
      <c r="L488" s="28"/>
      <c r="M488" s="28"/>
      <c r="N488" s="54"/>
      <c r="O488" s="50"/>
    </row>
    <row r="489">
      <c r="A489" s="28"/>
      <c r="B489" s="28"/>
      <c r="C489" s="28"/>
      <c r="D489" s="28"/>
      <c r="E489" s="49"/>
      <c r="F489" s="49"/>
      <c r="G489" s="49"/>
      <c r="I489" s="28"/>
      <c r="J489" s="28"/>
      <c r="K489" s="28"/>
      <c r="L489" s="28"/>
      <c r="M489" s="28"/>
      <c r="N489" s="54"/>
      <c r="O489" s="50"/>
    </row>
    <row r="490">
      <c r="A490" s="28"/>
      <c r="B490" s="28"/>
      <c r="C490" s="28"/>
      <c r="D490" s="28"/>
      <c r="E490" s="49"/>
      <c r="F490" s="49"/>
      <c r="G490" s="49"/>
      <c r="I490" s="28"/>
      <c r="J490" s="28"/>
      <c r="K490" s="28"/>
      <c r="L490" s="28"/>
      <c r="M490" s="28"/>
      <c r="N490" s="54"/>
      <c r="O490" s="50"/>
    </row>
    <row r="491">
      <c r="A491" s="28"/>
      <c r="B491" s="28"/>
      <c r="C491" s="28"/>
      <c r="D491" s="28"/>
      <c r="E491" s="49"/>
      <c r="F491" s="49"/>
      <c r="G491" s="49"/>
      <c r="I491" s="28"/>
      <c r="J491" s="28"/>
      <c r="K491" s="28"/>
      <c r="L491" s="28"/>
      <c r="M491" s="28"/>
      <c r="N491" s="54"/>
      <c r="O491" s="50"/>
    </row>
    <row r="492">
      <c r="A492" s="28"/>
      <c r="B492" s="28"/>
      <c r="C492" s="28"/>
      <c r="D492" s="28"/>
      <c r="E492" s="49"/>
      <c r="F492" s="49"/>
      <c r="G492" s="49"/>
      <c r="I492" s="28"/>
      <c r="J492" s="28"/>
      <c r="K492" s="28"/>
      <c r="L492" s="28"/>
      <c r="M492" s="28"/>
      <c r="N492" s="54"/>
      <c r="O492" s="50"/>
    </row>
    <row r="493">
      <c r="A493" s="28"/>
      <c r="B493" s="28"/>
      <c r="C493" s="28"/>
      <c r="D493" s="28"/>
      <c r="E493" s="49"/>
      <c r="F493" s="49"/>
      <c r="G493" s="49"/>
      <c r="I493" s="28"/>
      <c r="J493" s="28"/>
      <c r="K493" s="28"/>
      <c r="L493" s="28"/>
      <c r="M493" s="28"/>
      <c r="N493" s="54"/>
      <c r="O493" s="50"/>
    </row>
    <row r="494">
      <c r="A494" s="28"/>
      <c r="B494" s="28"/>
      <c r="C494" s="28"/>
      <c r="D494" s="28"/>
      <c r="E494" s="49"/>
      <c r="F494" s="49"/>
      <c r="G494" s="49"/>
      <c r="I494" s="28"/>
      <c r="J494" s="28"/>
      <c r="K494" s="28"/>
      <c r="L494" s="28"/>
      <c r="M494" s="28"/>
      <c r="N494" s="54"/>
      <c r="O494" s="50"/>
    </row>
    <row r="495">
      <c r="A495" s="28"/>
      <c r="B495" s="28"/>
      <c r="C495" s="28"/>
      <c r="D495" s="28"/>
      <c r="E495" s="49"/>
      <c r="F495" s="49"/>
      <c r="G495" s="49"/>
      <c r="I495" s="28"/>
      <c r="J495" s="28"/>
      <c r="K495" s="28"/>
      <c r="L495" s="28"/>
      <c r="M495" s="28"/>
      <c r="N495" s="54"/>
      <c r="O495" s="50"/>
    </row>
    <row r="496">
      <c r="A496" s="28"/>
      <c r="B496" s="28"/>
      <c r="C496" s="28"/>
      <c r="D496" s="28"/>
      <c r="E496" s="49"/>
      <c r="F496" s="49"/>
      <c r="G496" s="49"/>
      <c r="I496" s="28"/>
      <c r="J496" s="28"/>
      <c r="K496" s="28"/>
      <c r="L496" s="28"/>
      <c r="M496" s="28"/>
      <c r="N496" s="54"/>
      <c r="O496" s="50"/>
    </row>
    <row r="497">
      <c r="A497" s="28"/>
      <c r="B497" s="28"/>
      <c r="C497" s="28"/>
      <c r="D497" s="28"/>
      <c r="E497" s="49"/>
      <c r="F497" s="49"/>
      <c r="G497" s="49"/>
      <c r="I497" s="28"/>
      <c r="J497" s="28"/>
      <c r="K497" s="28"/>
      <c r="L497" s="28"/>
      <c r="M497" s="28"/>
      <c r="N497" s="54"/>
      <c r="O497" s="50"/>
    </row>
    <row r="498">
      <c r="A498" s="28"/>
      <c r="B498" s="28"/>
      <c r="C498" s="28"/>
      <c r="D498" s="28"/>
      <c r="E498" s="49"/>
      <c r="F498" s="49"/>
      <c r="G498" s="49"/>
      <c r="I498" s="28"/>
      <c r="J498" s="28"/>
      <c r="K498" s="28"/>
      <c r="L498" s="28"/>
      <c r="M498" s="28"/>
      <c r="N498" s="54"/>
      <c r="O498" s="50"/>
    </row>
    <row r="499">
      <c r="A499" s="28"/>
      <c r="B499" s="28"/>
      <c r="C499" s="28"/>
      <c r="D499" s="28"/>
      <c r="E499" s="49"/>
      <c r="F499" s="49"/>
      <c r="G499" s="49"/>
      <c r="I499" s="28"/>
      <c r="J499" s="28"/>
      <c r="K499" s="28"/>
      <c r="L499" s="28"/>
      <c r="M499" s="28"/>
      <c r="N499" s="54"/>
      <c r="O499" s="50"/>
    </row>
    <row r="500">
      <c r="A500" s="28"/>
      <c r="B500" s="28"/>
      <c r="C500" s="28"/>
      <c r="D500" s="28"/>
      <c r="E500" s="49"/>
      <c r="F500" s="49"/>
      <c r="G500" s="49"/>
      <c r="I500" s="28"/>
      <c r="J500" s="28"/>
      <c r="K500" s="28"/>
      <c r="L500" s="28"/>
      <c r="M500" s="28"/>
      <c r="N500" s="54"/>
      <c r="O500" s="50"/>
    </row>
    <row r="501">
      <c r="A501" s="28"/>
      <c r="B501" s="28"/>
      <c r="C501" s="28"/>
      <c r="D501" s="28"/>
      <c r="E501" s="49"/>
      <c r="F501" s="49"/>
      <c r="G501" s="49"/>
      <c r="I501" s="28"/>
      <c r="J501" s="28"/>
      <c r="K501" s="28"/>
      <c r="L501" s="28"/>
      <c r="M501" s="28"/>
      <c r="N501" s="54"/>
      <c r="O501" s="50"/>
    </row>
    <row r="502">
      <c r="A502" s="28"/>
      <c r="B502" s="28"/>
      <c r="C502" s="28"/>
      <c r="D502" s="28"/>
      <c r="E502" s="49"/>
      <c r="F502" s="49"/>
      <c r="G502" s="49"/>
      <c r="I502" s="28"/>
      <c r="J502" s="28"/>
      <c r="K502" s="28"/>
      <c r="L502" s="28"/>
      <c r="M502" s="28"/>
      <c r="N502" s="54"/>
      <c r="O502" s="50"/>
    </row>
    <row r="503">
      <c r="A503" s="28"/>
      <c r="B503" s="28"/>
      <c r="C503" s="28"/>
      <c r="D503" s="28"/>
      <c r="E503" s="49"/>
      <c r="F503" s="49"/>
      <c r="G503" s="49"/>
      <c r="I503" s="28"/>
      <c r="J503" s="28"/>
      <c r="K503" s="28"/>
      <c r="L503" s="28"/>
      <c r="M503" s="28"/>
      <c r="N503" s="54"/>
      <c r="O503" s="50"/>
    </row>
    <row r="504">
      <c r="A504" s="28"/>
      <c r="B504" s="28"/>
      <c r="C504" s="28"/>
      <c r="D504" s="28"/>
      <c r="E504" s="49"/>
      <c r="F504" s="49"/>
      <c r="G504" s="49"/>
      <c r="I504" s="28"/>
      <c r="J504" s="28"/>
      <c r="K504" s="28"/>
      <c r="L504" s="28"/>
      <c r="M504" s="28"/>
      <c r="N504" s="54"/>
      <c r="O504" s="50"/>
    </row>
    <row r="505">
      <c r="A505" s="28"/>
      <c r="B505" s="28"/>
      <c r="C505" s="28"/>
      <c r="D505" s="28"/>
      <c r="E505" s="49"/>
      <c r="F505" s="49"/>
      <c r="G505" s="49"/>
      <c r="I505" s="28"/>
      <c r="J505" s="28"/>
      <c r="K505" s="28"/>
      <c r="L505" s="28"/>
      <c r="M505" s="28"/>
      <c r="N505" s="54"/>
      <c r="O505" s="50"/>
    </row>
    <row r="506">
      <c r="A506" s="28"/>
      <c r="B506" s="28"/>
      <c r="C506" s="28"/>
      <c r="D506" s="28"/>
      <c r="E506" s="49"/>
      <c r="F506" s="49"/>
      <c r="G506" s="49"/>
      <c r="I506" s="28"/>
      <c r="J506" s="28"/>
      <c r="K506" s="28"/>
      <c r="L506" s="28"/>
      <c r="M506" s="28"/>
      <c r="N506" s="54"/>
      <c r="O506" s="50"/>
    </row>
    <row r="507">
      <c r="A507" s="28"/>
      <c r="B507" s="28"/>
      <c r="C507" s="28"/>
      <c r="D507" s="28"/>
      <c r="E507" s="49"/>
      <c r="F507" s="49"/>
      <c r="G507" s="49"/>
      <c r="I507" s="28"/>
      <c r="J507" s="28"/>
      <c r="K507" s="28"/>
      <c r="L507" s="28"/>
      <c r="M507" s="28"/>
      <c r="N507" s="54"/>
      <c r="O507" s="50"/>
    </row>
    <row r="508">
      <c r="A508" s="28"/>
      <c r="B508" s="28"/>
      <c r="C508" s="28"/>
      <c r="D508" s="28"/>
      <c r="E508" s="49"/>
      <c r="F508" s="49"/>
      <c r="G508" s="49"/>
      <c r="I508" s="28"/>
      <c r="J508" s="28"/>
      <c r="K508" s="28"/>
      <c r="L508" s="28"/>
      <c r="M508" s="28"/>
      <c r="N508" s="54"/>
      <c r="O508" s="50"/>
    </row>
    <row r="509">
      <c r="A509" s="28"/>
      <c r="B509" s="28"/>
      <c r="C509" s="28"/>
      <c r="D509" s="28"/>
      <c r="E509" s="49"/>
      <c r="F509" s="49"/>
      <c r="G509" s="49"/>
      <c r="I509" s="28"/>
      <c r="J509" s="28"/>
      <c r="K509" s="28"/>
      <c r="L509" s="28"/>
      <c r="M509" s="28"/>
      <c r="N509" s="54"/>
      <c r="O509" s="50"/>
    </row>
    <row r="510">
      <c r="A510" s="28"/>
      <c r="B510" s="28"/>
      <c r="C510" s="28"/>
      <c r="D510" s="28"/>
      <c r="E510" s="49"/>
      <c r="F510" s="49"/>
      <c r="G510" s="49"/>
      <c r="I510" s="28"/>
      <c r="J510" s="28"/>
      <c r="K510" s="28"/>
      <c r="L510" s="28"/>
      <c r="M510" s="28"/>
      <c r="N510" s="54"/>
      <c r="O510" s="50"/>
    </row>
    <row r="511">
      <c r="A511" s="28"/>
      <c r="B511" s="28"/>
      <c r="C511" s="28"/>
      <c r="D511" s="28"/>
      <c r="E511" s="49"/>
      <c r="F511" s="49"/>
      <c r="G511" s="49"/>
      <c r="I511" s="28"/>
      <c r="J511" s="28"/>
      <c r="K511" s="28"/>
      <c r="L511" s="28"/>
      <c r="M511" s="28"/>
      <c r="N511" s="54"/>
      <c r="O511" s="50"/>
    </row>
    <row r="512">
      <c r="A512" s="28"/>
      <c r="B512" s="28"/>
      <c r="C512" s="28"/>
      <c r="D512" s="28"/>
      <c r="E512" s="49"/>
      <c r="F512" s="49"/>
      <c r="G512" s="49"/>
      <c r="I512" s="28"/>
      <c r="J512" s="28"/>
      <c r="K512" s="28"/>
      <c r="L512" s="28"/>
      <c r="M512" s="28"/>
      <c r="N512" s="54"/>
      <c r="O512" s="50"/>
    </row>
    <row r="513">
      <c r="A513" s="28"/>
      <c r="B513" s="28"/>
      <c r="C513" s="28"/>
      <c r="D513" s="28"/>
      <c r="E513" s="49"/>
      <c r="F513" s="49"/>
      <c r="G513" s="49"/>
      <c r="I513" s="28"/>
      <c r="J513" s="28"/>
      <c r="K513" s="28"/>
      <c r="L513" s="28"/>
      <c r="M513" s="28"/>
      <c r="N513" s="54"/>
      <c r="O513" s="50"/>
    </row>
    <row r="514">
      <c r="A514" s="28"/>
      <c r="B514" s="28"/>
      <c r="C514" s="28"/>
      <c r="D514" s="28"/>
      <c r="E514" s="49"/>
      <c r="F514" s="49"/>
      <c r="G514" s="49"/>
      <c r="I514" s="28"/>
      <c r="J514" s="28"/>
      <c r="K514" s="28"/>
      <c r="L514" s="28"/>
      <c r="M514" s="28"/>
      <c r="N514" s="54"/>
      <c r="O514" s="50"/>
    </row>
    <row r="515">
      <c r="A515" s="28"/>
      <c r="B515" s="28"/>
      <c r="C515" s="28"/>
      <c r="D515" s="28"/>
      <c r="E515" s="49"/>
      <c r="F515" s="49"/>
      <c r="G515" s="49"/>
      <c r="I515" s="28"/>
      <c r="J515" s="28"/>
      <c r="K515" s="28"/>
      <c r="L515" s="28"/>
      <c r="M515" s="28"/>
      <c r="N515" s="54"/>
      <c r="O515" s="50"/>
    </row>
    <row r="516">
      <c r="A516" s="28"/>
      <c r="B516" s="28"/>
      <c r="C516" s="28"/>
      <c r="D516" s="28"/>
      <c r="E516" s="49"/>
      <c r="F516" s="49"/>
      <c r="G516" s="49"/>
      <c r="I516" s="28"/>
      <c r="J516" s="28"/>
      <c r="K516" s="28"/>
      <c r="L516" s="28"/>
      <c r="M516" s="28"/>
      <c r="N516" s="54"/>
      <c r="O516" s="50"/>
    </row>
    <row r="517">
      <c r="A517" s="28"/>
      <c r="B517" s="28"/>
      <c r="C517" s="28"/>
      <c r="D517" s="28"/>
      <c r="E517" s="49"/>
      <c r="F517" s="49"/>
      <c r="G517" s="49"/>
      <c r="I517" s="28"/>
      <c r="J517" s="28"/>
      <c r="K517" s="28"/>
      <c r="L517" s="28"/>
      <c r="M517" s="28"/>
      <c r="N517" s="54"/>
      <c r="O517" s="50"/>
    </row>
    <row r="518">
      <c r="A518" s="28"/>
      <c r="B518" s="28"/>
      <c r="C518" s="28"/>
      <c r="D518" s="28"/>
      <c r="E518" s="49"/>
      <c r="F518" s="49"/>
      <c r="G518" s="49"/>
      <c r="I518" s="28"/>
      <c r="J518" s="28"/>
      <c r="K518" s="28"/>
      <c r="L518" s="28"/>
      <c r="M518" s="28"/>
      <c r="N518" s="54"/>
      <c r="O518" s="50"/>
    </row>
    <row r="519">
      <c r="A519" s="28"/>
      <c r="B519" s="28"/>
      <c r="C519" s="28"/>
      <c r="D519" s="28"/>
      <c r="E519" s="49"/>
      <c r="F519" s="49"/>
      <c r="G519" s="49"/>
      <c r="I519" s="28"/>
      <c r="J519" s="28"/>
      <c r="K519" s="28"/>
      <c r="L519" s="28"/>
      <c r="M519" s="28"/>
      <c r="N519" s="54"/>
      <c r="O519" s="50"/>
    </row>
    <row r="520">
      <c r="A520" s="28"/>
      <c r="B520" s="28"/>
      <c r="C520" s="28"/>
      <c r="D520" s="28"/>
      <c r="E520" s="49"/>
      <c r="F520" s="49"/>
      <c r="G520" s="49"/>
      <c r="I520" s="28"/>
      <c r="J520" s="28"/>
      <c r="K520" s="28"/>
      <c r="L520" s="28"/>
      <c r="M520" s="28"/>
      <c r="N520" s="54"/>
      <c r="O520" s="50"/>
    </row>
    <row r="521">
      <c r="A521" s="28"/>
      <c r="B521" s="28"/>
      <c r="C521" s="28"/>
      <c r="D521" s="28"/>
      <c r="E521" s="49"/>
      <c r="F521" s="49"/>
      <c r="G521" s="49"/>
      <c r="I521" s="28"/>
      <c r="J521" s="28"/>
      <c r="K521" s="28"/>
      <c r="L521" s="28"/>
      <c r="M521" s="28"/>
      <c r="N521" s="54"/>
      <c r="O521" s="50"/>
    </row>
    <row r="522">
      <c r="A522" s="28"/>
      <c r="B522" s="28"/>
      <c r="C522" s="28"/>
      <c r="D522" s="28"/>
      <c r="E522" s="49"/>
      <c r="F522" s="49"/>
      <c r="G522" s="49"/>
      <c r="I522" s="28"/>
      <c r="J522" s="28"/>
      <c r="K522" s="28"/>
      <c r="L522" s="28"/>
      <c r="M522" s="28"/>
      <c r="N522" s="54"/>
      <c r="O522" s="50"/>
    </row>
    <row r="523">
      <c r="A523" s="28"/>
      <c r="B523" s="28"/>
      <c r="C523" s="28"/>
      <c r="D523" s="28"/>
      <c r="E523" s="49"/>
      <c r="F523" s="49"/>
      <c r="G523" s="49"/>
      <c r="I523" s="28"/>
      <c r="J523" s="28"/>
      <c r="K523" s="28"/>
      <c r="L523" s="28"/>
      <c r="M523" s="28"/>
      <c r="N523" s="54"/>
      <c r="O523" s="50"/>
    </row>
    <row r="524">
      <c r="A524" s="28"/>
      <c r="B524" s="28"/>
      <c r="C524" s="28"/>
      <c r="D524" s="28"/>
      <c r="E524" s="49"/>
      <c r="F524" s="49"/>
      <c r="G524" s="49"/>
      <c r="I524" s="28"/>
      <c r="J524" s="28"/>
      <c r="K524" s="28"/>
      <c r="L524" s="28"/>
      <c r="M524" s="28"/>
      <c r="N524" s="54"/>
      <c r="O524" s="50"/>
    </row>
    <row r="525">
      <c r="A525" s="28"/>
      <c r="B525" s="28"/>
      <c r="C525" s="28"/>
      <c r="D525" s="28"/>
      <c r="E525" s="49"/>
      <c r="F525" s="49"/>
      <c r="G525" s="49"/>
      <c r="I525" s="28"/>
      <c r="J525" s="28"/>
      <c r="K525" s="28"/>
      <c r="L525" s="28"/>
      <c r="M525" s="28"/>
      <c r="N525" s="54"/>
      <c r="O525" s="50"/>
    </row>
    <row r="526">
      <c r="A526" s="28"/>
      <c r="B526" s="28"/>
      <c r="C526" s="28"/>
      <c r="D526" s="28"/>
      <c r="E526" s="49"/>
      <c r="F526" s="49"/>
      <c r="G526" s="49"/>
      <c r="I526" s="28"/>
      <c r="J526" s="28"/>
      <c r="K526" s="28"/>
      <c r="L526" s="28"/>
      <c r="M526" s="28"/>
      <c r="N526" s="54"/>
      <c r="O526" s="50"/>
    </row>
    <row r="527">
      <c r="A527" s="28"/>
      <c r="B527" s="28"/>
      <c r="C527" s="28"/>
      <c r="D527" s="28"/>
      <c r="E527" s="49"/>
      <c r="F527" s="49"/>
      <c r="G527" s="49"/>
      <c r="I527" s="28"/>
      <c r="J527" s="28"/>
      <c r="K527" s="28"/>
      <c r="L527" s="28"/>
      <c r="M527" s="28"/>
      <c r="N527" s="54"/>
      <c r="O527" s="50"/>
    </row>
    <row r="528">
      <c r="A528" s="28"/>
      <c r="B528" s="28"/>
      <c r="C528" s="28"/>
      <c r="D528" s="28"/>
      <c r="E528" s="49"/>
      <c r="F528" s="49"/>
      <c r="G528" s="49"/>
      <c r="I528" s="28"/>
      <c r="J528" s="28"/>
      <c r="K528" s="28"/>
      <c r="L528" s="28"/>
      <c r="M528" s="28"/>
      <c r="N528" s="54"/>
      <c r="O528" s="50"/>
    </row>
    <row r="529">
      <c r="A529" s="28"/>
      <c r="B529" s="28"/>
      <c r="C529" s="28"/>
      <c r="D529" s="28"/>
      <c r="E529" s="49"/>
      <c r="F529" s="49"/>
      <c r="G529" s="49"/>
      <c r="I529" s="28"/>
      <c r="J529" s="28"/>
      <c r="K529" s="28"/>
      <c r="L529" s="28"/>
      <c r="M529" s="28"/>
      <c r="N529" s="54"/>
      <c r="O529" s="50"/>
    </row>
    <row r="530">
      <c r="A530" s="28"/>
      <c r="B530" s="28"/>
      <c r="C530" s="28"/>
      <c r="D530" s="28"/>
      <c r="E530" s="49"/>
      <c r="F530" s="49"/>
      <c r="G530" s="49"/>
      <c r="I530" s="28"/>
      <c r="J530" s="28"/>
      <c r="K530" s="28"/>
      <c r="L530" s="28"/>
      <c r="M530" s="28"/>
      <c r="N530" s="54"/>
      <c r="O530" s="50"/>
    </row>
    <row r="531">
      <c r="A531" s="28"/>
      <c r="B531" s="28"/>
      <c r="C531" s="28"/>
      <c r="D531" s="28"/>
      <c r="E531" s="49"/>
      <c r="F531" s="49"/>
      <c r="G531" s="49"/>
      <c r="I531" s="28"/>
      <c r="J531" s="28"/>
      <c r="K531" s="28"/>
      <c r="L531" s="28"/>
      <c r="M531" s="28"/>
      <c r="N531" s="54"/>
      <c r="O531" s="50"/>
    </row>
    <row r="532">
      <c r="A532" s="28"/>
      <c r="B532" s="28"/>
      <c r="C532" s="28"/>
      <c r="D532" s="28"/>
      <c r="E532" s="49"/>
      <c r="F532" s="49"/>
      <c r="G532" s="49"/>
      <c r="I532" s="28"/>
      <c r="J532" s="28"/>
      <c r="K532" s="28"/>
      <c r="L532" s="28"/>
      <c r="M532" s="28"/>
      <c r="N532" s="54"/>
      <c r="O532" s="50"/>
    </row>
    <row r="533">
      <c r="A533" s="28"/>
      <c r="B533" s="28"/>
      <c r="C533" s="28"/>
      <c r="D533" s="28"/>
      <c r="E533" s="49"/>
      <c r="F533" s="49"/>
      <c r="G533" s="49"/>
      <c r="I533" s="28"/>
      <c r="J533" s="28"/>
      <c r="K533" s="28"/>
      <c r="L533" s="28"/>
      <c r="M533" s="28"/>
      <c r="N533" s="54"/>
      <c r="O533" s="50"/>
    </row>
    <row r="534">
      <c r="A534" s="28"/>
      <c r="B534" s="28"/>
      <c r="C534" s="28"/>
      <c r="D534" s="28"/>
      <c r="E534" s="49"/>
      <c r="F534" s="49"/>
      <c r="G534" s="49"/>
      <c r="I534" s="28"/>
      <c r="J534" s="28"/>
      <c r="K534" s="28"/>
      <c r="L534" s="28"/>
      <c r="M534" s="28"/>
      <c r="N534" s="54"/>
      <c r="O534" s="50"/>
    </row>
    <row r="535">
      <c r="A535" s="28"/>
      <c r="B535" s="28"/>
      <c r="C535" s="28"/>
      <c r="D535" s="28"/>
      <c r="E535" s="49"/>
      <c r="F535" s="49"/>
      <c r="G535" s="49"/>
      <c r="I535" s="28"/>
      <c r="J535" s="28"/>
      <c r="K535" s="28"/>
      <c r="L535" s="28"/>
      <c r="M535" s="28"/>
      <c r="N535" s="54"/>
      <c r="O535" s="50"/>
    </row>
    <row r="536">
      <c r="A536" s="28"/>
      <c r="B536" s="28"/>
      <c r="C536" s="28"/>
      <c r="D536" s="28"/>
      <c r="E536" s="49"/>
      <c r="F536" s="49"/>
      <c r="G536" s="49"/>
      <c r="I536" s="28"/>
      <c r="J536" s="28"/>
      <c r="K536" s="28"/>
      <c r="L536" s="28"/>
      <c r="M536" s="28"/>
      <c r="N536" s="54"/>
      <c r="O536" s="50"/>
    </row>
    <row r="537">
      <c r="A537" s="28"/>
      <c r="B537" s="28"/>
      <c r="C537" s="28"/>
      <c r="D537" s="28"/>
      <c r="E537" s="49"/>
      <c r="F537" s="49"/>
      <c r="G537" s="49"/>
      <c r="I537" s="28"/>
      <c r="J537" s="28"/>
      <c r="K537" s="28"/>
      <c r="L537" s="28"/>
      <c r="M537" s="28"/>
      <c r="N537" s="54"/>
      <c r="O537" s="50"/>
    </row>
    <row r="538">
      <c r="A538" s="28"/>
      <c r="B538" s="28"/>
      <c r="C538" s="28"/>
      <c r="D538" s="28"/>
      <c r="E538" s="49"/>
      <c r="F538" s="49"/>
      <c r="G538" s="49"/>
      <c r="I538" s="28"/>
      <c r="J538" s="28"/>
      <c r="K538" s="28"/>
      <c r="L538" s="28"/>
      <c r="M538" s="28"/>
      <c r="N538" s="54"/>
      <c r="O538" s="50"/>
    </row>
    <row r="539">
      <c r="A539" s="28"/>
      <c r="B539" s="28"/>
      <c r="C539" s="28"/>
      <c r="D539" s="28"/>
      <c r="E539" s="49"/>
      <c r="F539" s="49"/>
      <c r="G539" s="49"/>
      <c r="I539" s="28"/>
      <c r="J539" s="28"/>
      <c r="K539" s="28"/>
      <c r="L539" s="28"/>
      <c r="M539" s="28"/>
      <c r="N539" s="54"/>
      <c r="O539" s="50"/>
    </row>
    <row r="540">
      <c r="A540" s="28"/>
      <c r="B540" s="28"/>
      <c r="C540" s="28"/>
      <c r="D540" s="28"/>
      <c r="E540" s="49"/>
      <c r="F540" s="49"/>
      <c r="G540" s="49"/>
      <c r="I540" s="28"/>
      <c r="J540" s="28"/>
      <c r="K540" s="28"/>
      <c r="L540" s="28"/>
      <c r="M540" s="28"/>
      <c r="N540" s="54"/>
      <c r="O540" s="50"/>
    </row>
    <row r="541">
      <c r="A541" s="28"/>
      <c r="B541" s="28"/>
      <c r="C541" s="28"/>
      <c r="D541" s="28"/>
      <c r="E541" s="49"/>
      <c r="F541" s="49"/>
      <c r="G541" s="49"/>
      <c r="I541" s="28"/>
      <c r="J541" s="28"/>
      <c r="K541" s="28"/>
      <c r="L541" s="28"/>
      <c r="M541" s="28"/>
      <c r="N541" s="54"/>
      <c r="O541" s="50"/>
    </row>
    <row r="542">
      <c r="A542" s="28"/>
      <c r="B542" s="28"/>
      <c r="C542" s="28"/>
      <c r="D542" s="28"/>
      <c r="E542" s="49"/>
      <c r="F542" s="49"/>
      <c r="G542" s="49"/>
      <c r="I542" s="28"/>
      <c r="J542" s="28"/>
      <c r="K542" s="28"/>
      <c r="L542" s="28"/>
      <c r="M542" s="28"/>
      <c r="N542" s="54"/>
      <c r="O542" s="50"/>
    </row>
    <row r="543">
      <c r="A543" s="28"/>
      <c r="B543" s="28"/>
      <c r="C543" s="28"/>
      <c r="D543" s="28"/>
      <c r="E543" s="49"/>
      <c r="F543" s="49"/>
      <c r="G543" s="49"/>
      <c r="I543" s="28"/>
      <c r="J543" s="28"/>
      <c r="K543" s="28"/>
      <c r="L543" s="28"/>
      <c r="M543" s="28"/>
      <c r="N543" s="54"/>
      <c r="O543" s="50"/>
    </row>
    <row r="544">
      <c r="A544" s="28"/>
      <c r="B544" s="28"/>
      <c r="C544" s="28"/>
      <c r="D544" s="28"/>
      <c r="E544" s="49"/>
      <c r="F544" s="49"/>
      <c r="G544" s="49"/>
      <c r="I544" s="28"/>
      <c r="J544" s="28"/>
      <c r="K544" s="28"/>
      <c r="L544" s="28"/>
      <c r="M544" s="28"/>
      <c r="N544" s="54"/>
      <c r="O544" s="50"/>
    </row>
    <row r="545">
      <c r="A545" s="28"/>
      <c r="B545" s="28"/>
      <c r="C545" s="28"/>
      <c r="D545" s="28"/>
      <c r="E545" s="49"/>
      <c r="F545" s="49"/>
      <c r="G545" s="49"/>
      <c r="I545" s="28"/>
      <c r="J545" s="28"/>
      <c r="K545" s="28"/>
      <c r="L545" s="28"/>
      <c r="M545" s="28"/>
      <c r="N545" s="54"/>
      <c r="O545" s="50"/>
    </row>
    <row r="546">
      <c r="A546" s="28"/>
      <c r="B546" s="28"/>
      <c r="C546" s="28"/>
      <c r="D546" s="28"/>
      <c r="E546" s="49"/>
      <c r="F546" s="49"/>
      <c r="G546" s="49"/>
      <c r="I546" s="28"/>
      <c r="J546" s="28"/>
      <c r="K546" s="28"/>
      <c r="L546" s="28"/>
      <c r="M546" s="28"/>
      <c r="N546" s="54"/>
      <c r="O546" s="50"/>
    </row>
    <row r="547">
      <c r="A547" s="28"/>
      <c r="B547" s="28"/>
      <c r="C547" s="28"/>
      <c r="D547" s="28"/>
      <c r="E547" s="49"/>
      <c r="F547" s="49"/>
      <c r="G547" s="49"/>
      <c r="I547" s="28"/>
      <c r="J547" s="28"/>
      <c r="K547" s="28"/>
      <c r="L547" s="28"/>
      <c r="M547" s="28"/>
      <c r="N547" s="54"/>
      <c r="O547" s="50"/>
    </row>
    <row r="548">
      <c r="A548" s="28"/>
      <c r="B548" s="28"/>
      <c r="C548" s="28"/>
      <c r="D548" s="28"/>
      <c r="E548" s="49"/>
      <c r="F548" s="49"/>
      <c r="G548" s="49"/>
      <c r="I548" s="28"/>
      <c r="J548" s="28"/>
      <c r="K548" s="28"/>
      <c r="L548" s="28"/>
      <c r="M548" s="28"/>
      <c r="N548" s="54"/>
      <c r="O548" s="50"/>
    </row>
    <row r="549">
      <c r="A549" s="28"/>
      <c r="B549" s="28"/>
      <c r="C549" s="28"/>
      <c r="D549" s="28"/>
      <c r="E549" s="49"/>
      <c r="F549" s="49"/>
      <c r="G549" s="49"/>
      <c r="I549" s="28"/>
      <c r="J549" s="28"/>
      <c r="K549" s="28"/>
      <c r="L549" s="28"/>
      <c r="M549" s="28"/>
      <c r="N549" s="54"/>
      <c r="O549" s="50"/>
    </row>
    <row r="550">
      <c r="A550" s="28"/>
      <c r="B550" s="28"/>
      <c r="C550" s="28"/>
      <c r="D550" s="28"/>
      <c r="E550" s="49"/>
      <c r="F550" s="49"/>
      <c r="G550" s="49"/>
      <c r="I550" s="28"/>
      <c r="J550" s="28"/>
      <c r="K550" s="28"/>
      <c r="L550" s="28"/>
      <c r="M550" s="28"/>
      <c r="N550" s="54"/>
      <c r="O550" s="50"/>
    </row>
    <row r="551">
      <c r="A551" s="28"/>
      <c r="B551" s="28"/>
      <c r="C551" s="28"/>
      <c r="D551" s="28"/>
      <c r="E551" s="49"/>
      <c r="F551" s="49"/>
      <c r="G551" s="49"/>
      <c r="I551" s="28"/>
      <c r="J551" s="28"/>
      <c r="K551" s="28"/>
      <c r="L551" s="28"/>
      <c r="M551" s="28"/>
      <c r="N551" s="54"/>
      <c r="O551" s="50"/>
    </row>
    <row r="552">
      <c r="A552" s="28"/>
      <c r="B552" s="28"/>
      <c r="C552" s="28"/>
      <c r="D552" s="28"/>
      <c r="E552" s="49"/>
      <c r="F552" s="49"/>
      <c r="G552" s="49"/>
      <c r="I552" s="28"/>
      <c r="J552" s="28"/>
      <c r="K552" s="28"/>
      <c r="L552" s="28"/>
      <c r="M552" s="28"/>
      <c r="N552" s="54"/>
      <c r="O552" s="50"/>
    </row>
    <row r="553">
      <c r="A553" s="28"/>
      <c r="B553" s="28"/>
      <c r="C553" s="28"/>
      <c r="D553" s="28"/>
      <c r="E553" s="49"/>
      <c r="F553" s="49"/>
      <c r="G553" s="49"/>
      <c r="I553" s="28"/>
      <c r="J553" s="28"/>
      <c r="K553" s="28"/>
      <c r="L553" s="28"/>
      <c r="M553" s="28"/>
      <c r="N553" s="54"/>
      <c r="O553" s="50"/>
    </row>
    <row r="554">
      <c r="A554" s="28"/>
      <c r="B554" s="28"/>
      <c r="C554" s="28"/>
      <c r="D554" s="28"/>
      <c r="E554" s="49"/>
      <c r="F554" s="49"/>
      <c r="G554" s="49"/>
      <c r="I554" s="28"/>
      <c r="J554" s="28"/>
      <c r="K554" s="28"/>
      <c r="L554" s="28"/>
      <c r="M554" s="28"/>
      <c r="N554" s="54"/>
      <c r="O554" s="50"/>
    </row>
    <row r="555">
      <c r="A555" s="28"/>
      <c r="B555" s="28"/>
      <c r="C555" s="28"/>
      <c r="D555" s="28"/>
      <c r="E555" s="49"/>
      <c r="F555" s="49"/>
      <c r="G555" s="49"/>
      <c r="I555" s="28"/>
      <c r="J555" s="28"/>
      <c r="K555" s="28"/>
      <c r="L555" s="28"/>
      <c r="M555" s="28"/>
      <c r="N555" s="54"/>
      <c r="O555" s="50"/>
    </row>
    <row r="556">
      <c r="A556" s="28"/>
      <c r="B556" s="28"/>
      <c r="C556" s="28"/>
      <c r="D556" s="28"/>
      <c r="E556" s="49"/>
      <c r="F556" s="49"/>
      <c r="G556" s="49"/>
      <c r="I556" s="28"/>
      <c r="J556" s="28"/>
      <c r="K556" s="28"/>
      <c r="L556" s="28"/>
      <c r="M556" s="28"/>
      <c r="N556" s="54"/>
      <c r="O556" s="50"/>
    </row>
    <row r="557">
      <c r="A557" s="28"/>
      <c r="B557" s="28"/>
      <c r="C557" s="28"/>
      <c r="D557" s="28"/>
      <c r="E557" s="49"/>
      <c r="F557" s="49"/>
      <c r="G557" s="49"/>
      <c r="I557" s="28"/>
      <c r="J557" s="28"/>
      <c r="K557" s="28"/>
      <c r="L557" s="28"/>
      <c r="M557" s="28"/>
      <c r="N557" s="54"/>
      <c r="O557" s="50"/>
    </row>
    <row r="558">
      <c r="A558" s="28"/>
      <c r="B558" s="28"/>
      <c r="C558" s="28"/>
      <c r="D558" s="28"/>
      <c r="E558" s="49"/>
      <c r="F558" s="49"/>
      <c r="G558" s="49"/>
      <c r="I558" s="28"/>
      <c r="J558" s="28"/>
      <c r="K558" s="28"/>
      <c r="L558" s="28"/>
      <c r="M558" s="28"/>
      <c r="N558" s="54"/>
      <c r="O558" s="50"/>
    </row>
    <row r="559">
      <c r="A559" s="28"/>
      <c r="B559" s="28"/>
      <c r="C559" s="28"/>
      <c r="D559" s="28"/>
      <c r="E559" s="49"/>
      <c r="F559" s="49"/>
      <c r="G559" s="49"/>
      <c r="I559" s="28"/>
      <c r="J559" s="28"/>
      <c r="K559" s="28"/>
      <c r="L559" s="28"/>
      <c r="M559" s="28"/>
      <c r="N559" s="54"/>
      <c r="O559" s="50"/>
    </row>
    <row r="560">
      <c r="A560" s="28"/>
      <c r="B560" s="28"/>
      <c r="C560" s="28"/>
      <c r="D560" s="28"/>
      <c r="E560" s="49"/>
      <c r="F560" s="49"/>
      <c r="G560" s="49"/>
      <c r="I560" s="28"/>
      <c r="J560" s="28"/>
      <c r="K560" s="28"/>
      <c r="L560" s="28"/>
      <c r="M560" s="28"/>
      <c r="N560" s="54"/>
      <c r="O560" s="50"/>
    </row>
    <row r="561">
      <c r="A561" s="28"/>
      <c r="B561" s="28"/>
      <c r="C561" s="28"/>
      <c r="D561" s="28"/>
      <c r="E561" s="49"/>
      <c r="F561" s="49"/>
      <c r="G561" s="49"/>
      <c r="I561" s="28"/>
      <c r="J561" s="28"/>
      <c r="K561" s="28"/>
      <c r="L561" s="28"/>
      <c r="M561" s="28"/>
      <c r="N561" s="54"/>
      <c r="O561" s="50"/>
    </row>
    <row r="562">
      <c r="A562" s="28"/>
      <c r="B562" s="28"/>
      <c r="C562" s="28"/>
      <c r="D562" s="28"/>
      <c r="E562" s="49"/>
      <c r="F562" s="49"/>
      <c r="G562" s="49"/>
      <c r="I562" s="28"/>
      <c r="J562" s="28"/>
      <c r="K562" s="28"/>
      <c r="L562" s="28"/>
      <c r="M562" s="28"/>
      <c r="N562" s="54"/>
      <c r="O562" s="50"/>
    </row>
    <row r="563">
      <c r="A563" s="28"/>
      <c r="B563" s="28"/>
      <c r="C563" s="28"/>
      <c r="D563" s="28"/>
      <c r="E563" s="49"/>
      <c r="F563" s="49"/>
      <c r="G563" s="49"/>
      <c r="I563" s="28"/>
      <c r="J563" s="28"/>
      <c r="K563" s="28"/>
      <c r="L563" s="28"/>
      <c r="M563" s="28"/>
      <c r="N563" s="54"/>
      <c r="O563" s="50"/>
    </row>
    <row r="564">
      <c r="A564" s="28"/>
      <c r="B564" s="28"/>
      <c r="C564" s="28"/>
      <c r="D564" s="28"/>
      <c r="E564" s="49"/>
      <c r="F564" s="49"/>
      <c r="G564" s="49"/>
      <c r="I564" s="28"/>
      <c r="J564" s="28"/>
      <c r="K564" s="28"/>
      <c r="L564" s="28"/>
      <c r="M564" s="28"/>
      <c r="N564" s="54"/>
      <c r="O564" s="50"/>
    </row>
    <row r="565">
      <c r="A565" s="28"/>
      <c r="B565" s="28"/>
      <c r="C565" s="28"/>
      <c r="D565" s="28"/>
      <c r="E565" s="49"/>
      <c r="F565" s="49"/>
      <c r="G565" s="49"/>
      <c r="I565" s="28"/>
      <c r="J565" s="28"/>
      <c r="K565" s="28"/>
      <c r="L565" s="28"/>
      <c r="M565" s="28"/>
      <c r="N565" s="54"/>
      <c r="O565" s="50"/>
    </row>
    <row r="566">
      <c r="A566" s="28"/>
      <c r="B566" s="28"/>
      <c r="C566" s="28"/>
      <c r="D566" s="28"/>
      <c r="E566" s="49"/>
      <c r="F566" s="49"/>
      <c r="G566" s="49"/>
      <c r="I566" s="28"/>
      <c r="J566" s="28"/>
      <c r="K566" s="28"/>
      <c r="L566" s="28"/>
      <c r="M566" s="28"/>
      <c r="N566" s="54"/>
      <c r="O566" s="50"/>
    </row>
    <row r="567">
      <c r="A567" s="28"/>
      <c r="B567" s="28"/>
      <c r="C567" s="28"/>
      <c r="D567" s="28"/>
      <c r="E567" s="49"/>
      <c r="F567" s="49"/>
      <c r="G567" s="49"/>
      <c r="I567" s="28"/>
      <c r="J567" s="28"/>
      <c r="K567" s="28"/>
      <c r="L567" s="28"/>
      <c r="M567" s="28"/>
      <c r="N567" s="54"/>
      <c r="O567" s="50"/>
    </row>
    <row r="568">
      <c r="A568" s="28"/>
      <c r="B568" s="28"/>
      <c r="C568" s="28"/>
      <c r="D568" s="28"/>
      <c r="E568" s="49"/>
      <c r="F568" s="49"/>
      <c r="G568" s="49"/>
      <c r="I568" s="28"/>
      <c r="J568" s="28"/>
      <c r="K568" s="28"/>
      <c r="L568" s="28"/>
      <c r="M568" s="28"/>
      <c r="N568" s="54"/>
      <c r="O568" s="50"/>
    </row>
    <row r="569">
      <c r="A569" s="28"/>
      <c r="B569" s="28"/>
      <c r="C569" s="28"/>
      <c r="D569" s="28"/>
      <c r="E569" s="49"/>
      <c r="F569" s="49"/>
      <c r="G569" s="49"/>
      <c r="I569" s="28"/>
      <c r="J569" s="28"/>
      <c r="K569" s="28"/>
      <c r="L569" s="28"/>
      <c r="M569" s="28"/>
      <c r="N569" s="54"/>
      <c r="O569" s="50"/>
    </row>
    <row r="570">
      <c r="A570" s="28"/>
      <c r="B570" s="28"/>
      <c r="C570" s="28"/>
      <c r="D570" s="28"/>
      <c r="E570" s="49"/>
      <c r="F570" s="49"/>
      <c r="G570" s="49"/>
      <c r="I570" s="28"/>
      <c r="J570" s="28"/>
      <c r="K570" s="28"/>
      <c r="L570" s="28"/>
      <c r="M570" s="28"/>
      <c r="N570" s="54"/>
      <c r="O570" s="50"/>
    </row>
    <row r="571">
      <c r="A571" s="28"/>
      <c r="B571" s="28"/>
      <c r="C571" s="28"/>
      <c r="D571" s="28"/>
      <c r="E571" s="49"/>
      <c r="F571" s="49"/>
      <c r="G571" s="49"/>
      <c r="I571" s="28"/>
      <c r="J571" s="28"/>
      <c r="K571" s="28"/>
      <c r="L571" s="28"/>
      <c r="M571" s="28"/>
      <c r="N571" s="54"/>
      <c r="O571" s="50"/>
    </row>
    <row r="572">
      <c r="A572" s="28"/>
      <c r="B572" s="28"/>
      <c r="C572" s="28"/>
      <c r="D572" s="28"/>
      <c r="E572" s="49"/>
      <c r="F572" s="49"/>
      <c r="G572" s="49"/>
      <c r="I572" s="28"/>
      <c r="J572" s="28"/>
      <c r="K572" s="28"/>
      <c r="L572" s="28"/>
      <c r="M572" s="28"/>
      <c r="N572" s="54"/>
      <c r="O572" s="50"/>
    </row>
    <row r="573">
      <c r="A573" s="28"/>
      <c r="B573" s="28"/>
      <c r="C573" s="28"/>
      <c r="D573" s="28"/>
      <c r="E573" s="49"/>
      <c r="F573" s="49"/>
      <c r="G573" s="49"/>
      <c r="I573" s="28"/>
      <c r="J573" s="28"/>
      <c r="K573" s="28"/>
      <c r="L573" s="28"/>
      <c r="M573" s="28"/>
      <c r="N573" s="54"/>
      <c r="O573" s="50"/>
    </row>
    <row r="574">
      <c r="A574" s="28"/>
      <c r="B574" s="28"/>
      <c r="C574" s="28"/>
      <c r="D574" s="28"/>
      <c r="E574" s="49"/>
      <c r="F574" s="49"/>
      <c r="G574" s="49"/>
      <c r="I574" s="28"/>
      <c r="J574" s="28"/>
      <c r="K574" s="28"/>
      <c r="L574" s="28"/>
      <c r="M574" s="28"/>
      <c r="N574" s="54"/>
      <c r="O574" s="50"/>
    </row>
    <row r="575">
      <c r="A575" s="28"/>
      <c r="B575" s="28"/>
      <c r="C575" s="28"/>
      <c r="D575" s="28"/>
      <c r="E575" s="49"/>
      <c r="F575" s="49"/>
      <c r="G575" s="49"/>
      <c r="I575" s="28"/>
      <c r="J575" s="28"/>
      <c r="K575" s="28"/>
      <c r="L575" s="28"/>
      <c r="M575" s="28"/>
      <c r="N575" s="54"/>
      <c r="O575" s="50"/>
    </row>
    <row r="576">
      <c r="A576" s="28"/>
      <c r="B576" s="28"/>
      <c r="C576" s="28"/>
      <c r="D576" s="28"/>
      <c r="E576" s="49"/>
      <c r="F576" s="49"/>
      <c r="G576" s="49"/>
      <c r="I576" s="28"/>
      <c r="J576" s="28"/>
      <c r="K576" s="28"/>
      <c r="L576" s="28"/>
      <c r="M576" s="28"/>
      <c r="N576" s="54"/>
      <c r="O576" s="50"/>
    </row>
    <row r="577">
      <c r="A577" s="28"/>
      <c r="B577" s="28"/>
      <c r="C577" s="28"/>
      <c r="D577" s="28"/>
      <c r="E577" s="49"/>
      <c r="F577" s="49"/>
      <c r="G577" s="49"/>
      <c r="I577" s="28"/>
      <c r="J577" s="28"/>
      <c r="K577" s="28"/>
      <c r="L577" s="28"/>
      <c r="M577" s="28"/>
      <c r="N577" s="54"/>
      <c r="O577" s="50"/>
    </row>
    <row r="578">
      <c r="A578" s="28"/>
      <c r="B578" s="28"/>
      <c r="C578" s="28"/>
      <c r="D578" s="28"/>
      <c r="E578" s="49"/>
      <c r="F578" s="49"/>
      <c r="G578" s="49"/>
      <c r="I578" s="28"/>
      <c r="J578" s="28"/>
      <c r="K578" s="28"/>
      <c r="L578" s="28"/>
      <c r="M578" s="28"/>
      <c r="N578" s="54"/>
      <c r="O578" s="50"/>
    </row>
    <row r="579">
      <c r="A579" s="28"/>
      <c r="B579" s="28"/>
      <c r="C579" s="28"/>
      <c r="D579" s="28"/>
      <c r="E579" s="49"/>
      <c r="F579" s="49"/>
      <c r="G579" s="49"/>
      <c r="I579" s="28"/>
      <c r="J579" s="28"/>
      <c r="K579" s="28"/>
      <c r="L579" s="28"/>
      <c r="M579" s="28"/>
      <c r="N579" s="54"/>
      <c r="O579" s="50"/>
    </row>
    <row r="580">
      <c r="A580" s="28"/>
      <c r="B580" s="28"/>
      <c r="C580" s="28"/>
      <c r="D580" s="28"/>
      <c r="E580" s="49"/>
      <c r="F580" s="49"/>
      <c r="G580" s="49"/>
      <c r="I580" s="28"/>
      <c r="J580" s="28"/>
      <c r="K580" s="28"/>
      <c r="L580" s="28"/>
      <c r="M580" s="28"/>
      <c r="N580" s="54"/>
      <c r="O580" s="50"/>
    </row>
    <row r="581">
      <c r="A581" s="28"/>
      <c r="B581" s="28"/>
      <c r="C581" s="28"/>
      <c r="D581" s="28"/>
      <c r="E581" s="49"/>
      <c r="F581" s="49"/>
      <c r="G581" s="49"/>
      <c r="I581" s="28"/>
      <c r="J581" s="28"/>
      <c r="K581" s="28"/>
      <c r="L581" s="28"/>
      <c r="M581" s="28"/>
      <c r="N581" s="54"/>
      <c r="O581" s="50"/>
    </row>
    <row r="582">
      <c r="A582" s="28"/>
      <c r="B582" s="28"/>
      <c r="C582" s="28"/>
      <c r="D582" s="28"/>
      <c r="E582" s="49"/>
      <c r="F582" s="49"/>
      <c r="G582" s="49"/>
      <c r="I582" s="28"/>
      <c r="J582" s="28"/>
      <c r="K582" s="28"/>
      <c r="L582" s="28"/>
      <c r="M582" s="28"/>
      <c r="N582" s="54"/>
      <c r="O582" s="50"/>
    </row>
    <row r="583">
      <c r="A583" s="28"/>
      <c r="B583" s="28"/>
      <c r="C583" s="28"/>
      <c r="D583" s="28"/>
      <c r="E583" s="49"/>
      <c r="F583" s="49"/>
      <c r="G583" s="49"/>
      <c r="I583" s="28"/>
      <c r="J583" s="28"/>
      <c r="K583" s="28"/>
      <c r="L583" s="28"/>
      <c r="M583" s="28"/>
      <c r="N583" s="54"/>
      <c r="O583" s="50"/>
    </row>
    <row r="584">
      <c r="A584" s="28"/>
      <c r="B584" s="28"/>
      <c r="C584" s="28"/>
      <c r="D584" s="28"/>
      <c r="E584" s="49"/>
      <c r="F584" s="49"/>
      <c r="G584" s="49"/>
      <c r="I584" s="28"/>
      <c r="J584" s="28"/>
      <c r="K584" s="28"/>
      <c r="L584" s="28"/>
      <c r="M584" s="28"/>
      <c r="N584" s="54"/>
      <c r="O584" s="50"/>
    </row>
    <row r="585">
      <c r="A585" s="28"/>
      <c r="B585" s="28"/>
      <c r="C585" s="28"/>
      <c r="D585" s="28"/>
      <c r="E585" s="49"/>
      <c r="F585" s="49"/>
      <c r="G585" s="49"/>
      <c r="I585" s="28"/>
      <c r="J585" s="28"/>
      <c r="K585" s="28"/>
      <c r="L585" s="28"/>
      <c r="M585" s="28"/>
      <c r="N585" s="54"/>
      <c r="O585" s="50"/>
    </row>
    <row r="586">
      <c r="A586" s="28"/>
      <c r="B586" s="28"/>
      <c r="C586" s="28"/>
      <c r="D586" s="28"/>
      <c r="E586" s="49"/>
      <c r="F586" s="49"/>
      <c r="G586" s="49"/>
      <c r="I586" s="28"/>
      <c r="J586" s="28"/>
      <c r="K586" s="28"/>
      <c r="L586" s="28"/>
      <c r="M586" s="28"/>
      <c r="N586" s="54"/>
      <c r="O586" s="50"/>
    </row>
    <row r="587">
      <c r="A587" s="28"/>
      <c r="B587" s="28"/>
      <c r="C587" s="28"/>
      <c r="D587" s="28"/>
      <c r="E587" s="49"/>
      <c r="F587" s="49"/>
      <c r="G587" s="49"/>
      <c r="I587" s="28"/>
      <c r="J587" s="28"/>
      <c r="K587" s="28"/>
      <c r="L587" s="28"/>
      <c r="M587" s="28"/>
      <c r="N587" s="54"/>
      <c r="O587" s="50"/>
    </row>
    <row r="588">
      <c r="A588" s="28"/>
      <c r="B588" s="28"/>
      <c r="C588" s="28"/>
      <c r="D588" s="28"/>
      <c r="E588" s="49"/>
      <c r="F588" s="49"/>
      <c r="G588" s="49"/>
      <c r="I588" s="28"/>
      <c r="J588" s="28"/>
      <c r="K588" s="28"/>
      <c r="L588" s="28"/>
      <c r="M588" s="28"/>
      <c r="N588" s="54"/>
      <c r="O588" s="50"/>
    </row>
    <row r="589">
      <c r="A589" s="28"/>
      <c r="B589" s="28"/>
      <c r="C589" s="28"/>
      <c r="D589" s="28"/>
      <c r="E589" s="49"/>
      <c r="F589" s="49"/>
      <c r="G589" s="49"/>
      <c r="I589" s="28"/>
      <c r="J589" s="28"/>
      <c r="K589" s="28"/>
      <c r="L589" s="28"/>
      <c r="M589" s="28"/>
      <c r="N589" s="54"/>
      <c r="O589" s="50"/>
    </row>
    <row r="590">
      <c r="A590" s="28"/>
      <c r="B590" s="28"/>
      <c r="C590" s="28"/>
      <c r="D590" s="28"/>
      <c r="E590" s="49"/>
      <c r="F590" s="49"/>
      <c r="G590" s="49"/>
      <c r="I590" s="28"/>
      <c r="J590" s="28"/>
      <c r="K590" s="28"/>
      <c r="L590" s="28"/>
      <c r="M590" s="28"/>
      <c r="N590" s="54"/>
      <c r="O590" s="50"/>
    </row>
    <row r="591">
      <c r="A591" s="28"/>
      <c r="B591" s="28"/>
      <c r="C591" s="28"/>
      <c r="D591" s="28"/>
      <c r="E591" s="49"/>
      <c r="F591" s="49"/>
      <c r="G591" s="49"/>
      <c r="I591" s="28"/>
      <c r="J591" s="28"/>
      <c r="K591" s="28"/>
      <c r="L591" s="28"/>
      <c r="M591" s="28"/>
      <c r="N591" s="54"/>
      <c r="O591" s="50"/>
    </row>
    <row r="592">
      <c r="A592" s="28"/>
      <c r="B592" s="28"/>
      <c r="C592" s="28"/>
      <c r="D592" s="28"/>
      <c r="E592" s="49"/>
      <c r="F592" s="49"/>
      <c r="G592" s="49"/>
      <c r="I592" s="28"/>
      <c r="J592" s="28"/>
      <c r="K592" s="28"/>
      <c r="L592" s="28"/>
      <c r="M592" s="28"/>
      <c r="N592" s="54"/>
      <c r="O592" s="50"/>
    </row>
    <row r="593">
      <c r="A593" s="28"/>
      <c r="B593" s="28"/>
      <c r="C593" s="28"/>
      <c r="D593" s="28"/>
      <c r="E593" s="49"/>
      <c r="F593" s="49"/>
      <c r="G593" s="49"/>
      <c r="I593" s="28"/>
      <c r="J593" s="28"/>
      <c r="K593" s="28"/>
      <c r="L593" s="28"/>
      <c r="M593" s="28"/>
      <c r="N593" s="54"/>
      <c r="O593" s="50"/>
    </row>
    <row r="594">
      <c r="A594" s="28"/>
      <c r="B594" s="28"/>
      <c r="C594" s="28"/>
      <c r="D594" s="28"/>
      <c r="E594" s="49"/>
      <c r="F594" s="49"/>
      <c r="G594" s="49"/>
      <c r="I594" s="28"/>
      <c r="J594" s="28"/>
      <c r="K594" s="28"/>
      <c r="L594" s="28"/>
      <c r="M594" s="28"/>
      <c r="N594" s="54"/>
      <c r="O594" s="50"/>
    </row>
    <row r="595">
      <c r="A595" s="28"/>
      <c r="B595" s="28"/>
      <c r="C595" s="28"/>
      <c r="D595" s="28"/>
      <c r="E595" s="49"/>
      <c r="F595" s="49"/>
      <c r="G595" s="49"/>
      <c r="I595" s="28"/>
      <c r="J595" s="28"/>
      <c r="K595" s="28"/>
      <c r="L595" s="28"/>
      <c r="M595" s="28"/>
      <c r="N595" s="54"/>
      <c r="O595" s="50"/>
    </row>
    <row r="596">
      <c r="A596" s="28"/>
      <c r="B596" s="28"/>
      <c r="C596" s="28"/>
      <c r="D596" s="28"/>
      <c r="E596" s="49"/>
      <c r="F596" s="49"/>
      <c r="G596" s="49"/>
      <c r="I596" s="28"/>
      <c r="J596" s="28"/>
      <c r="K596" s="28"/>
      <c r="L596" s="28"/>
      <c r="M596" s="28"/>
      <c r="N596" s="54"/>
      <c r="O596" s="50"/>
    </row>
    <row r="597">
      <c r="A597" s="28"/>
      <c r="B597" s="28"/>
      <c r="C597" s="28"/>
      <c r="D597" s="28"/>
      <c r="E597" s="49"/>
      <c r="F597" s="49"/>
      <c r="G597" s="49"/>
      <c r="I597" s="28"/>
      <c r="J597" s="28"/>
      <c r="K597" s="28"/>
      <c r="L597" s="28"/>
      <c r="M597" s="28"/>
      <c r="N597" s="54"/>
      <c r="O597" s="50"/>
    </row>
    <row r="598">
      <c r="A598" s="28"/>
      <c r="B598" s="28"/>
      <c r="C598" s="28"/>
      <c r="D598" s="28"/>
      <c r="E598" s="49"/>
      <c r="F598" s="49"/>
      <c r="G598" s="49"/>
      <c r="I598" s="28"/>
      <c r="J598" s="28"/>
      <c r="K598" s="28"/>
      <c r="L598" s="28"/>
      <c r="M598" s="28"/>
      <c r="N598" s="54"/>
      <c r="O598" s="50"/>
    </row>
    <row r="599">
      <c r="A599" s="28"/>
      <c r="B599" s="28"/>
      <c r="C599" s="28"/>
      <c r="D599" s="28"/>
      <c r="E599" s="49"/>
      <c r="F599" s="49"/>
      <c r="G599" s="49"/>
      <c r="I599" s="28"/>
      <c r="J599" s="28"/>
      <c r="K599" s="28"/>
      <c r="L599" s="28"/>
      <c r="M599" s="28"/>
      <c r="N599" s="54"/>
      <c r="O599" s="50"/>
    </row>
    <row r="600">
      <c r="A600" s="28"/>
      <c r="B600" s="28"/>
      <c r="C600" s="28"/>
      <c r="D600" s="28"/>
      <c r="E600" s="49"/>
      <c r="F600" s="49"/>
      <c r="G600" s="49"/>
      <c r="I600" s="28"/>
      <c r="J600" s="28"/>
      <c r="K600" s="28"/>
      <c r="L600" s="28"/>
      <c r="M600" s="28"/>
      <c r="N600" s="54"/>
      <c r="O600" s="50"/>
    </row>
    <row r="601">
      <c r="A601" s="28"/>
      <c r="B601" s="28"/>
      <c r="C601" s="28"/>
      <c r="D601" s="28"/>
      <c r="E601" s="49"/>
      <c r="F601" s="49"/>
      <c r="G601" s="49"/>
      <c r="I601" s="28"/>
      <c r="J601" s="28"/>
      <c r="K601" s="28"/>
      <c r="L601" s="28"/>
      <c r="M601" s="28"/>
      <c r="N601" s="54"/>
      <c r="O601" s="50"/>
    </row>
    <row r="602">
      <c r="A602" s="28"/>
      <c r="B602" s="28"/>
      <c r="C602" s="28"/>
      <c r="D602" s="28"/>
      <c r="E602" s="49"/>
      <c r="F602" s="49"/>
      <c r="G602" s="49"/>
      <c r="I602" s="28"/>
      <c r="J602" s="28"/>
      <c r="K602" s="28"/>
      <c r="L602" s="28"/>
      <c r="M602" s="28"/>
      <c r="N602" s="54"/>
      <c r="O602" s="50"/>
    </row>
    <row r="603">
      <c r="A603" s="28"/>
      <c r="B603" s="28"/>
      <c r="C603" s="28"/>
      <c r="D603" s="28"/>
      <c r="E603" s="49"/>
      <c r="F603" s="49"/>
      <c r="G603" s="49"/>
      <c r="I603" s="28"/>
      <c r="J603" s="28"/>
      <c r="K603" s="28"/>
      <c r="L603" s="28"/>
      <c r="M603" s="28"/>
      <c r="N603" s="54"/>
      <c r="O603" s="50"/>
    </row>
    <row r="604">
      <c r="A604" s="28"/>
      <c r="B604" s="28"/>
      <c r="C604" s="28"/>
      <c r="D604" s="28"/>
      <c r="E604" s="49"/>
      <c r="F604" s="49"/>
      <c r="G604" s="49"/>
      <c r="I604" s="28"/>
      <c r="J604" s="28"/>
      <c r="K604" s="28"/>
      <c r="L604" s="28"/>
      <c r="M604" s="28"/>
      <c r="N604" s="54"/>
      <c r="O604" s="50"/>
    </row>
    <row r="605">
      <c r="A605" s="28"/>
      <c r="B605" s="28"/>
      <c r="C605" s="28"/>
      <c r="D605" s="28"/>
      <c r="E605" s="49"/>
      <c r="F605" s="49"/>
      <c r="G605" s="49"/>
      <c r="I605" s="28"/>
      <c r="J605" s="28"/>
      <c r="K605" s="28"/>
      <c r="L605" s="28"/>
      <c r="M605" s="28"/>
      <c r="N605" s="54"/>
      <c r="O605" s="50"/>
    </row>
    <row r="606">
      <c r="A606" s="28"/>
      <c r="B606" s="28"/>
      <c r="C606" s="28"/>
      <c r="D606" s="28"/>
      <c r="E606" s="49"/>
      <c r="F606" s="49"/>
      <c r="G606" s="49"/>
      <c r="I606" s="28"/>
      <c r="J606" s="28"/>
      <c r="K606" s="28"/>
      <c r="L606" s="28"/>
      <c r="M606" s="28"/>
      <c r="N606" s="54"/>
      <c r="O606" s="50"/>
    </row>
    <row r="607">
      <c r="A607" s="28"/>
      <c r="B607" s="28"/>
      <c r="C607" s="28"/>
      <c r="D607" s="28"/>
      <c r="E607" s="49"/>
      <c r="F607" s="49"/>
      <c r="G607" s="49"/>
      <c r="I607" s="28"/>
      <c r="J607" s="28"/>
      <c r="K607" s="28"/>
      <c r="L607" s="28"/>
      <c r="M607" s="28"/>
      <c r="N607" s="54"/>
      <c r="O607" s="50"/>
    </row>
    <row r="608">
      <c r="A608" s="28"/>
      <c r="B608" s="28"/>
      <c r="C608" s="28"/>
      <c r="D608" s="28"/>
      <c r="E608" s="49"/>
      <c r="F608" s="49"/>
      <c r="G608" s="49"/>
      <c r="I608" s="28"/>
      <c r="J608" s="28"/>
      <c r="K608" s="28"/>
      <c r="L608" s="28"/>
      <c r="M608" s="28"/>
      <c r="N608" s="54"/>
      <c r="O608" s="50"/>
    </row>
    <row r="609">
      <c r="A609" s="28"/>
      <c r="B609" s="28"/>
      <c r="C609" s="28"/>
      <c r="D609" s="28"/>
      <c r="E609" s="49"/>
      <c r="F609" s="49"/>
      <c r="G609" s="49"/>
      <c r="I609" s="28"/>
      <c r="J609" s="28"/>
      <c r="K609" s="28"/>
      <c r="L609" s="28"/>
      <c r="M609" s="28"/>
      <c r="N609" s="54"/>
      <c r="O609" s="50"/>
    </row>
    <row r="610">
      <c r="A610" s="28"/>
      <c r="B610" s="28"/>
      <c r="C610" s="28"/>
      <c r="D610" s="28"/>
      <c r="E610" s="49"/>
      <c r="F610" s="49"/>
      <c r="G610" s="49"/>
      <c r="I610" s="28"/>
      <c r="J610" s="28"/>
      <c r="K610" s="28"/>
      <c r="L610" s="28"/>
      <c r="M610" s="28"/>
      <c r="N610" s="54"/>
      <c r="O610" s="50"/>
    </row>
    <row r="611">
      <c r="A611" s="28"/>
      <c r="B611" s="28"/>
      <c r="C611" s="28"/>
      <c r="D611" s="28"/>
      <c r="E611" s="49"/>
      <c r="F611" s="49"/>
      <c r="G611" s="49"/>
      <c r="I611" s="28"/>
      <c r="J611" s="28"/>
      <c r="K611" s="28"/>
      <c r="L611" s="28"/>
      <c r="M611" s="28"/>
      <c r="N611" s="54"/>
      <c r="O611" s="50"/>
    </row>
    <row r="612">
      <c r="A612" s="28"/>
      <c r="B612" s="28"/>
      <c r="C612" s="28"/>
      <c r="D612" s="28"/>
      <c r="E612" s="49"/>
      <c r="F612" s="49"/>
      <c r="G612" s="49"/>
      <c r="I612" s="28"/>
      <c r="J612" s="28"/>
      <c r="K612" s="28"/>
      <c r="L612" s="28"/>
      <c r="M612" s="28"/>
      <c r="N612" s="54"/>
      <c r="O612" s="50"/>
    </row>
    <row r="613">
      <c r="A613" s="28"/>
      <c r="B613" s="28"/>
      <c r="C613" s="28"/>
      <c r="D613" s="28"/>
      <c r="E613" s="49"/>
      <c r="F613" s="49"/>
      <c r="G613" s="49"/>
      <c r="I613" s="28"/>
      <c r="J613" s="28"/>
      <c r="K613" s="28"/>
      <c r="L613" s="28"/>
      <c r="M613" s="28"/>
      <c r="N613" s="54"/>
      <c r="O613" s="50"/>
    </row>
    <row r="614">
      <c r="A614" s="28"/>
      <c r="B614" s="28"/>
      <c r="C614" s="28"/>
      <c r="D614" s="28"/>
      <c r="E614" s="49"/>
      <c r="F614" s="49"/>
      <c r="G614" s="49"/>
      <c r="I614" s="28"/>
      <c r="J614" s="28"/>
      <c r="K614" s="28"/>
      <c r="L614" s="28"/>
      <c r="M614" s="28"/>
      <c r="N614" s="54"/>
      <c r="O614" s="50"/>
    </row>
    <row r="615">
      <c r="A615" s="28"/>
      <c r="B615" s="28"/>
      <c r="C615" s="28"/>
      <c r="D615" s="28"/>
      <c r="E615" s="49"/>
      <c r="F615" s="49"/>
      <c r="G615" s="49"/>
      <c r="I615" s="28"/>
      <c r="J615" s="28"/>
      <c r="K615" s="28"/>
      <c r="L615" s="28"/>
      <c r="M615" s="28"/>
      <c r="N615" s="54"/>
      <c r="O615" s="50"/>
    </row>
    <row r="616">
      <c r="A616" s="28"/>
      <c r="B616" s="28"/>
      <c r="C616" s="28"/>
      <c r="D616" s="28"/>
      <c r="E616" s="49"/>
      <c r="F616" s="49"/>
      <c r="G616" s="49"/>
      <c r="I616" s="28"/>
      <c r="J616" s="28"/>
      <c r="K616" s="28"/>
      <c r="L616" s="28"/>
      <c r="M616" s="28"/>
      <c r="N616" s="54"/>
      <c r="O616" s="50"/>
    </row>
    <row r="617">
      <c r="A617" s="28"/>
      <c r="B617" s="28"/>
      <c r="C617" s="28"/>
      <c r="D617" s="28"/>
      <c r="E617" s="49"/>
      <c r="F617" s="49"/>
      <c r="G617" s="49"/>
      <c r="I617" s="28"/>
      <c r="J617" s="28"/>
      <c r="K617" s="28"/>
      <c r="L617" s="28"/>
      <c r="M617" s="28"/>
      <c r="N617" s="54"/>
      <c r="O617" s="50"/>
    </row>
    <row r="618">
      <c r="A618" s="28"/>
      <c r="B618" s="28"/>
      <c r="C618" s="28"/>
      <c r="D618" s="28"/>
      <c r="E618" s="49"/>
      <c r="F618" s="49"/>
      <c r="G618" s="49"/>
      <c r="I618" s="28"/>
      <c r="J618" s="28"/>
      <c r="K618" s="28"/>
      <c r="L618" s="28"/>
      <c r="M618" s="28"/>
      <c r="N618" s="54"/>
      <c r="O618" s="50"/>
    </row>
    <row r="619">
      <c r="A619" s="28"/>
      <c r="B619" s="28"/>
      <c r="C619" s="28"/>
      <c r="D619" s="28"/>
      <c r="E619" s="49"/>
      <c r="F619" s="49"/>
      <c r="G619" s="49"/>
      <c r="I619" s="28"/>
      <c r="J619" s="28"/>
      <c r="K619" s="28"/>
      <c r="L619" s="28"/>
      <c r="M619" s="28"/>
      <c r="N619" s="54"/>
      <c r="O619" s="50"/>
    </row>
    <row r="620">
      <c r="A620" s="28"/>
      <c r="B620" s="28"/>
      <c r="C620" s="28"/>
      <c r="D620" s="28"/>
      <c r="E620" s="49"/>
      <c r="F620" s="49"/>
      <c r="G620" s="49"/>
      <c r="I620" s="28"/>
      <c r="J620" s="28"/>
      <c r="K620" s="28"/>
      <c r="L620" s="28"/>
      <c r="M620" s="28"/>
      <c r="N620" s="54"/>
      <c r="O620" s="50"/>
    </row>
    <row r="621">
      <c r="A621" s="28"/>
      <c r="B621" s="28"/>
      <c r="C621" s="28"/>
      <c r="D621" s="28"/>
      <c r="E621" s="49"/>
      <c r="F621" s="49"/>
      <c r="G621" s="49"/>
      <c r="I621" s="28"/>
      <c r="J621" s="28"/>
      <c r="K621" s="28"/>
      <c r="L621" s="28"/>
      <c r="M621" s="28"/>
      <c r="N621" s="54"/>
      <c r="O621" s="50"/>
    </row>
    <row r="622">
      <c r="A622" s="28"/>
      <c r="B622" s="28"/>
      <c r="C622" s="28"/>
      <c r="D622" s="28"/>
      <c r="E622" s="49"/>
      <c r="F622" s="49"/>
      <c r="G622" s="49"/>
      <c r="I622" s="28"/>
      <c r="J622" s="28"/>
      <c r="K622" s="28"/>
      <c r="L622" s="28"/>
      <c r="M622" s="28"/>
      <c r="N622" s="54"/>
      <c r="O622" s="50"/>
    </row>
    <row r="623">
      <c r="A623" s="28"/>
      <c r="B623" s="28"/>
      <c r="C623" s="28"/>
      <c r="D623" s="28"/>
      <c r="E623" s="49"/>
      <c r="F623" s="49"/>
      <c r="G623" s="49"/>
      <c r="I623" s="28"/>
      <c r="J623" s="28"/>
      <c r="K623" s="28"/>
      <c r="L623" s="28"/>
      <c r="M623" s="28"/>
      <c r="N623" s="54"/>
      <c r="O623" s="50"/>
    </row>
    <row r="624">
      <c r="A624" s="28"/>
      <c r="B624" s="28"/>
      <c r="C624" s="28"/>
      <c r="D624" s="28"/>
      <c r="E624" s="49"/>
      <c r="F624" s="49"/>
      <c r="G624" s="49"/>
      <c r="I624" s="28"/>
      <c r="J624" s="28"/>
      <c r="K624" s="28"/>
      <c r="L624" s="28"/>
      <c r="M624" s="28"/>
      <c r="N624" s="54"/>
      <c r="O624" s="50"/>
    </row>
    <row r="625">
      <c r="A625" s="28"/>
      <c r="B625" s="28"/>
      <c r="C625" s="28"/>
      <c r="D625" s="28"/>
      <c r="E625" s="49"/>
      <c r="F625" s="49"/>
      <c r="G625" s="49"/>
      <c r="I625" s="28"/>
      <c r="J625" s="28"/>
      <c r="K625" s="28"/>
      <c r="L625" s="28"/>
      <c r="M625" s="28"/>
      <c r="N625" s="54"/>
      <c r="O625" s="50"/>
    </row>
    <row r="626">
      <c r="A626" s="28"/>
      <c r="B626" s="28"/>
      <c r="C626" s="28"/>
      <c r="D626" s="28"/>
      <c r="E626" s="49"/>
      <c r="F626" s="49"/>
      <c r="G626" s="49"/>
      <c r="I626" s="28"/>
      <c r="J626" s="28"/>
      <c r="K626" s="28"/>
      <c r="L626" s="28"/>
      <c r="M626" s="28"/>
      <c r="N626" s="54"/>
      <c r="O626" s="50"/>
    </row>
    <row r="627">
      <c r="A627" s="28"/>
      <c r="B627" s="28"/>
      <c r="C627" s="28"/>
      <c r="D627" s="28"/>
      <c r="E627" s="49"/>
      <c r="F627" s="49"/>
      <c r="G627" s="49"/>
      <c r="I627" s="28"/>
      <c r="J627" s="28"/>
      <c r="K627" s="28"/>
      <c r="L627" s="28"/>
      <c r="M627" s="28"/>
      <c r="N627" s="54"/>
      <c r="O627" s="50"/>
    </row>
    <row r="628">
      <c r="A628" s="28"/>
      <c r="B628" s="28"/>
      <c r="C628" s="28"/>
      <c r="D628" s="28"/>
      <c r="E628" s="49"/>
      <c r="F628" s="49"/>
      <c r="G628" s="49"/>
      <c r="I628" s="28"/>
      <c r="J628" s="28"/>
      <c r="K628" s="28"/>
      <c r="L628" s="28"/>
      <c r="M628" s="28"/>
      <c r="N628" s="54"/>
      <c r="O628" s="50"/>
    </row>
    <row r="629">
      <c r="A629" s="28"/>
      <c r="B629" s="28"/>
      <c r="C629" s="28"/>
      <c r="D629" s="28"/>
      <c r="E629" s="49"/>
      <c r="F629" s="49"/>
      <c r="G629" s="49"/>
      <c r="I629" s="28"/>
      <c r="J629" s="28"/>
      <c r="K629" s="28"/>
      <c r="L629" s="28"/>
      <c r="M629" s="28"/>
      <c r="N629" s="54"/>
      <c r="O629" s="50"/>
    </row>
    <row r="630">
      <c r="A630" s="28"/>
      <c r="B630" s="28"/>
      <c r="C630" s="28"/>
      <c r="D630" s="28"/>
      <c r="E630" s="49"/>
      <c r="F630" s="49"/>
      <c r="G630" s="49"/>
      <c r="I630" s="28"/>
      <c r="J630" s="28"/>
      <c r="K630" s="28"/>
      <c r="L630" s="28"/>
      <c r="M630" s="28"/>
      <c r="N630" s="54"/>
      <c r="O630" s="50"/>
    </row>
    <row r="631">
      <c r="A631" s="28"/>
      <c r="B631" s="28"/>
      <c r="C631" s="28"/>
      <c r="D631" s="28"/>
      <c r="E631" s="49"/>
      <c r="F631" s="49"/>
      <c r="G631" s="49"/>
      <c r="I631" s="28"/>
      <c r="J631" s="28"/>
      <c r="K631" s="28"/>
      <c r="L631" s="28"/>
      <c r="M631" s="28"/>
      <c r="N631" s="54"/>
      <c r="O631" s="50"/>
    </row>
    <row r="632">
      <c r="A632" s="28"/>
      <c r="B632" s="28"/>
      <c r="C632" s="28"/>
      <c r="D632" s="28"/>
      <c r="E632" s="49"/>
      <c r="F632" s="49"/>
      <c r="G632" s="49"/>
      <c r="I632" s="28"/>
      <c r="J632" s="28"/>
      <c r="K632" s="28"/>
      <c r="L632" s="28"/>
      <c r="M632" s="28"/>
      <c r="N632" s="54"/>
      <c r="O632" s="50"/>
    </row>
    <row r="633">
      <c r="A633" s="28"/>
      <c r="B633" s="28"/>
      <c r="C633" s="28"/>
      <c r="D633" s="28"/>
      <c r="E633" s="49"/>
      <c r="F633" s="49"/>
      <c r="G633" s="49"/>
      <c r="I633" s="28"/>
      <c r="J633" s="28"/>
      <c r="K633" s="28"/>
      <c r="L633" s="28"/>
      <c r="M633" s="28"/>
      <c r="N633" s="54"/>
      <c r="O633" s="50"/>
    </row>
    <row r="634">
      <c r="A634" s="28"/>
      <c r="B634" s="28"/>
      <c r="C634" s="28"/>
      <c r="D634" s="28"/>
      <c r="E634" s="49"/>
      <c r="F634" s="49"/>
      <c r="G634" s="49"/>
      <c r="I634" s="28"/>
      <c r="J634" s="28"/>
      <c r="K634" s="28"/>
      <c r="L634" s="28"/>
      <c r="M634" s="28"/>
      <c r="N634" s="54"/>
      <c r="O634" s="50"/>
    </row>
    <row r="635">
      <c r="A635" s="28"/>
      <c r="B635" s="28"/>
      <c r="C635" s="28"/>
      <c r="D635" s="28"/>
      <c r="E635" s="49"/>
      <c r="F635" s="49"/>
      <c r="G635" s="49"/>
      <c r="I635" s="28"/>
      <c r="J635" s="28"/>
      <c r="K635" s="28"/>
      <c r="L635" s="28"/>
      <c r="M635" s="28"/>
      <c r="N635" s="54"/>
      <c r="O635" s="50"/>
    </row>
    <row r="636">
      <c r="A636" s="28"/>
      <c r="B636" s="28"/>
      <c r="C636" s="28"/>
      <c r="D636" s="28"/>
      <c r="E636" s="49"/>
      <c r="F636" s="49"/>
      <c r="G636" s="49"/>
      <c r="I636" s="28"/>
      <c r="J636" s="28"/>
      <c r="K636" s="28"/>
      <c r="L636" s="28"/>
      <c r="M636" s="28"/>
      <c r="N636" s="54"/>
      <c r="O636" s="50"/>
    </row>
    <row r="637">
      <c r="A637" s="28"/>
      <c r="B637" s="28"/>
      <c r="C637" s="28"/>
      <c r="D637" s="28"/>
      <c r="E637" s="49"/>
      <c r="F637" s="49"/>
      <c r="G637" s="49"/>
      <c r="I637" s="28"/>
      <c r="J637" s="28"/>
      <c r="K637" s="28"/>
      <c r="L637" s="28"/>
      <c r="M637" s="28"/>
      <c r="N637" s="54"/>
      <c r="O637" s="50"/>
    </row>
    <row r="638">
      <c r="A638" s="28"/>
      <c r="B638" s="28"/>
      <c r="C638" s="28"/>
      <c r="D638" s="28"/>
      <c r="E638" s="49"/>
      <c r="F638" s="49"/>
      <c r="G638" s="49"/>
      <c r="I638" s="28"/>
      <c r="J638" s="28"/>
      <c r="K638" s="28"/>
      <c r="L638" s="28"/>
      <c r="M638" s="28"/>
      <c r="N638" s="54"/>
      <c r="O638" s="50"/>
    </row>
    <row r="639">
      <c r="A639" s="28"/>
      <c r="B639" s="28"/>
      <c r="C639" s="28"/>
      <c r="D639" s="28"/>
      <c r="E639" s="49"/>
      <c r="F639" s="49"/>
      <c r="G639" s="49"/>
      <c r="I639" s="28"/>
      <c r="J639" s="28"/>
      <c r="K639" s="28"/>
      <c r="L639" s="28"/>
      <c r="M639" s="28"/>
      <c r="N639" s="54"/>
      <c r="O639" s="50"/>
    </row>
    <row r="640">
      <c r="A640" s="28"/>
      <c r="B640" s="28"/>
      <c r="C640" s="28"/>
      <c r="D640" s="28"/>
      <c r="E640" s="49"/>
      <c r="F640" s="49"/>
      <c r="G640" s="49"/>
      <c r="I640" s="28"/>
      <c r="J640" s="28"/>
      <c r="K640" s="28"/>
      <c r="L640" s="28"/>
      <c r="M640" s="28"/>
      <c r="N640" s="54"/>
      <c r="O640" s="50"/>
    </row>
    <row r="641">
      <c r="A641" s="28"/>
      <c r="B641" s="28"/>
      <c r="C641" s="28"/>
      <c r="D641" s="28"/>
      <c r="E641" s="49"/>
      <c r="F641" s="49"/>
      <c r="G641" s="49"/>
      <c r="I641" s="28"/>
      <c r="J641" s="28"/>
      <c r="K641" s="28"/>
      <c r="L641" s="28"/>
      <c r="M641" s="28"/>
      <c r="N641" s="54"/>
      <c r="O641" s="50"/>
    </row>
    <row r="642">
      <c r="A642" s="28"/>
      <c r="B642" s="28"/>
      <c r="C642" s="28"/>
      <c r="D642" s="28"/>
      <c r="E642" s="49"/>
      <c r="F642" s="49"/>
      <c r="G642" s="49"/>
      <c r="I642" s="28"/>
      <c r="J642" s="28"/>
      <c r="K642" s="28"/>
      <c r="L642" s="28"/>
      <c r="M642" s="28"/>
      <c r="N642" s="54"/>
      <c r="O642" s="50"/>
    </row>
    <row r="643">
      <c r="A643" s="28"/>
      <c r="B643" s="28"/>
      <c r="C643" s="28"/>
      <c r="D643" s="28"/>
      <c r="E643" s="49"/>
      <c r="F643" s="49"/>
      <c r="G643" s="49"/>
      <c r="I643" s="28"/>
      <c r="J643" s="28"/>
      <c r="K643" s="28"/>
      <c r="L643" s="28"/>
      <c r="M643" s="28"/>
      <c r="N643" s="54"/>
      <c r="O643" s="50"/>
    </row>
    <row r="644">
      <c r="A644" s="28"/>
      <c r="B644" s="28"/>
      <c r="C644" s="28"/>
      <c r="D644" s="28"/>
      <c r="E644" s="49"/>
      <c r="F644" s="49"/>
      <c r="G644" s="49"/>
      <c r="I644" s="28"/>
      <c r="J644" s="28"/>
      <c r="K644" s="28"/>
      <c r="L644" s="28"/>
      <c r="M644" s="28"/>
      <c r="N644" s="54"/>
      <c r="O644" s="50"/>
    </row>
    <row r="645">
      <c r="A645" s="28"/>
      <c r="B645" s="28"/>
      <c r="C645" s="28"/>
      <c r="D645" s="28"/>
      <c r="E645" s="49"/>
      <c r="F645" s="49"/>
      <c r="G645" s="49"/>
      <c r="I645" s="28"/>
      <c r="J645" s="28"/>
      <c r="K645" s="28"/>
      <c r="L645" s="28"/>
      <c r="M645" s="28"/>
      <c r="N645" s="54"/>
      <c r="O645" s="50"/>
    </row>
    <row r="646">
      <c r="A646" s="28"/>
      <c r="B646" s="28"/>
      <c r="C646" s="28"/>
      <c r="D646" s="28"/>
      <c r="E646" s="49"/>
      <c r="F646" s="49"/>
      <c r="G646" s="49"/>
      <c r="I646" s="28"/>
      <c r="J646" s="28"/>
      <c r="K646" s="28"/>
      <c r="L646" s="28"/>
      <c r="M646" s="28"/>
      <c r="N646" s="54"/>
      <c r="O646" s="50"/>
    </row>
    <row r="647">
      <c r="A647" s="28"/>
      <c r="B647" s="28"/>
      <c r="C647" s="28"/>
      <c r="D647" s="28"/>
      <c r="E647" s="49"/>
      <c r="F647" s="49"/>
      <c r="G647" s="49"/>
      <c r="I647" s="28"/>
      <c r="J647" s="28"/>
      <c r="K647" s="28"/>
      <c r="L647" s="28"/>
      <c r="M647" s="28"/>
      <c r="N647" s="54"/>
      <c r="O647" s="50"/>
    </row>
    <row r="648">
      <c r="A648" s="28"/>
      <c r="B648" s="28"/>
      <c r="C648" s="28"/>
      <c r="D648" s="28"/>
      <c r="E648" s="49"/>
      <c r="F648" s="49"/>
      <c r="G648" s="49"/>
      <c r="I648" s="28"/>
      <c r="J648" s="28"/>
      <c r="K648" s="28"/>
      <c r="L648" s="28"/>
      <c r="M648" s="28"/>
      <c r="N648" s="54"/>
      <c r="O648" s="50"/>
    </row>
    <row r="649">
      <c r="A649" s="28"/>
      <c r="B649" s="28"/>
      <c r="C649" s="28"/>
      <c r="D649" s="28"/>
      <c r="E649" s="49"/>
      <c r="F649" s="49"/>
      <c r="G649" s="49"/>
      <c r="I649" s="28"/>
      <c r="J649" s="28"/>
      <c r="K649" s="28"/>
      <c r="L649" s="28"/>
      <c r="M649" s="28"/>
      <c r="N649" s="54"/>
      <c r="O649" s="50"/>
    </row>
    <row r="650">
      <c r="A650" s="28"/>
      <c r="B650" s="28"/>
      <c r="C650" s="28"/>
      <c r="D650" s="28"/>
      <c r="E650" s="49"/>
      <c r="F650" s="49"/>
      <c r="G650" s="49"/>
      <c r="I650" s="28"/>
      <c r="J650" s="28"/>
      <c r="K650" s="28"/>
      <c r="L650" s="28"/>
      <c r="M650" s="28"/>
      <c r="N650" s="54"/>
      <c r="O650" s="50"/>
    </row>
    <row r="651">
      <c r="A651" s="28"/>
      <c r="B651" s="28"/>
      <c r="C651" s="28"/>
      <c r="D651" s="28"/>
      <c r="E651" s="49"/>
      <c r="F651" s="49"/>
      <c r="G651" s="49"/>
      <c r="I651" s="28"/>
      <c r="J651" s="28"/>
      <c r="K651" s="28"/>
      <c r="L651" s="28"/>
      <c r="M651" s="28"/>
      <c r="N651" s="54"/>
      <c r="O651" s="50"/>
    </row>
    <row r="652">
      <c r="A652" s="28"/>
      <c r="B652" s="28"/>
      <c r="C652" s="28"/>
      <c r="D652" s="28"/>
      <c r="E652" s="49"/>
      <c r="F652" s="49"/>
      <c r="G652" s="49"/>
      <c r="I652" s="28"/>
      <c r="J652" s="28"/>
      <c r="K652" s="28"/>
      <c r="L652" s="28"/>
      <c r="M652" s="28"/>
      <c r="N652" s="54"/>
      <c r="O652" s="50"/>
    </row>
    <row r="653">
      <c r="A653" s="28"/>
      <c r="B653" s="28"/>
      <c r="C653" s="28"/>
      <c r="D653" s="28"/>
      <c r="E653" s="49"/>
      <c r="F653" s="49"/>
      <c r="G653" s="49"/>
      <c r="I653" s="28"/>
      <c r="J653" s="28"/>
      <c r="K653" s="28"/>
      <c r="L653" s="28"/>
      <c r="M653" s="28"/>
      <c r="N653" s="54"/>
      <c r="O653" s="50"/>
    </row>
    <row r="654">
      <c r="A654" s="28"/>
      <c r="B654" s="28"/>
      <c r="C654" s="28"/>
      <c r="D654" s="28"/>
      <c r="E654" s="49"/>
      <c r="F654" s="49"/>
      <c r="G654" s="49"/>
      <c r="I654" s="28"/>
      <c r="J654" s="28"/>
      <c r="K654" s="28"/>
      <c r="L654" s="28"/>
      <c r="M654" s="28"/>
      <c r="N654" s="54"/>
      <c r="O654" s="50"/>
    </row>
    <row r="655">
      <c r="A655" s="28"/>
      <c r="B655" s="28"/>
      <c r="C655" s="28"/>
      <c r="D655" s="28"/>
      <c r="E655" s="49"/>
      <c r="F655" s="49"/>
      <c r="G655" s="49"/>
      <c r="I655" s="28"/>
      <c r="J655" s="28"/>
      <c r="K655" s="28"/>
      <c r="L655" s="28"/>
      <c r="M655" s="28"/>
      <c r="N655" s="54"/>
      <c r="O655" s="50"/>
    </row>
    <row r="656">
      <c r="A656" s="28"/>
      <c r="B656" s="28"/>
      <c r="C656" s="28"/>
      <c r="D656" s="28"/>
      <c r="E656" s="49"/>
      <c r="F656" s="49"/>
      <c r="G656" s="49"/>
      <c r="I656" s="28"/>
      <c r="J656" s="28"/>
      <c r="K656" s="28"/>
      <c r="L656" s="28"/>
      <c r="M656" s="28"/>
      <c r="N656" s="54"/>
      <c r="O656" s="50"/>
    </row>
    <row r="657">
      <c r="A657" s="28"/>
      <c r="B657" s="28"/>
      <c r="C657" s="28"/>
      <c r="D657" s="28"/>
      <c r="E657" s="49"/>
      <c r="F657" s="49"/>
      <c r="G657" s="49"/>
      <c r="I657" s="28"/>
      <c r="J657" s="28"/>
      <c r="K657" s="28"/>
      <c r="L657" s="28"/>
      <c r="M657" s="28"/>
      <c r="N657" s="54"/>
      <c r="O657" s="50"/>
    </row>
    <row r="658">
      <c r="A658" s="28"/>
      <c r="B658" s="28"/>
      <c r="C658" s="28"/>
      <c r="D658" s="28"/>
      <c r="E658" s="49"/>
      <c r="F658" s="49"/>
      <c r="G658" s="49"/>
      <c r="I658" s="28"/>
      <c r="J658" s="28"/>
      <c r="K658" s="28"/>
      <c r="L658" s="28"/>
      <c r="M658" s="28"/>
      <c r="N658" s="54"/>
      <c r="O658" s="50"/>
    </row>
    <row r="659">
      <c r="A659" s="28"/>
      <c r="B659" s="28"/>
      <c r="C659" s="28"/>
      <c r="D659" s="28"/>
      <c r="E659" s="49"/>
      <c r="F659" s="49"/>
      <c r="G659" s="49"/>
      <c r="I659" s="28"/>
      <c r="J659" s="28"/>
      <c r="K659" s="28"/>
      <c r="L659" s="28"/>
      <c r="M659" s="28"/>
      <c r="N659" s="54"/>
      <c r="O659" s="50"/>
    </row>
    <row r="660">
      <c r="A660" s="28"/>
      <c r="B660" s="28"/>
      <c r="C660" s="28"/>
      <c r="D660" s="28"/>
      <c r="E660" s="49"/>
      <c r="F660" s="49"/>
      <c r="G660" s="49"/>
      <c r="I660" s="28"/>
      <c r="J660" s="28"/>
      <c r="K660" s="28"/>
      <c r="L660" s="28"/>
      <c r="M660" s="28"/>
      <c r="N660" s="54"/>
      <c r="O660" s="50"/>
    </row>
    <row r="661">
      <c r="A661" s="28"/>
      <c r="B661" s="28"/>
      <c r="C661" s="28"/>
      <c r="D661" s="28"/>
      <c r="E661" s="49"/>
      <c r="F661" s="49"/>
      <c r="G661" s="49"/>
      <c r="I661" s="28"/>
      <c r="J661" s="28"/>
      <c r="K661" s="28"/>
      <c r="L661" s="28"/>
      <c r="M661" s="28"/>
      <c r="N661" s="54"/>
      <c r="O661" s="50"/>
    </row>
    <row r="662">
      <c r="A662" s="28"/>
      <c r="B662" s="28"/>
      <c r="C662" s="28"/>
      <c r="D662" s="28"/>
      <c r="E662" s="49"/>
      <c r="F662" s="49"/>
      <c r="G662" s="49"/>
      <c r="I662" s="28"/>
      <c r="J662" s="28"/>
      <c r="K662" s="28"/>
      <c r="L662" s="28"/>
      <c r="M662" s="28"/>
      <c r="N662" s="54"/>
      <c r="O662" s="50"/>
    </row>
    <row r="663">
      <c r="A663" s="28"/>
      <c r="B663" s="28"/>
      <c r="C663" s="28"/>
      <c r="D663" s="28"/>
      <c r="E663" s="49"/>
      <c r="F663" s="49"/>
      <c r="G663" s="49"/>
      <c r="I663" s="28"/>
      <c r="J663" s="28"/>
      <c r="K663" s="28"/>
      <c r="L663" s="28"/>
      <c r="M663" s="28"/>
      <c r="N663" s="54"/>
      <c r="O663" s="50"/>
    </row>
    <row r="664">
      <c r="A664" s="28"/>
      <c r="B664" s="28"/>
      <c r="C664" s="28"/>
      <c r="D664" s="28"/>
      <c r="E664" s="49"/>
      <c r="F664" s="49"/>
      <c r="G664" s="49"/>
      <c r="I664" s="28"/>
      <c r="J664" s="28"/>
      <c r="K664" s="28"/>
      <c r="L664" s="28"/>
      <c r="M664" s="28"/>
      <c r="N664" s="54"/>
      <c r="O664" s="50"/>
    </row>
    <row r="665">
      <c r="A665" s="28"/>
      <c r="B665" s="28"/>
      <c r="C665" s="28"/>
      <c r="D665" s="28"/>
      <c r="E665" s="49"/>
      <c r="F665" s="49"/>
      <c r="G665" s="49"/>
      <c r="I665" s="28"/>
      <c r="J665" s="28"/>
      <c r="K665" s="28"/>
      <c r="L665" s="28"/>
      <c r="M665" s="28"/>
      <c r="N665" s="54"/>
      <c r="O665" s="50"/>
    </row>
    <row r="666">
      <c r="A666" s="28"/>
      <c r="B666" s="28"/>
      <c r="C666" s="28"/>
      <c r="D666" s="28"/>
      <c r="E666" s="49"/>
      <c r="F666" s="49"/>
      <c r="G666" s="49"/>
      <c r="I666" s="28"/>
      <c r="J666" s="28"/>
      <c r="K666" s="28"/>
      <c r="L666" s="28"/>
      <c r="M666" s="28"/>
      <c r="N666" s="54"/>
      <c r="O666" s="50"/>
    </row>
    <row r="667">
      <c r="A667" s="28"/>
      <c r="B667" s="28"/>
      <c r="C667" s="28"/>
      <c r="D667" s="28"/>
      <c r="E667" s="49"/>
      <c r="F667" s="49"/>
      <c r="G667" s="49"/>
      <c r="I667" s="28"/>
      <c r="J667" s="28"/>
      <c r="K667" s="28"/>
      <c r="L667" s="28"/>
      <c r="M667" s="28"/>
      <c r="N667" s="54"/>
      <c r="O667" s="50"/>
    </row>
    <row r="668">
      <c r="A668" s="28"/>
      <c r="B668" s="28"/>
      <c r="C668" s="28"/>
      <c r="D668" s="28"/>
      <c r="E668" s="49"/>
      <c r="F668" s="49"/>
      <c r="G668" s="49"/>
      <c r="I668" s="28"/>
      <c r="J668" s="28"/>
      <c r="K668" s="28"/>
      <c r="L668" s="28"/>
      <c r="M668" s="28"/>
      <c r="N668" s="54"/>
      <c r="O668" s="50"/>
    </row>
    <row r="669">
      <c r="A669" s="28"/>
      <c r="B669" s="28"/>
      <c r="C669" s="28"/>
      <c r="D669" s="28"/>
      <c r="E669" s="49"/>
      <c r="F669" s="49"/>
      <c r="G669" s="49"/>
      <c r="I669" s="28"/>
      <c r="J669" s="28"/>
      <c r="K669" s="28"/>
      <c r="L669" s="28"/>
      <c r="M669" s="28"/>
      <c r="N669" s="54"/>
      <c r="O669" s="50"/>
    </row>
    <row r="670">
      <c r="A670" s="28"/>
      <c r="B670" s="28"/>
      <c r="C670" s="28"/>
      <c r="D670" s="28"/>
      <c r="E670" s="49"/>
      <c r="F670" s="49"/>
      <c r="G670" s="49"/>
      <c r="I670" s="28"/>
      <c r="J670" s="28"/>
      <c r="K670" s="28"/>
      <c r="L670" s="28"/>
      <c r="M670" s="28"/>
      <c r="N670" s="54"/>
      <c r="O670" s="50"/>
    </row>
    <row r="671">
      <c r="A671" s="28"/>
      <c r="B671" s="28"/>
      <c r="C671" s="28"/>
      <c r="D671" s="28"/>
      <c r="E671" s="49"/>
      <c r="F671" s="49"/>
      <c r="G671" s="49"/>
      <c r="I671" s="28"/>
      <c r="J671" s="28"/>
      <c r="K671" s="28"/>
      <c r="L671" s="28"/>
      <c r="M671" s="28"/>
      <c r="N671" s="54"/>
      <c r="O671" s="50"/>
    </row>
    <row r="672">
      <c r="A672" s="28"/>
      <c r="B672" s="28"/>
      <c r="C672" s="28"/>
      <c r="D672" s="28"/>
      <c r="E672" s="49"/>
      <c r="F672" s="49"/>
      <c r="G672" s="49"/>
      <c r="I672" s="28"/>
      <c r="J672" s="28"/>
      <c r="K672" s="28"/>
      <c r="L672" s="28"/>
      <c r="M672" s="28"/>
      <c r="N672" s="54"/>
      <c r="O672" s="50"/>
    </row>
    <row r="673">
      <c r="A673" s="28"/>
      <c r="B673" s="28"/>
      <c r="C673" s="28"/>
      <c r="D673" s="28"/>
      <c r="E673" s="49"/>
      <c r="F673" s="49"/>
      <c r="G673" s="49"/>
      <c r="I673" s="28"/>
      <c r="J673" s="28"/>
      <c r="K673" s="28"/>
      <c r="L673" s="28"/>
      <c r="M673" s="28"/>
      <c r="N673" s="54"/>
      <c r="O673" s="50"/>
    </row>
    <row r="674">
      <c r="A674" s="28"/>
      <c r="B674" s="28"/>
      <c r="C674" s="28"/>
      <c r="D674" s="28"/>
      <c r="E674" s="49"/>
      <c r="F674" s="49"/>
      <c r="G674" s="49"/>
      <c r="I674" s="28"/>
      <c r="J674" s="28"/>
      <c r="K674" s="28"/>
      <c r="L674" s="28"/>
      <c r="M674" s="28"/>
      <c r="N674" s="54"/>
      <c r="O674" s="50"/>
    </row>
    <row r="675">
      <c r="A675" s="28"/>
      <c r="B675" s="28"/>
      <c r="C675" s="28"/>
      <c r="D675" s="28"/>
      <c r="E675" s="49"/>
      <c r="F675" s="49"/>
      <c r="G675" s="49"/>
      <c r="I675" s="28"/>
      <c r="J675" s="28"/>
      <c r="K675" s="28"/>
      <c r="L675" s="28"/>
      <c r="M675" s="28"/>
      <c r="N675" s="54"/>
      <c r="O675" s="50"/>
    </row>
    <row r="676">
      <c r="A676" s="28"/>
      <c r="B676" s="28"/>
      <c r="C676" s="28"/>
      <c r="D676" s="28"/>
      <c r="E676" s="49"/>
      <c r="F676" s="49"/>
      <c r="G676" s="49"/>
      <c r="I676" s="28"/>
      <c r="J676" s="28"/>
      <c r="K676" s="28"/>
      <c r="L676" s="28"/>
      <c r="M676" s="28"/>
      <c r="N676" s="54"/>
      <c r="O676" s="50"/>
    </row>
    <row r="677">
      <c r="A677" s="28"/>
      <c r="B677" s="28"/>
      <c r="C677" s="28"/>
      <c r="D677" s="28"/>
      <c r="E677" s="49"/>
      <c r="F677" s="49"/>
      <c r="G677" s="49"/>
      <c r="I677" s="28"/>
      <c r="J677" s="28"/>
      <c r="K677" s="28"/>
      <c r="L677" s="28"/>
      <c r="M677" s="28"/>
      <c r="N677" s="54"/>
      <c r="O677" s="50"/>
    </row>
    <row r="678">
      <c r="A678" s="28"/>
      <c r="B678" s="28"/>
      <c r="C678" s="28"/>
      <c r="D678" s="28"/>
      <c r="E678" s="49"/>
      <c r="F678" s="49"/>
      <c r="G678" s="49"/>
      <c r="I678" s="28"/>
      <c r="J678" s="28"/>
      <c r="K678" s="28"/>
      <c r="L678" s="28"/>
      <c r="M678" s="28"/>
      <c r="N678" s="54"/>
      <c r="O678" s="50"/>
    </row>
    <row r="679">
      <c r="A679" s="28"/>
      <c r="B679" s="28"/>
      <c r="C679" s="28"/>
      <c r="D679" s="28"/>
      <c r="E679" s="49"/>
      <c r="F679" s="49"/>
      <c r="G679" s="49"/>
      <c r="I679" s="28"/>
      <c r="J679" s="28"/>
      <c r="K679" s="28"/>
      <c r="L679" s="28"/>
      <c r="M679" s="28"/>
      <c r="N679" s="54"/>
      <c r="O679" s="50"/>
    </row>
    <row r="680">
      <c r="A680" s="28"/>
      <c r="B680" s="28"/>
      <c r="C680" s="28"/>
      <c r="D680" s="28"/>
      <c r="E680" s="49"/>
      <c r="F680" s="49"/>
      <c r="G680" s="49"/>
      <c r="I680" s="28"/>
      <c r="J680" s="28"/>
      <c r="K680" s="28"/>
      <c r="L680" s="28"/>
      <c r="M680" s="28"/>
      <c r="N680" s="54"/>
      <c r="O680" s="50"/>
    </row>
    <row r="681">
      <c r="A681" s="28"/>
      <c r="B681" s="28"/>
      <c r="C681" s="28"/>
      <c r="D681" s="28"/>
      <c r="E681" s="49"/>
      <c r="F681" s="49"/>
      <c r="G681" s="49"/>
      <c r="I681" s="28"/>
      <c r="J681" s="28"/>
      <c r="K681" s="28"/>
      <c r="L681" s="28"/>
      <c r="M681" s="28"/>
      <c r="N681" s="54"/>
      <c r="O681" s="50"/>
    </row>
    <row r="682">
      <c r="A682" s="28"/>
      <c r="B682" s="28"/>
      <c r="C682" s="28"/>
      <c r="D682" s="28"/>
      <c r="E682" s="49"/>
      <c r="F682" s="49"/>
      <c r="G682" s="49"/>
      <c r="I682" s="28"/>
      <c r="J682" s="28"/>
      <c r="K682" s="28"/>
      <c r="L682" s="28"/>
      <c r="M682" s="28"/>
      <c r="N682" s="54"/>
      <c r="O682" s="50"/>
    </row>
    <row r="683">
      <c r="A683" s="28"/>
      <c r="B683" s="28"/>
      <c r="C683" s="28"/>
      <c r="D683" s="28"/>
      <c r="E683" s="49"/>
      <c r="F683" s="49"/>
      <c r="G683" s="49"/>
      <c r="I683" s="28"/>
      <c r="J683" s="28"/>
      <c r="K683" s="28"/>
      <c r="L683" s="28"/>
      <c r="M683" s="28"/>
      <c r="N683" s="54"/>
      <c r="O683" s="50"/>
    </row>
    <row r="684">
      <c r="A684" s="28"/>
      <c r="B684" s="28"/>
      <c r="C684" s="28"/>
      <c r="D684" s="28"/>
      <c r="E684" s="49"/>
      <c r="F684" s="49"/>
      <c r="G684" s="49"/>
      <c r="I684" s="28"/>
      <c r="J684" s="28"/>
      <c r="K684" s="28"/>
      <c r="L684" s="28"/>
      <c r="M684" s="28"/>
      <c r="N684" s="54"/>
      <c r="O684" s="50"/>
    </row>
    <row r="685">
      <c r="A685" s="28"/>
      <c r="B685" s="28"/>
      <c r="C685" s="28"/>
      <c r="D685" s="28"/>
      <c r="E685" s="49"/>
      <c r="F685" s="49"/>
      <c r="G685" s="49"/>
      <c r="I685" s="28"/>
      <c r="J685" s="28"/>
      <c r="K685" s="28"/>
      <c r="L685" s="28"/>
      <c r="M685" s="28"/>
      <c r="N685" s="54"/>
      <c r="O685" s="50"/>
    </row>
    <row r="686">
      <c r="A686" s="28"/>
      <c r="B686" s="28"/>
      <c r="C686" s="28"/>
      <c r="D686" s="28"/>
      <c r="E686" s="49"/>
      <c r="F686" s="49"/>
      <c r="G686" s="49"/>
      <c r="I686" s="28"/>
      <c r="J686" s="28"/>
      <c r="K686" s="28"/>
      <c r="L686" s="28"/>
      <c r="M686" s="28"/>
      <c r="N686" s="54"/>
      <c r="O686" s="50"/>
    </row>
    <row r="687">
      <c r="A687" s="28"/>
      <c r="B687" s="28"/>
      <c r="C687" s="28"/>
      <c r="D687" s="28"/>
      <c r="E687" s="49"/>
      <c r="F687" s="49"/>
      <c r="G687" s="49"/>
      <c r="I687" s="28"/>
      <c r="J687" s="28"/>
      <c r="K687" s="28"/>
      <c r="L687" s="28"/>
      <c r="M687" s="28"/>
      <c r="N687" s="54"/>
      <c r="O687" s="50"/>
    </row>
    <row r="688">
      <c r="A688" s="28"/>
      <c r="B688" s="28"/>
      <c r="C688" s="28"/>
      <c r="D688" s="28"/>
      <c r="E688" s="49"/>
      <c r="F688" s="49"/>
      <c r="G688" s="49"/>
      <c r="I688" s="28"/>
      <c r="J688" s="28"/>
      <c r="K688" s="28"/>
      <c r="L688" s="28"/>
      <c r="M688" s="28"/>
      <c r="N688" s="54"/>
      <c r="O688" s="50"/>
    </row>
    <row r="689">
      <c r="A689" s="28"/>
      <c r="B689" s="28"/>
      <c r="C689" s="28"/>
      <c r="D689" s="28"/>
      <c r="E689" s="49"/>
      <c r="F689" s="49"/>
      <c r="G689" s="49"/>
      <c r="I689" s="28"/>
      <c r="J689" s="28"/>
      <c r="K689" s="28"/>
      <c r="L689" s="28"/>
      <c r="M689" s="28"/>
      <c r="N689" s="54"/>
      <c r="O689" s="50"/>
    </row>
    <row r="690">
      <c r="A690" s="28"/>
      <c r="B690" s="28"/>
      <c r="C690" s="28"/>
      <c r="D690" s="28"/>
      <c r="E690" s="49"/>
      <c r="F690" s="49"/>
      <c r="G690" s="49"/>
      <c r="I690" s="28"/>
      <c r="J690" s="28"/>
      <c r="K690" s="28"/>
      <c r="L690" s="28"/>
      <c r="M690" s="28"/>
      <c r="N690" s="54"/>
      <c r="O690" s="50"/>
    </row>
    <row r="691">
      <c r="A691" s="28"/>
      <c r="B691" s="28"/>
      <c r="C691" s="28"/>
      <c r="D691" s="28"/>
      <c r="E691" s="49"/>
      <c r="F691" s="49"/>
      <c r="G691" s="49"/>
      <c r="I691" s="28"/>
      <c r="J691" s="28"/>
      <c r="K691" s="28"/>
      <c r="L691" s="28"/>
      <c r="M691" s="28"/>
      <c r="N691" s="54"/>
      <c r="O691" s="50"/>
    </row>
    <row r="692">
      <c r="A692" s="28"/>
      <c r="B692" s="28"/>
      <c r="C692" s="28"/>
      <c r="D692" s="28"/>
      <c r="E692" s="49"/>
      <c r="F692" s="49"/>
      <c r="G692" s="49"/>
      <c r="I692" s="28"/>
      <c r="J692" s="28"/>
      <c r="K692" s="28"/>
      <c r="L692" s="28"/>
      <c r="M692" s="28"/>
      <c r="N692" s="54"/>
      <c r="O692" s="50"/>
    </row>
    <row r="693">
      <c r="A693" s="28"/>
      <c r="B693" s="28"/>
      <c r="C693" s="28"/>
      <c r="D693" s="28"/>
      <c r="E693" s="49"/>
      <c r="F693" s="49"/>
      <c r="G693" s="49"/>
      <c r="I693" s="28"/>
      <c r="J693" s="28"/>
      <c r="K693" s="28"/>
      <c r="L693" s="28"/>
      <c r="M693" s="28"/>
      <c r="N693" s="54"/>
      <c r="O693" s="50"/>
    </row>
    <row r="694">
      <c r="A694" s="28"/>
      <c r="B694" s="28"/>
      <c r="C694" s="28"/>
      <c r="D694" s="28"/>
      <c r="E694" s="49"/>
      <c r="F694" s="49"/>
      <c r="G694" s="49"/>
      <c r="I694" s="28"/>
      <c r="J694" s="28"/>
      <c r="K694" s="28"/>
      <c r="L694" s="28"/>
      <c r="M694" s="28"/>
      <c r="N694" s="54"/>
      <c r="O694" s="50"/>
    </row>
    <row r="695">
      <c r="A695" s="28"/>
      <c r="B695" s="28"/>
      <c r="C695" s="28"/>
      <c r="D695" s="28"/>
      <c r="E695" s="49"/>
      <c r="F695" s="49"/>
      <c r="G695" s="49"/>
      <c r="I695" s="28"/>
      <c r="J695" s="28"/>
      <c r="K695" s="28"/>
      <c r="L695" s="28"/>
      <c r="M695" s="28"/>
      <c r="N695" s="54"/>
      <c r="O695" s="50"/>
    </row>
    <row r="696">
      <c r="A696" s="28"/>
      <c r="B696" s="28"/>
      <c r="C696" s="28"/>
      <c r="D696" s="28"/>
      <c r="E696" s="49"/>
      <c r="F696" s="49"/>
      <c r="G696" s="49"/>
      <c r="I696" s="28"/>
      <c r="J696" s="28"/>
      <c r="K696" s="28"/>
      <c r="L696" s="28"/>
      <c r="M696" s="28"/>
      <c r="N696" s="54"/>
      <c r="O696" s="50"/>
    </row>
    <row r="697">
      <c r="A697" s="28"/>
      <c r="B697" s="28"/>
      <c r="C697" s="28"/>
      <c r="D697" s="28"/>
      <c r="E697" s="49"/>
      <c r="F697" s="49"/>
      <c r="G697" s="49"/>
      <c r="I697" s="28"/>
      <c r="J697" s="28"/>
      <c r="K697" s="28"/>
      <c r="L697" s="28"/>
      <c r="M697" s="28"/>
      <c r="N697" s="54"/>
      <c r="O697" s="50"/>
    </row>
    <row r="698">
      <c r="A698" s="28"/>
      <c r="B698" s="28"/>
      <c r="C698" s="28"/>
      <c r="D698" s="28"/>
      <c r="E698" s="49"/>
      <c r="F698" s="49"/>
      <c r="G698" s="49"/>
      <c r="I698" s="28"/>
      <c r="J698" s="28"/>
      <c r="K698" s="28"/>
      <c r="L698" s="28"/>
      <c r="M698" s="28"/>
      <c r="N698" s="54"/>
      <c r="O698" s="50"/>
    </row>
    <row r="699">
      <c r="A699" s="28"/>
      <c r="B699" s="28"/>
      <c r="C699" s="28"/>
      <c r="D699" s="28"/>
      <c r="E699" s="49"/>
      <c r="F699" s="49"/>
      <c r="G699" s="49"/>
      <c r="I699" s="28"/>
      <c r="J699" s="28"/>
      <c r="K699" s="28"/>
      <c r="L699" s="28"/>
      <c r="M699" s="28"/>
      <c r="N699" s="54"/>
      <c r="O699" s="50"/>
    </row>
    <row r="700">
      <c r="A700" s="28"/>
      <c r="B700" s="28"/>
      <c r="C700" s="28"/>
      <c r="D700" s="28"/>
      <c r="E700" s="49"/>
      <c r="F700" s="49"/>
      <c r="G700" s="49"/>
      <c r="I700" s="28"/>
      <c r="J700" s="28"/>
      <c r="K700" s="28"/>
      <c r="L700" s="28"/>
      <c r="M700" s="28"/>
      <c r="N700" s="54"/>
      <c r="O700" s="50"/>
    </row>
    <row r="701">
      <c r="A701" s="28"/>
      <c r="B701" s="28"/>
      <c r="C701" s="28"/>
      <c r="D701" s="28"/>
      <c r="E701" s="49"/>
      <c r="F701" s="49"/>
      <c r="G701" s="49"/>
      <c r="I701" s="28"/>
      <c r="J701" s="28"/>
      <c r="K701" s="28"/>
      <c r="L701" s="28"/>
      <c r="M701" s="28"/>
      <c r="N701" s="54"/>
      <c r="O701" s="50"/>
    </row>
    <row r="702">
      <c r="A702" s="28"/>
      <c r="B702" s="28"/>
      <c r="C702" s="28"/>
      <c r="D702" s="28"/>
      <c r="E702" s="49"/>
      <c r="F702" s="49"/>
      <c r="G702" s="49"/>
      <c r="I702" s="28"/>
      <c r="J702" s="28"/>
      <c r="K702" s="28"/>
      <c r="L702" s="28"/>
      <c r="M702" s="28"/>
      <c r="N702" s="54"/>
      <c r="O702" s="50"/>
    </row>
    <row r="703">
      <c r="A703" s="28"/>
      <c r="B703" s="28"/>
      <c r="C703" s="28"/>
      <c r="D703" s="28"/>
      <c r="E703" s="49"/>
      <c r="F703" s="49"/>
      <c r="G703" s="49"/>
      <c r="I703" s="28"/>
      <c r="J703" s="28"/>
      <c r="K703" s="28"/>
      <c r="L703" s="28"/>
      <c r="M703" s="28"/>
      <c r="N703" s="54"/>
      <c r="O703" s="50"/>
    </row>
    <row r="704">
      <c r="A704" s="28"/>
      <c r="B704" s="28"/>
      <c r="C704" s="28"/>
      <c r="D704" s="28"/>
      <c r="E704" s="49"/>
      <c r="F704" s="49"/>
      <c r="G704" s="49"/>
      <c r="I704" s="28"/>
      <c r="J704" s="28"/>
      <c r="K704" s="28"/>
      <c r="L704" s="28"/>
      <c r="M704" s="28"/>
      <c r="N704" s="54"/>
      <c r="O704" s="50"/>
    </row>
    <row r="705">
      <c r="A705" s="28"/>
      <c r="B705" s="28"/>
      <c r="C705" s="28"/>
      <c r="D705" s="28"/>
      <c r="E705" s="49"/>
      <c r="F705" s="49"/>
      <c r="G705" s="49"/>
      <c r="I705" s="28"/>
      <c r="J705" s="28"/>
      <c r="K705" s="28"/>
      <c r="L705" s="28"/>
      <c r="M705" s="28"/>
      <c r="N705" s="54"/>
      <c r="O705" s="50"/>
    </row>
    <row r="706">
      <c r="A706" s="28"/>
      <c r="B706" s="28"/>
      <c r="C706" s="28"/>
      <c r="D706" s="28"/>
      <c r="E706" s="49"/>
      <c r="F706" s="49"/>
      <c r="G706" s="49"/>
      <c r="I706" s="28"/>
      <c r="J706" s="28"/>
      <c r="K706" s="28"/>
      <c r="L706" s="28"/>
      <c r="M706" s="28"/>
      <c r="N706" s="54"/>
      <c r="O706" s="50"/>
    </row>
    <row r="707">
      <c r="A707" s="28"/>
      <c r="B707" s="28"/>
      <c r="C707" s="28"/>
      <c r="D707" s="28"/>
      <c r="E707" s="49"/>
      <c r="F707" s="49"/>
      <c r="G707" s="49"/>
      <c r="I707" s="28"/>
      <c r="J707" s="28"/>
      <c r="K707" s="28"/>
      <c r="L707" s="28"/>
      <c r="M707" s="28"/>
      <c r="N707" s="54"/>
      <c r="O707" s="50"/>
    </row>
    <row r="708">
      <c r="A708" s="28"/>
      <c r="B708" s="28"/>
      <c r="C708" s="28"/>
      <c r="D708" s="28"/>
      <c r="E708" s="49"/>
      <c r="F708" s="49"/>
      <c r="G708" s="49"/>
      <c r="I708" s="28"/>
      <c r="J708" s="28"/>
      <c r="K708" s="28"/>
      <c r="L708" s="28"/>
      <c r="M708" s="28"/>
      <c r="N708" s="54"/>
      <c r="O708" s="50"/>
    </row>
    <row r="709">
      <c r="A709" s="28"/>
      <c r="B709" s="28"/>
      <c r="C709" s="28"/>
      <c r="D709" s="28"/>
      <c r="E709" s="49"/>
      <c r="F709" s="49"/>
      <c r="G709" s="49"/>
      <c r="I709" s="28"/>
      <c r="J709" s="28"/>
      <c r="K709" s="28"/>
      <c r="L709" s="28"/>
      <c r="M709" s="28"/>
      <c r="N709" s="54"/>
      <c r="O709" s="50"/>
    </row>
    <row r="710">
      <c r="A710" s="28"/>
      <c r="B710" s="28"/>
      <c r="C710" s="28"/>
      <c r="D710" s="28"/>
      <c r="E710" s="49"/>
      <c r="F710" s="49"/>
      <c r="G710" s="49"/>
      <c r="I710" s="28"/>
      <c r="J710" s="28"/>
      <c r="K710" s="28"/>
      <c r="L710" s="28"/>
      <c r="M710" s="28"/>
      <c r="N710" s="54"/>
      <c r="O710" s="50"/>
    </row>
    <row r="711">
      <c r="A711" s="28"/>
      <c r="B711" s="28"/>
      <c r="C711" s="28"/>
      <c r="D711" s="28"/>
      <c r="E711" s="49"/>
      <c r="F711" s="49"/>
      <c r="G711" s="49"/>
      <c r="I711" s="28"/>
      <c r="J711" s="28"/>
      <c r="K711" s="28"/>
      <c r="L711" s="28"/>
      <c r="M711" s="28"/>
      <c r="N711" s="54"/>
      <c r="O711" s="50"/>
    </row>
    <row r="712">
      <c r="A712" s="28"/>
      <c r="B712" s="28"/>
      <c r="C712" s="28"/>
      <c r="D712" s="28"/>
      <c r="E712" s="49"/>
      <c r="F712" s="49"/>
      <c r="G712" s="49"/>
      <c r="I712" s="28"/>
      <c r="J712" s="28"/>
      <c r="K712" s="28"/>
      <c r="L712" s="28"/>
      <c r="M712" s="28"/>
      <c r="N712" s="54"/>
      <c r="O712" s="50"/>
    </row>
    <row r="713">
      <c r="A713" s="28"/>
      <c r="B713" s="28"/>
      <c r="C713" s="28"/>
      <c r="D713" s="28"/>
      <c r="E713" s="49"/>
      <c r="F713" s="49"/>
      <c r="G713" s="49"/>
      <c r="I713" s="28"/>
      <c r="J713" s="28"/>
      <c r="K713" s="28"/>
      <c r="L713" s="28"/>
      <c r="M713" s="28"/>
      <c r="N713" s="54"/>
      <c r="O713" s="50"/>
    </row>
    <row r="714">
      <c r="A714" s="28"/>
      <c r="B714" s="28"/>
      <c r="C714" s="28"/>
      <c r="D714" s="28"/>
      <c r="E714" s="49"/>
      <c r="F714" s="49"/>
      <c r="G714" s="49"/>
      <c r="I714" s="28"/>
      <c r="J714" s="28"/>
      <c r="K714" s="28"/>
      <c r="L714" s="28"/>
      <c r="M714" s="28"/>
      <c r="N714" s="54"/>
      <c r="O714" s="50"/>
    </row>
    <row r="715">
      <c r="A715" s="28"/>
      <c r="B715" s="28"/>
      <c r="C715" s="28"/>
      <c r="D715" s="28"/>
      <c r="E715" s="49"/>
      <c r="F715" s="49"/>
      <c r="G715" s="49"/>
      <c r="I715" s="28"/>
      <c r="J715" s="28"/>
      <c r="K715" s="28"/>
      <c r="L715" s="28"/>
      <c r="M715" s="28"/>
      <c r="N715" s="54"/>
      <c r="O715" s="50"/>
    </row>
    <row r="716">
      <c r="A716" s="28"/>
      <c r="B716" s="28"/>
      <c r="C716" s="28"/>
      <c r="D716" s="28"/>
      <c r="E716" s="49"/>
      <c r="F716" s="49"/>
      <c r="G716" s="49"/>
      <c r="I716" s="28"/>
      <c r="J716" s="28"/>
      <c r="K716" s="28"/>
      <c r="L716" s="28"/>
      <c r="M716" s="28"/>
      <c r="N716" s="54"/>
      <c r="O716" s="50"/>
    </row>
    <row r="717">
      <c r="A717" s="28"/>
      <c r="B717" s="28"/>
      <c r="C717" s="28"/>
      <c r="D717" s="28"/>
      <c r="E717" s="49"/>
      <c r="F717" s="49"/>
      <c r="G717" s="49"/>
      <c r="I717" s="28"/>
      <c r="J717" s="28"/>
      <c r="K717" s="28"/>
      <c r="L717" s="28"/>
      <c r="M717" s="28"/>
      <c r="N717" s="54"/>
      <c r="O717" s="50"/>
    </row>
    <row r="718">
      <c r="A718" s="28"/>
      <c r="B718" s="28"/>
      <c r="C718" s="28"/>
      <c r="D718" s="28"/>
      <c r="E718" s="49"/>
      <c r="F718" s="49"/>
      <c r="G718" s="49"/>
      <c r="I718" s="28"/>
      <c r="J718" s="28"/>
      <c r="K718" s="28"/>
      <c r="L718" s="28"/>
      <c r="M718" s="28"/>
      <c r="N718" s="54"/>
      <c r="O718" s="50"/>
    </row>
    <row r="719">
      <c r="A719" s="28"/>
      <c r="B719" s="28"/>
      <c r="C719" s="28"/>
      <c r="D719" s="28"/>
      <c r="E719" s="49"/>
      <c r="F719" s="49"/>
      <c r="G719" s="49"/>
      <c r="I719" s="28"/>
      <c r="J719" s="28"/>
      <c r="K719" s="28"/>
      <c r="L719" s="28"/>
      <c r="M719" s="28"/>
      <c r="N719" s="54"/>
      <c r="O719" s="50"/>
    </row>
    <row r="720">
      <c r="A720" s="28"/>
      <c r="B720" s="28"/>
      <c r="C720" s="28"/>
      <c r="D720" s="28"/>
      <c r="E720" s="49"/>
      <c r="F720" s="49"/>
      <c r="G720" s="49"/>
      <c r="I720" s="28"/>
      <c r="J720" s="28"/>
      <c r="K720" s="28"/>
      <c r="L720" s="28"/>
      <c r="M720" s="28"/>
      <c r="N720" s="54"/>
      <c r="O720" s="50"/>
    </row>
    <row r="721">
      <c r="A721" s="28"/>
      <c r="B721" s="28"/>
      <c r="C721" s="28"/>
      <c r="D721" s="28"/>
      <c r="E721" s="49"/>
      <c r="F721" s="49"/>
      <c r="G721" s="49"/>
      <c r="I721" s="28"/>
      <c r="J721" s="28"/>
      <c r="K721" s="28"/>
      <c r="L721" s="28"/>
      <c r="M721" s="28"/>
      <c r="N721" s="54"/>
      <c r="O721" s="50"/>
    </row>
    <row r="722">
      <c r="A722" s="28"/>
      <c r="B722" s="28"/>
      <c r="C722" s="28"/>
      <c r="D722" s="28"/>
      <c r="E722" s="49"/>
      <c r="F722" s="49"/>
      <c r="G722" s="49"/>
      <c r="I722" s="28"/>
      <c r="J722" s="28"/>
      <c r="K722" s="28"/>
      <c r="L722" s="28"/>
      <c r="M722" s="28"/>
      <c r="N722" s="54"/>
      <c r="O722" s="50"/>
    </row>
    <row r="723">
      <c r="A723" s="28"/>
      <c r="B723" s="28"/>
      <c r="C723" s="28"/>
      <c r="D723" s="28"/>
      <c r="E723" s="49"/>
      <c r="F723" s="49"/>
      <c r="G723" s="49"/>
      <c r="I723" s="28"/>
      <c r="J723" s="28"/>
      <c r="K723" s="28"/>
      <c r="L723" s="28"/>
      <c r="M723" s="28"/>
      <c r="N723" s="54"/>
      <c r="O723" s="50"/>
    </row>
    <row r="724">
      <c r="A724" s="28"/>
      <c r="B724" s="28"/>
      <c r="C724" s="28"/>
      <c r="D724" s="28"/>
      <c r="E724" s="49"/>
      <c r="F724" s="49"/>
      <c r="G724" s="49"/>
      <c r="I724" s="28"/>
      <c r="J724" s="28"/>
      <c r="K724" s="28"/>
      <c r="L724" s="28"/>
      <c r="M724" s="28"/>
      <c r="N724" s="54"/>
      <c r="O724" s="50"/>
    </row>
    <row r="725">
      <c r="A725" s="28"/>
      <c r="B725" s="28"/>
      <c r="C725" s="28"/>
      <c r="D725" s="28"/>
      <c r="E725" s="49"/>
      <c r="F725" s="49"/>
      <c r="G725" s="49"/>
      <c r="I725" s="28"/>
      <c r="J725" s="28"/>
      <c r="K725" s="28"/>
      <c r="L725" s="28"/>
      <c r="M725" s="28"/>
      <c r="N725" s="54"/>
      <c r="O725" s="50"/>
    </row>
    <row r="726">
      <c r="A726" s="28"/>
      <c r="B726" s="28"/>
      <c r="C726" s="28"/>
      <c r="D726" s="28"/>
      <c r="E726" s="49"/>
      <c r="F726" s="49"/>
      <c r="G726" s="49"/>
      <c r="I726" s="28"/>
      <c r="J726" s="28"/>
      <c r="K726" s="28"/>
      <c r="L726" s="28"/>
      <c r="M726" s="28"/>
      <c r="N726" s="54"/>
      <c r="O726" s="50"/>
    </row>
    <row r="727">
      <c r="A727" s="28"/>
      <c r="B727" s="28"/>
      <c r="C727" s="28"/>
      <c r="D727" s="28"/>
      <c r="E727" s="49"/>
      <c r="F727" s="49"/>
      <c r="G727" s="49"/>
      <c r="I727" s="28"/>
      <c r="J727" s="28"/>
      <c r="K727" s="28"/>
      <c r="L727" s="28"/>
      <c r="M727" s="28"/>
      <c r="N727" s="54"/>
      <c r="O727" s="50"/>
    </row>
    <row r="728">
      <c r="A728" s="28"/>
      <c r="B728" s="28"/>
      <c r="C728" s="28"/>
      <c r="D728" s="28"/>
      <c r="E728" s="49"/>
      <c r="F728" s="49"/>
      <c r="G728" s="49"/>
      <c r="I728" s="28"/>
      <c r="J728" s="28"/>
      <c r="K728" s="28"/>
      <c r="L728" s="28"/>
      <c r="M728" s="28"/>
      <c r="N728" s="54"/>
      <c r="O728" s="50"/>
    </row>
    <row r="729">
      <c r="A729" s="28"/>
      <c r="B729" s="28"/>
      <c r="C729" s="28"/>
      <c r="D729" s="28"/>
      <c r="E729" s="49"/>
      <c r="F729" s="49"/>
      <c r="G729" s="49"/>
      <c r="I729" s="28"/>
      <c r="J729" s="28"/>
      <c r="K729" s="28"/>
      <c r="L729" s="28"/>
      <c r="M729" s="28"/>
      <c r="N729" s="54"/>
      <c r="O729" s="50"/>
    </row>
    <row r="730">
      <c r="A730" s="28"/>
      <c r="B730" s="28"/>
      <c r="C730" s="28"/>
      <c r="D730" s="28"/>
      <c r="E730" s="49"/>
      <c r="F730" s="49"/>
      <c r="G730" s="49"/>
      <c r="I730" s="28"/>
      <c r="J730" s="28"/>
      <c r="K730" s="28"/>
      <c r="L730" s="28"/>
      <c r="M730" s="28"/>
      <c r="N730" s="54"/>
      <c r="O730" s="50"/>
    </row>
    <row r="731">
      <c r="A731" s="28"/>
      <c r="B731" s="28"/>
      <c r="C731" s="28"/>
      <c r="D731" s="28"/>
      <c r="E731" s="49"/>
      <c r="F731" s="49"/>
      <c r="G731" s="49"/>
      <c r="I731" s="28"/>
      <c r="J731" s="28"/>
      <c r="K731" s="28"/>
      <c r="L731" s="28"/>
      <c r="M731" s="28"/>
      <c r="N731" s="54"/>
      <c r="O731" s="50"/>
    </row>
    <row r="732">
      <c r="A732" s="28"/>
      <c r="B732" s="28"/>
      <c r="C732" s="28"/>
      <c r="D732" s="28"/>
      <c r="E732" s="49"/>
      <c r="F732" s="49"/>
      <c r="G732" s="49"/>
      <c r="I732" s="28"/>
      <c r="J732" s="28"/>
      <c r="K732" s="28"/>
      <c r="L732" s="28"/>
      <c r="M732" s="28"/>
      <c r="N732" s="54"/>
      <c r="O732" s="50"/>
    </row>
    <row r="733">
      <c r="A733" s="28"/>
      <c r="B733" s="28"/>
      <c r="C733" s="28"/>
      <c r="D733" s="28"/>
      <c r="E733" s="49"/>
      <c r="F733" s="49"/>
      <c r="G733" s="49"/>
      <c r="I733" s="28"/>
      <c r="J733" s="28"/>
      <c r="K733" s="28"/>
      <c r="L733" s="28"/>
      <c r="M733" s="28"/>
      <c r="N733" s="54"/>
      <c r="O733" s="50"/>
    </row>
    <row r="734">
      <c r="A734" s="28"/>
      <c r="B734" s="28"/>
      <c r="C734" s="28"/>
      <c r="D734" s="28"/>
      <c r="E734" s="49"/>
      <c r="F734" s="49"/>
      <c r="G734" s="49"/>
      <c r="I734" s="28"/>
      <c r="J734" s="28"/>
      <c r="K734" s="28"/>
      <c r="L734" s="28"/>
      <c r="M734" s="28"/>
      <c r="N734" s="54"/>
      <c r="O734" s="50"/>
    </row>
    <row r="735">
      <c r="A735" s="28"/>
      <c r="B735" s="28"/>
      <c r="C735" s="28"/>
      <c r="D735" s="28"/>
      <c r="E735" s="49"/>
      <c r="F735" s="49"/>
      <c r="G735" s="49"/>
      <c r="I735" s="28"/>
      <c r="J735" s="28"/>
      <c r="K735" s="28"/>
      <c r="L735" s="28"/>
      <c r="M735" s="28"/>
      <c r="N735" s="54"/>
      <c r="O735" s="50"/>
    </row>
    <row r="736">
      <c r="A736" s="28"/>
      <c r="B736" s="28"/>
      <c r="C736" s="28"/>
      <c r="D736" s="28"/>
      <c r="E736" s="49"/>
      <c r="F736" s="49"/>
      <c r="G736" s="49"/>
      <c r="I736" s="28"/>
      <c r="J736" s="28"/>
      <c r="K736" s="28"/>
      <c r="L736" s="28"/>
      <c r="M736" s="28"/>
      <c r="N736" s="54"/>
      <c r="O736" s="50"/>
    </row>
    <row r="737">
      <c r="A737" s="28"/>
      <c r="B737" s="28"/>
      <c r="C737" s="28"/>
      <c r="D737" s="28"/>
      <c r="E737" s="49"/>
      <c r="F737" s="49"/>
      <c r="G737" s="49"/>
      <c r="I737" s="28"/>
      <c r="J737" s="28"/>
      <c r="K737" s="28"/>
      <c r="L737" s="28"/>
      <c r="M737" s="28"/>
      <c r="N737" s="54"/>
      <c r="O737" s="50"/>
    </row>
    <row r="738">
      <c r="A738" s="28"/>
      <c r="B738" s="28"/>
      <c r="C738" s="28"/>
      <c r="D738" s="28"/>
      <c r="E738" s="49"/>
      <c r="F738" s="49"/>
      <c r="G738" s="49"/>
      <c r="I738" s="28"/>
      <c r="J738" s="28"/>
      <c r="K738" s="28"/>
      <c r="L738" s="28"/>
      <c r="M738" s="28"/>
      <c r="N738" s="54"/>
      <c r="O738" s="50"/>
    </row>
    <row r="739">
      <c r="A739" s="28"/>
      <c r="B739" s="28"/>
      <c r="C739" s="28"/>
      <c r="D739" s="28"/>
      <c r="E739" s="49"/>
      <c r="F739" s="49"/>
      <c r="G739" s="49"/>
      <c r="I739" s="28"/>
      <c r="J739" s="28"/>
      <c r="K739" s="28"/>
      <c r="L739" s="28"/>
      <c r="M739" s="28"/>
      <c r="N739" s="54"/>
      <c r="O739" s="50"/>
    </row>
    <row r="740">
      <c r="A740" s="28"/>
      <c r="B740" s="28"/>
      <c r="C740" s="28"/>
      <c r="D740" s="28"/>
      <c r="E740" s="49"/>
      <c r="F740" s="49"/>
      <c r="G740" s="49"/>
      <c r="I740" s="28"/>
      <c r="J740" s="28"/>
      <c r="K740" s="28"/>
      <c r="L740" s="28"/>
      <c r="M740" s="28"/>
      <c r="N740" s="54"/>
      <c r="O740" s="50"/>
    </row>
    <row r="741">
      <c r="A741" s="28"/>
      <c r="B741" s="28"/>
      <c r="C741" s="28"/>
      <c r="D741" s="28"/>
      <c r="E741" s="49"/>
      <c r="F741" s="49"/>
      <c r="G741" s="49"/>
      <c r="I741" s="28"/>
      <c r="J741" s="28"/>
      <c r="K741" s="28"/>
      <c r="L741" s="28"/>
      <c r="M741" s="28"/>
      <c r="N741" s="54"/>
      <c r="O741" s="50"/>
    </row>
    <row r="742">
      <c r="A742" s="28"/>
      <c r="B742" s="28"/>
      <c r="C742" s="28"/>
      <c r="D742" s="28"/>
      <c r="E742" s="49"/>
      <c r="F742" s="49"/>
      <c r="G742" s="49"/>
      <c r="I742" s="28"/>
      <c r="J742" s="28"/>
      <c r="K742" s="28"/>
      <c r="L742" s="28"/>
      <c r="M742" s="28"/>
      <c r="N742" s="54"/>
      <c r="O742" s="50"/>
    </row>
    <row r="743">
      <c r="A743" s="28"/>
      <c r="B743" s="28"/>
      <c r="C743" s="28"/>
      <c r="D743" s="28"/>
      <c r="E743" s="49"/>
      <c r="F743" s="49"/>
      <c r="G743" s="49"/>
      <c r="I743" s="28"/>
      <c r="J743" s="28"/>
      <c r="K743" s="28"/>
      <c r="L743" s="28"/>
      <c r="M743" s="28"/>
      <c r="N743" s="54"/>
      <c r="O743" s="50"/>
    </row>
    <row r="744">
      <c r="A744" s="28"/>
      <c r="B744" s="28"/>
      <c r="C744" s="28"/>
      <c r="D744" s="28"/>
      <c r="E744" s="49"/>
      <c r="F744" s="49"/>
      <c r="G744" s="49"/>
      <c r="I744" s="28"/>
      <c r="J744" s="28"/>
      <c r="K744" s="28"/>
      <c r="L744" s="28"/>
      <c r="M744" s="28"/>
      <c r="N744" s="54"/>
      <c r="O744" s="50"/>
    </row>
    <row r="745">
      <c r="A745" s="28"/>
      <c r="B745" s="28"/>
      <c r="C745" s="28"/>
      <c r="D745" s="28"/>
      <c r="E745" s="49"/>
      <c r="F745" s="49"/>
      <c r="G745" s="49"/>
      <c r="I745" s="28"/>
      <c r="J745" s="28"/>
      <c r="K745" s="28"/>
      <c r="L745" s="28"/>
      <c r="M745" s="28"/>
      <c r="N745" s="54"/>
      <c r="O745" s="50"/>
    </row>
    <row r="746">
      <c r="A746" s="28"/>
      <c r="B746" s="28"/>
      <c r="C746" s="28"/>
      <c r="D746" s="28"/>
      <c r="E746" s="49"/>
      <c r="F746" s="49"/>
      <c r="G746" s="49"/>
      <c r="I746" s="28"/>
      <c r="J746" s="28"/>
      <c r="K746" s="28"/>
      <c r="L746" s="28"/>
      <c r="M746" s="28"/>
      <c r="N746" s="54"/>
      <c r="O746" s="50"/>
    </row>
    <row r="747">
      <c r="A747" s="28"/>
      <c r="B747" s="28"/>
      <c r="C747" s="28"/>
      <c r="D747" s="28"/>
      <c r="E747" s="49"/>
      <c r="F747" s="49"/>
      <c r="G747" s="49"/>
      <c r="I747" s="28"/>
      <c r="J747" s="28"/>
      <c r="K747" s="28"/>
      <c r="L747" s="28"/>
      <c r="M747" s="28"/>
      <c r="N747" s="54"/>
      <c r="O747" s="50"/>
    </row>
    <row r="748">
      <c r="A748" s="28"/>
      <c r="B748" s="28"/>
      <c r="C748" s="28"/>
      <c r="D748" s="28"/>
      <c r="E748" s="49"/>
      <c r="F748" s="49"/>
      <c r="G748" s="49"/>
      <c r="I748" s="28"/>
      <c r="J748" s="28"/>
      <c r="K748" s="28"/>
      <c r="L748" s="28"/>
      <c r="M748" s="28"/>
      <c r="N748" s="54"/>
      <c r="O748" s="50"/>
    </row>
    <row r="749">
      <c r="A749" s="28"/>
      <c r="B749" s="28"/>
      <c r="C749" s="28"/>
      <c r="D749" s="28"/>
      <c r="E749" s="49"/>
      <c r="F749" s="49"/>
      <c r="G749" s="49"/>
      <c r="I749" s="28"/>
      <c r="J749" s="28"/>
      <c r="K749" s="28"/>
      <c r="L749" s="28"/>
      <c r="M749" s="28"/>
      <c r="N749" s="54"/>
      <c r="O749" s="50"/>
    </row>
    <row r="750">
      <c r="A750" s="28"/>
      <c r="B750" s="28"/>
      <c r="C750" s="28"/>
      <c r="D750" s="28"/>
      <c r="E750" s="49"/>
      <c r="F750" s="49"/>
      <c r="G750" s="49"/>
      <c r="I750" s="28"/>
      <c r="J750" s="28"/>
      <c r="K750" s="28"/>
      <c r="L750" s="28"/>
      <c r="M750" s="28"/>
      <c r="N750" s="54"/>
      <c r="O750" s="50"/>
    </row>
    <row r="751">
      <c r="A751" s="28"/>
      <c r="B751" s="28"/>
      <c r="C751" s="28"/>
      <c r="D751" s="28"/>
      <c r="E751" s="49"/>
      <c r="F751" s="49"/>
      <c r="G751" s="49"/>
      <c r="I751" s="28"/>
      <c r="J751" s="28"/>
      <c r="K751" s="28"/>
      <c r="L751" s="28"/>
      <c r="M751" s="28"/>
      <c r="N751" s="54"/>
      <c r="O751" s="50"/>
    </row>
    <row r="752">
      <c r="A752" s="28"/>
      <c r="B752" s="28"/>
      <c r="C752" s="28"/>
      <c r="D752" s="28"/>
      <c r="E752" s="49"/>
      <c r="F752" s="49"/>
      <c r="G752" s="49"/>
      <c r="I752" s="28"/>
      <c r="J752" s="28"/>
      <c r="K752" s="28"/>
      <c r="L752" s="28"/>
      <c r="M752" s="28"/>
      <c r="N752" s="54"/>
      <c r="O752" s="50"/>
    </row>
    <row r="753">
      <c r="A753" s="28"/>
      <c r="B753" s="28"/>
      <c r="C753" s="28"/>
      <c r="D753" s="28"/>
      <c r="E753" s="49"/>
      <c r="F753" s="49"/>
      <c r="G753" s="49"/>
      <c r="I753" s="28"/>
      <c r="J753" s="28"/>
      <c r="K753" s="28"/>
      <c r="L753" s="28"/>
      <c r="M753" s="28"/>
      <c r="N753" s="54"/>
      <c r="O753" s="50"/>
    </row>
    <row r="754">
      <c r="A754" s="28"/>
      <c r="B754" s="28"/>
      <c r="C754" s="28"/>
      <c r="D754" s="28"/>
      <c r="E754" s="49"/>
      <c r="F754" s="49"/>
      <c r="G754" s="49"/>
      <c r="I754" s="28"/>
      <c r="J754" s="28"/>
      <c r="K754" s="28"/>
      <c r="L754" s="28"/>
      <c r="M754" s="28"/>
      <c r="N754" s="54"/>
      <c r="O754" s="50"/>
    </row>
    <row r="755">
      <c r="A755" s="28"/>
      <c r="B755" s="28"/>
      <c r="C755" s="28"/>
      <c r="D755" s="28"/>
      <c r="E755" s="49"/>
      <c r="F755" s="49"/>
      <c r="G755" s="49"/>
      <c r="I755" s="28"/>
      <c r="J755" s="28"/>
      <c r="K755" s="28"/>
      <c r="L755" s="28"/>
      <c r="M755" s="28"/>
      <c r="N755" s="54"/>
      <c r="O755" s="50"/>
    </row>
    <row r="756">
      <c r="A756" s="28"/>
      <c r="B756" s="28"/>
      <c r="C756" s="28"/>
      <c r="D756" s="28"/>
      <c r="E756" s="49"/>
      <c r="F756" s="49"/>
      <c r="G756" s="49"/>
      <c r="I756" s="28"/>
      <c r="J756" s="28"/>
      <c r="K756" s="28"/>
      <c r="L756" s="28"/>
      <c r="M756" s="28"/>
      <c r="N756" s="54"/>
      <c r="O756" s="50"/>
    </row>
    <row r="757">
      <c r="A757" s="28"/>
      <c r="B757" s="28"/>
      <c r="C757" s="28"/>
      <c r="D757" s="28"/>
      <c r="E757" s="49"/>
      <c r="F757" s="49"/>
      <c r="G757" s="49"/>
      <c r="I757" s="28"/>
      <c r="J757" s="28"/>
      <c r="K757" s="28"/>
      <c r="L757" s="28"/>
      <c r="M757" s="28"/>
      <c r="N757" s="54"/>
      <c r="O757" s="50"/>
    </row>
    <row r="758">
      <c r="A758" s="28"/>
      <c r="B758" s="28"/>
      <c r="C758" s="28"/>
      <c r="D758" s="28"/>
      <c r="E758" s="49"/>
      <c r="F758" s="49"/>
      <c r="G758" s="49"/>
      <c r="I758" s="28"/>
      <c r="J758" s="28"/>
      <c r="K758" s="28"/>
      <c r="L758" s="28"/>
      <c r="M758" s="28"/>
      <c r="N758" s="54"/>
      <c r="O758" s="50"/>
    </row>
    <row r="759">
      <c r="A759" s="28"/>
      <c r="B759" s="28"/>
      <c r="C759" s="28"/>
      <c r="D759" s="28"/>
      <c r="E759" s="49"/>
      <c r="F759" s="49"/>
      <c r="G759" s="49"/>
      <c r="I759" s="28"/>
      <c r="J759" s="28"/>
      <c r="K759" s="28"/>
      <c r="L759" s="28"/>
      <c r="M759" s="28"/>
      <c r="N759" s="54"/>
      <c r="O759" s="50"/>
    </row>
    <row r="760">
      <c r="A760" s="28"/>
      <c r="B760" s="28"/>
      <c r="C760" s="28"/>
      <c r="D760" s="28"/>
      <c r="E760" s="49"/>
      <c r="F760" s="49"/>
      <c r="G760" s="49"/>
      <c r="I760" s="28"/>
      <c r="J760" s="28"/>
      <c r="K760" s="28"/>
      <c r="L760" s="28"/>
      <c r="M760" s="28"/>
      <c r="N760" s="54"/>
      <c r="O760" s="50"/>
    </row>
    <row r="761">
      <c r="A761" s="28"/>
      <c r="B761" s="28"/>
      <c r="C761" s="28"/>
      <c r="D761" s="28"/>
      <c r="E761" s="49"/>
      <c r="F761" s="49"/>
      <c r="G761" s="49"/>
      <c r="I761" s="28"/>
      <c r="J761" s="28"/>
      <c r="K761" s="28"/>
      <c r="L761" s="28"/>
      <c r="M761" s="28"/>
      <c r="N761" s="54"/>
      <c r="O761" s="50"/>
    </row>
    <row r="762">
      <c r="A762" s="28"/>
      <c r="B762" s="28"/>
      <c r="C762" s="28"/>
      <c r="D762" s="28"/>
      <c r="E762" s="49"/>
      <c r="F762" s="49"/>
      <c r="G762" s="49"/>
      <c r="I762" s="28"/>
      <c r="J762" s="28"/>
      <c r="K762" s="28"/>
      <c r="L762" s="28"/>
      <c r="M762" s="28"/>
      <c r="N762" s="54"/>
      <c r="O762" s="50"/>
    </row>
    <row r="763">
      <c r="A763" s="28"/>
      <c r="B763" s="28"/>
      <c r="C763" s="28"/>
      <c r="D763" s="28"/>
      <c r="E763" s="49"/>
      <c r="F763" s="49"/>
      <c r="G763" s="49"/>
      <c r="I763" s="28"/>
      <c r="J763" s="28"/>
      <c r="K763" s="28"/>
      <c r="L763" s="28"/>
      <c r="M763" s="28"/>
      <c r="N763" s="54"/>
      <c r="O763" s="50"/>
    </row>
    <row r="764">
      <c r="A764" s="28"/>
      <c r="B764" s="28"/>
      <c r="C764" s="28"/>
      <c r="D764" s="28"/>
      <c r="E764" s="49"/>
      <c r="F764" s="49"/>
      <c r="G764" s="49"/>
      <c r="I764" s="28"/>
      <c r="J764" s="28"/>
      <c r="K764" s="28"/>
      <c r="L764" s="28"/>
      <c r="M764" s="28"/>
      <c r="N764" s="54"/>
      <c r="O764" s="50"/>
    </row>
    <row r="765">
      <c r="A765" s="28"/>
      <c r="B765" s="28"/>
      <c r="C765" s="28"/>
      <c r="D765" s="28"/>
      <c r="E765" s="49"/>
      <c r="F765" s="49"/>
      <c r="G765" s="49"/>
      <c r="I765" s="28"/>
      <c r="J765" s="28"/>
      <c r="K765" s="28"/>
      <c r="L765" s="28"/>
      <c r="M765" s="28"/>
      <c r="N765" s="54"/>
      <c r="O765" s="50"/>
    </row>
    <row r="766">
      <c r="A766" s="28"/>
      <c r="B766" s="28"/>
      <c r="C766" s="28"/>
      <c r="D766" s="28"/>
      <c r="E766" s="49"/>
      <c r="F766" s="49"/>
      <c r="G766" s="49"/>
      <c r="I766" s="28"/>
      <c r="J766" s="28"/>
      <c r="K766" s="28"/>
      <c r="L766" s="28"/>
      <c r="M766" s="28"/>
      <c r="N766" s="54"/>
      <c r="O766" s="50"/>
    </row>
    <row r="767">
      <c r="A767" s="28"/>
      <c r="B767" s="28"/>
      <c r="C767" s="28"/>
      <c r="D767" s="28"/>
      <c r="E767" s="49"/>
      <c r="F767" s="49"/>
      <c r="G767" s="49"/>
      <c r="I767" s="28"/>
      <c r="J767" s="28"/>
      <c r="K767" s="28"/>
      <c r="L767" s="28"/>
      <c r="M767" s="28"/>
      <c r="N767" s="54"/>
      <c r="O767" s="50"/>
    </row>
    <row r="768">
      <c r="A768" s="28"/>
      <c r="B768" s="28"/>
      <c r="C768" s="28"/>
      <c r="D768" s="28"/>
      <c r="E768" s="49"/>
      <c r="F768" s="49"/>
      <c r="G768" s="49"/>
      <c r="I768" s="28"/>
      <c r="J768" s="28"/>
      <c r="K768" s="28"/>
      <c r="L768" s="28"/>
      <c r="M768" s="28"/>
      <c r="N768" s="54"/>
      <c r="O768" s="50"/>
    </row>
    <row r="769">
      <c r="A769" s="28"/>
      <c r="B769" s="28"/>
      <c r="C769" s="28"/>
      <c r="D769" s="28"/>
      <c r="E769" s="49"/>
      <c r="F769" s="49"/>
      <c r="G769" s="49"/>
      <c r="I769" s="28"/>
      <c r="J769" s="28"/>
      <c r="K769" s="28"/>
      <c r="L769" s="28"/>
      <c r="M769" s="28"/>
      <c r="N769" s="54"/>
      <c r="O769" s="50"/>
    </row>
    <row r="770">
      <c r="A770" s="28"/>
      <c r="B770" s="28"/>
      <c r="C770" s="28"/>
      <c r="D770" s="28"/>
      <c r="E770" s="49"/>
      <c r="F770" s="49"/>
      <c r="G770" s="49"/>
      <c r="I770" s="28"/>
      <c r="J770" s="28"/>
      <c r="K770" s="28"/>
      <c r="L770" s="28"/>
      <c r="M770" s="28"/>
      <c r="N770" s="54"/>
      <c r="O770" s="50"/>
    </row>
    <row r="771">
      <c r="A771" s="28"/>
      <c r="B771" s="28"/>
      <c r="C771" s="28"/>
      <c r="D771" s="28"/>
      <c r="E771" s="49"/>
      <c r="F771" s="49"/>
      <c r="G771" s="49"/>
      <c r="I771" s="28"/>
      <c r="J771" s="28"/>
      <c r="K771" s="28"/>
      <c r="L771" s="28"/>
      <c r="M771" s="28"/>
      <c r="N771" s="54"/>
      <c r="O771" s="50"/>
    </row>
    <row r="772">
      <c r="A772" s="28"/>
      <c r="B772" s="28"/>
      <c r="C772" s="28"/>
      <c r="D772" s="28"/>
      <c r="E772" s="49"/>
      <c r="F772" s="49"/>
      <c r="G772" s="49"/>
      <c r="I772" s="28"/>
      <c r="J772" s="28"/>
      <c r="K772" s="28"/>
      <c r="L772" s="28"/>
      <c r="M772" s="28"/>
      <c r="N772" s="54"/>
      <c r="O772" s="50"/>
    </row>
    <row r="773">
      <c r="A773" s="28"/>
      <c r="B773" s="28"/>
      <c r="C773" s="28"/>
      <c r="D773" s="28"/>
      <c r="E773" s="49"/>
      <c r="F773" s="49"/>
      <c r="G773" s="49"/>
      <c r="I773" s="28"/>
      <c r="J773" s="28"/>
      <c r="K773" s="28"/>
      <c r="L773" s="28"/>
      <c r="M773" s="28"/>
      <c r="N773" s="54"/>
      <c r="O773" s="50"/>
    </row>
    <row r="774">
      <c r="A774" s="28"/>
      <c r="B774" s="28"/>
      <c r="C774" s="28"/>
      <c r="D774" s="28"/>
      <c r="E774" s="49"/>
      <c r="F774" s="49"/>
      <c r="G774" s="49"/>
      <c r="I774" s="28"/>
      <c r="J774" s="28"/>
      <c r="K774" s="28"/>
      <c r="L774" s="28"/>
      <c r="M774" s="28"/>
      <c r="N774" s="54"/>
      <c r="O774" s="50"/>
    </row>
    <row r="775">
      <c r="A775" s="28"/>
      <c r="B775" s="28"/>
      <c r="C775" s="28"/>
      <c r="D775" s="28"/>
      <c r="E775" s="49"/>
      <c r="F775" s="49"/>
      <c r="G775" s="49"/>
      <c r="I775" s="28"/>
      <c r="J775" s="28"/>
      <c r="K775" s="28"/>
      <c r="L775" s="28"/>
      <c r="M775" s="28"/>
      <c r="N775" s="54"/>
      <c r="O775" s="50"/>
    </row>
    <row r="776">
      <c r="A776" s="28"/>
      <c r="B776" s="28"/>
      <c r="C776" s="28"/>
      <c r="D776" s="28"/>
      <c r="E776" s="49"/>
      <c r="F776" s="49"/>
      <c r="G776" s="49"/>
      <c r="I776" s="28"/>
      <c r="J776" s="28"/>
      <c r="K776" s="28"/>
      <c r="L776" s="28"/>
      <c r="M776" s="28"/>
      <c r="N776" s="54"/>
      <c r="O776" s="50"/>
    </row>
    <row r="777">
      <c r="A777" s="28"/>
      <c r="B777" s="28"/>
      <c r="C777" s="28"/>
      <c r="D777" s="28"/>
      <c r="E777" s="49"/>
      <c r="F777" s="49"/>
      <c r="G777" s="49"/>
      <c r="I777" s="28"/>
      <c r="J777" s="28"/>
      <c r="K777" s="28"/>
      <c r="L777" s="28"/>
      <c r="M777" s="28"/>
      <c r="N777" s="54"/>
      <c r="O777" s="50"/>
    </row>
    <row r="778">
      <c r="A778" s="28"/>
      <c r="B778" s="28"/>
      <c r="C778" s="28"/>
      <c r="D778" s="28"/>
      <c r="E778" s="49"/>
      <c r="F778" s="49"/>
      <c r="G778" s="49"/>
      <c r="I778" s="28"/>
      <c r="J778" s="28"/>
      <c r="K778" s="28"/>
      <c r="L778" s="28"/>
      <c r="M778" s="28"/>
      <c r="N778" s="54"/>
      <c r="O778" s="50"/>
    </row>
    <row r="779">
      <c r="A779" s="28"/>
      <c r="B779" s="28"/>
      <c r="C779" s="28"/>
      <c r="D779" s="28"/>
      <c r="E779" s="49"/>
      <c r="F779" s="49"/>
      <c r="G779" s="49"/>
      <c r="I779" s="28"/>
      <c r="J779" s="28"/>
      <c r="K779" s="28"/>
      <c r="L779" s="28"/>
      <c r="M779" s="28"/>
      <c r="N779" s="54"/>
      <c r="O779" s="50"/>
    </row>
    <row r="780">
      <c r="A780" s="28"/>
      <c r="B780" s="28"/>
      <c r="C780" s="28"/>
      <c r="D780" s="28"/>
      <c r="E780" s="49"/>
      <c r="F780" s="49"/>
      <c r="G780" s="49"/>
      <c r="I780" s="28"/>
      <c r="J780" s="28"/>
      <c r="K780" s="28"/>
      <c r="L780" s="28"/>
      <c r="M780" s="28"/>
      <c r="N780" s="54"/>
      <c r="O780" s="50"/>
    </row>
    <row r="781">
      <c r="A781" s="28"/>
      <c r="B781" s="28"/>
      <c r="C781" s="28"/>
      <c r="D781" s="28"/>
      <c r="E781" s="49"/>
      <c r="F781" s="49"/>
      <c r="G781" s="49"/>
      <c r="I781" s="28"/>
      <c r="J781" s="28"/>
      <c r="K781" s="28"/>
      <c r="L781" s="28"/>
      <c r="M781" s="28"/>
      <c r="N781" s="54"/>
      <c r="O781" s="50"/>
    </row>
    <row r="782">
      <c r="A782" s="28"/>
      <c r="B782" s="28"/>
      <c r="C782" s="28"/>
      <c r="D782" s="28"/>
      <c r="E782" s="49"/>
      <c r="F782" s="49"/>
      <c r="G782" s="49"/>
      <c r="I782" s="28"/>
      <c r="J782" s="28"/>
      <c r="K782" s="28"/>
      <c r="L782" s="28"/>
      <c r="M782" s="28"/>
      <c r="N782" s="54"/>
      <c r="O782" s="50"/>
    </row>
    <row r="783">
      <c r="A783" s="28"/>
      <c r="B783" s="28"/>
      <c r="C783" s="28"/>
      <c r="D783" s="28"/>
      <c r="E783" s="49"/>
      <c r="F783" s="49"/>
      <c r="G783" s="49"/>
      <c r="I783" s="28"/>
      <c r="J783" s="28"/>
      <c r="K783" s="28"/>
      <c r="L783" s="28"/>
      <c r="M783" s="28"/>
      <c r="N783" s="54"/>
      <c r="O783" s="50"/>
    </row>
    <row r="784">
      <c r="A784" s="28"/>
      <c r="B784" s="28"/>
      <c r="C784" s="28"/>
      <c r="D784" s="28"/>
      <c r="E784" s="49"/>
      <c r="F784" s="49"/>
      <c r="G784" s="49"/>
      <c r="I784" s="28"/>
      <c r="J784" s="28"/>
      <c r="K784" s="28"/>
      <c r="L784" s="28"/>
      <c r="M784" s="28"/>
      <c r="N784" s="54"/>
      <c r="O784" s="50"/>
    </row>
    <row r="785">
      <c r="A785" s="28"/>
      <c r="B785" s="28"/>
      <c r="C785" s="28"/>
      <c r="D785" s="28"/>
      <c r="E785" s="49"/>
      <c r="F785" s="49"/>
      <c r="G785" s="49"/>
      <c r="I785" s="28"/>
      <c r="J785" s="28"/>
      <c r="K785" s="28"/>
      <c r="L785" s="28"/>
      <c r="M785" s="28"/>
      <c r="N785" s="54"/>
      <c r="O785" s="50"/>
    </row>
    <row r="786">
      <c r="A786" s="28"/>
      <c r="B786" s="28"/>
      <c r="C786" s="28"/>
      <c r="D786" s="28"/>
      <c r="E786" s="49"/>
      <c r="F786" s="49"/>
      <c r="G786" s="49"/>
      <c r="I786" s="28"/>
      <c r="J786" s="28"/>
      <c r="K786" s="28"/>
      <c r="L786" s="28"/>
      <c r="M786" s="28"/>
      <c r="N786" s="54"/>
      <c r="O786" s="50"/>
    </row>
    <row r="787">
      <c r="A787" s="28"/>
      <c r="B787" s="28"/>
      <c r="C787" s="28"/>
      <c r="D787" s="28"/>
      <c r="E787" s="49"/>
      <c r="F787" s="49"/>
      <c r="G787" s="49"/>
      <c r="I787" s="28"/>
      <c r="J787" s="28"/>
      <c r="K787" s="28"/>
      <c r="L787" s="28"/>
      <c r="M787" s="28"/>
      <c r="N787" s="54"/>
      <c r="O787" s="50"/>
    </row>
    <row r="788">
      <c r="A788" s="28"/>
      <c r="B788" s="28"/>
      <c r="C788" s="28"/>
      <c r="D788" s="28"/>
      <c r="E788" s="49"/>
      <c r="F788" s="49"/>
      <c r="G788" s="49"/>
      <c r="I788" s="28"/>
      <c r="J788" s="28"/>
      <c r="K788" s="28"/>
      <c r="L788" s="28"/>
      <c r="M788" s="28"/>
      <c r="N788" s="54"/>
      <c r="O788" s="50"/>
    </row>
    <row r="789">
      <c r="A789" s="28"/>
      <c r="B789" s="28"/>
      <c r="C789" s="28"/>
      <c r="D789" s="28"/>
      <c r="E789" s="49"/>
      <c r="F789" s="49"/>
      <c r="G789" s="49"/>
      <c r="I789" s="28"/>
      <c r="J789" s="28"/>
      <c r="K789" s="28"/>
      <c r="L789" s="28"/>
      <c r="M789" s="28"/>
      <c r="N789" s="54"/>
      <c r="O789" s="50"/>
    </row>
    <row r="790">
      <c r="A790" s="28"/>
      <c r="B790" s="28"/>
      <c r="C790" s="28"/>
      <c r="D790" s="28"/>
      <c r="E790" s="49"/>
      <c r="F790" s="49"/>
      <c r="G790" s="49"/>
      <c r="I790" s="28"/>
      <c r="J790" s="28"/>
      <c r="K790" s="28"/>
      <c r="L790" s="28"/>
      <c r="M790" s="28"/>
      <c r="N790" s="54"/>
      <c r="O790" s="50"/>
    </row>
    <row r="791">
      <c r="A791" s="28"/>
      <c r="B791" s="28"/>
      <c r="C791" s="28"/>
      <c r="D791" s="28"/>
      <c r="E791" s="49"/>
      <c r="F791" s="49"/>
      <c r="G791" s="49"/>
      <c r="I791" s="28"/>
      <c r="J791" s="28"/>
      <c r="K791" s="28"/>
      <c r="L791" s="28"/>
      <c r="M791" s="28"/>
      <c r="N791" s="54"/>
      <c r="O791" s="50"/>
    </row>
    <row r="792">
      <c r="A792" s="28"/>
      <c r="B792" s="28"/>
      <c r="C792" s="28"/>
      <c r="D792" s="28"/>
      <c r="E792" s="49"/>
      <c r="F792" s="49"/>
      <c r="G792" s="49"/>
      <c r="I792" s="28"/>
      <c r="J792" s="28"/>
      <c r="K792" s="28"/>
      <c r="L792" s="28"/>
      <c r="M792" s="28"/>
      <c r="N792" s="54"/>
      <c r="O792" s="50"/>
    </row>
    <row r="793">
      <c r="A793" s="28"/>
      <c r="B793" s="28"/>
      <c r="C793" s="28"/>
      <c r="D793" s="28"/>
      <c r="E793" s="49"/>
      <c r="F793" s="49"/>
      <c r="G793" s="49"/>
      <c r="I793" s="28"/>
      <c r="J793" s="28"/>
      <c r="K793" s="28"/>
      <c r="L793" s="28"/>
      <c r="M793" s="28"/>
      <c r="N793" s="54"/>
      <c r="O793" s="50"/>
    </row>
    <row r="794">
      <c r="A794" s="28"/>
      <c r="B794" s="28"/>
      <c r="C794" s="28"/>
      <c r="D794" s="28"/>
      <c r="E794" s="49"/>
      <c r="F794" s="49"/>
      <c r="G794" s="49"/>
      <c r="I794" s="28"/>
      <c r="J794" s="28"/>
      <c r="K794" s="28"/>
      <c r="L794" s="28"/>
      <c r="M794" s="28"/>
      <c r="N794" s="54"/>
      <c r="O794" s="50"/>
    </row>
    <row r="795">
      <c r="A795" s="28"/>
      <c r="B795" s="28"/>
      <c r="C795" s="28"/>
      <c r="D795" s="28"/>
      <c r="E795" s="49"/>
      <c r="F795" s="49"/>
      <c r="G795" s="49"/>
      <c r="I795" s="28"/>
      <c r="J795" s="28"/>
      <c r="K795" s="28"/>
      <c r="L795" s="28"/>
      <c r="M795" s="28"/>
      <c r="N795" s="54"/>
      <c r="O795" s="50"/>
    </row>
    <row r="796">
      <c r="A796" s="28"/>
      <c r="B796" s="28"/>
      <c r="C796" s="28"/>
      <c r="D796" s="28"/>
      <c r="E796" s="49"/>
      <c r="F796" s="49"/>
      <c r="G796" s="49"/>
      <c r="I796" s="28"/>
      <c r="J796" s="28"/>
      <c r="K796" s="28"/>
      <c r="L796" s="28"/>
      <c r="M796" s="28"/>
      <c r="N796" s="54"/>
      <c r="O796" s="50"/>
    </row>
    <row r="797">
      <c r="A797" s="28"/>
      <c r="B797" s="28"/>
      <c r="C797" s="28"/>
      <c r="D797" s="28"/>
      <c r="E797" s="49"/>
      <c r="F797" s="49"/>
      <c r="G797" s="49"/>
      <c r="I797" s="28"/>
      <c r="J797" s="28"/>
      <c r="K797" s="28"/>
      <c r="L797" s="28"/>
      <c r="M797" s="28"/>
      <c r="N797" s="54"/>
      <c r="O797" s="50"/>
    </row>
    <row r="798">
      <c r="A798" s="28"/>
      <c r="B798" s="28"/>
      <c r="C798" s="28"/>
      <c r="D798" s="28"/>
      <c r="E798" s="49"/>
      <c r="F798" s="49"/>
      <c r="G798" s="49"/>
      <c r="I798" s="28"/>
      <c r="J798" s="28"/>
      <c r="K798" s="28"/>
      <c r="L798" s="28"/>
      <c r="M798" s="28"/>
      <c r="N798" s="54"/>
      <c r="O798" s="50"/>
    </row>
    <row r="799">
      <c r="A799" s="28"/>
      <c r="B799" s="28"/>
      <c r="C799" s="28"/>
      <c r="D799" s="28"/>
      <c r="E799" s="49"/>
      <c r="F799" s="49"/>
      <c r="G799" s="49"/>
      <c r="I799" s="28"/>
      <c r="J799" s="28"/>
      <c r="K799" s="28"/>
      <c r="L799" s="28"/>
      <c r="M799" s="28"/>
      <c r="N799" s="54"/>
      <c r="O799" s="50"/>
    </row>
    <row r="800">
      <c r="A800" s="28"/>
      <c r="B800" s="28"/>
      <c r="C800" s="28"/>
      <c r="D800" s="28"/>
      <c r="E800" s="49"/>
      <c r="F800" s="49"/>
      <c r="G800" s="49"/>
      <c r="I800" s="28"/>
      <c r="J800" s="28"/>
      <c r="K800" s="28"/>
      <c r="L800" s="28"/>
      <c r="M800" s="28"/>
      <c r="N800" s="54"/>
      <c r="O800" s="50"/>
    </row>
    <row r="801">
      <c r="A801" s="28"/>
      <c r="B801" s="28"/>
      <c r="C801" s="28"/>
      <c r="D801" s="28"/>
      <c r="E801" s="49"/>
      <c r="F801" s="49"/>
      <c r="G801" s="49"/>
      <c r="I801" s="28"/>
      <c r="J801" s="28"/>
      <c r="K801" s="28"/>
      <c r="L801" s="28"/>
      <c r="M801" s="28"/>
      <c r="N801" s="54"/>
      <c r="O801" s="50"/>
    </row>
    <row r="802">
      <c r="A802" s="28"/>
      <c r="B802" s="28"/>
      <c r="C802" s="28"/>
      <c r="D802" s="28"/>
      <c r="E802" s="49"/>
      <c r="F802" s="49"/>
      <c r="G802" s="49"/>
      <c r="I802" s="28"/>
      <c r="J802" s="28"/>
      <c r="K802" s="28"/>
      <c r="L802" s="28"/>
      <c r="M802" s="28"/>
      <c r="N802" s="54"/>
      <c r="O802" s="50"/>
    </row>
    <row r="803">
      <c r="A803" s="28"/>
      <c r="B803" s="28"/>
      <c r="C803" s="28"/>
      <c r="D803" s="28"/>
      <c r="E803" s="49"/>
      <c r="F803" s="49"/>
      <c r="G803" s="49"/>
      <c r="I803" s="28"/>
      <c r="J803" s="28"/>
      <c r="K803" s="28"/>
      <c r="L803" s="28"/>
      <c r="M803" s="28"/>
      <c r="N803" s="54"/>
      <c r="O803" s="50"/>
    </row>
    <row r="804">
      <c r="A804" s="28"/>
      <c r="B804" s="28"/>
      <c r="C804" s="28"/>
      <c r="D804" s="28"/>
      <c r="E804" s="49"/>
      <c r="F804" s="49"/>
      <c r="G804" s="49"/>
      <c r="I804" s="28"/>
      <c r="J804" s="28"/>
      <c r="K804" s="28"/>
      <c r="L804" s="28"/>
      <c r="M804" s="28"/>
      <c r="N804" s="54"/>
      <c r="O804" s="50"/>
    </row>
    <row r="805">
      <c r="A805" s="28"/>
      <c r="B805" s="28"/>
      <c r="C805" s="28"/>
      <c r="D805" s="28"/>
      <c r="E805" s="49"/>
      <c r="F805" s="49"/>
      <c r="G805" s="49"/>
      <c r="I805" s="28"/>
      <c r="J805" s="28"/>
      <c r="K805" s="28"/>
      <c r="L805" s="28"/>
      <c r="M805" s="28"/>
      <c r="N805" s="54"/>
      <c r="O805" s="50"/>
    </row>
    <row r="806">
      <c r="A806" s="28"/>
      <c r="B806" s="28"/>
      <c r="C806" s="28"/>
      <c r="D806" s="28"/>
      <c r="E806" s="49"/>
      <c r="F806" s="49"/>
      <c r="G806" s="49"/>
      <c r="I806" s="28"/>
      <c r="J806" s="28"/>
      <c r="K806" s="28"/>
      <c r="L806" s="28"/>
      <c r="M806" s="28"/>
      <c r="N806" s="54"/>
      <c r="O806" s="50"/>
    </row>
    <row r="807">
      <c r="A807" s="28"/>
      <c r="B807" s="28"/>
      <c r="C807" s="28"/>
      <c r="D807" s="28"/>
      <c r="E807" s="49"/>
      <c r="F807" s="49"/>
      <c r="G807" s="49"/>
      <c r="I807" s="28"/>
      <c r="J807" s="28"/>
      <c r="K807" s="28"/>
      <c r="L807" s="28"/>
      <c r="M807" s="28"/>
      <c r="N807" s="54"/>
      <c r="O807" s="50"/>
    </row>
    <row r="808">
      <c r="A808" s="28"/>
      <c r="B808" s="28"/>
      <c r="C808" s="28"/>
      <c r="D808" s="28"/>
      <c r="E808" s="49"/>
      <c r="F808" s="49"/>
      <c r="G808" s="49"/>
      <c r="I808" s="28"/>
      <c r="J808" s="28"/>
      <c r="K808" s="28"/>
      <c r="L808" s="28"/>
      <c r="M808" s="28"/>
      <c r="N808" s="54"/>
      <c r="O808" s="50"/>
    </row>
    <row r="809">
      <c r="A809" s="28"/>
      <c r="B809" s="28"/>
      <c r="C809" s="28"/>
      <c r="D809" s="28"/>
      <c r="E809" s="49"/>
      <c r="F809" s="49"/>
      <c r="G809" s="49"/>
      <c r="I809" s="28"/>
      <c r="J809" s="28"/>
      <c r="K809" s="28"/>
      <c r="L809" s="28"/>
      <c r="M809" s="28"/>
      <c r="N809" s="54"/>
      <c r="O809" s="50"/>
    </row>
    <row r="810">
      <c r="A810" s="28"/>
      <c r="B810" s="28"/>
      <c r="C810" s="28"/>
      <c r="D810" s="28"/>
      <c r="E810" s="49"/>
      <c r="F810" s="49"/>
      <c r="G810" s="49"/>
      <c r="I810" s="28"/>
      <c r="J810" s="28"/>
      <c r="K810" s="28"/>
      <c r="L810" s="28"/>
      <c r="M810" s="28"/>
      <c r="N810" s="54"/>
      <c r="O810" s="50"/>
    </row>
    <row r="811">
      <c r="A811" s="28"/>
      <c r="B811" s="28"/>
      <c r="C811" s="28"/>
      <c r="D811" s="28"/>
      <c r="E811" s="49"/>
      <c r="F811" s="49"/>
      <c r="G811" s="49"/>
      <c r="I811" s="28"/>
      <c r="J811" s="28"/>
      <c r="K811" s="28"/>
      <c r="L811" s="28"/>
      <c r="M811" s="28"/>
      <c r="N811" s="54"/>
      <c r="O811" s="50"/>
    </row>
    <row r="812">
      <c r="A812" s="28"/>
      <c r="B812" s="28"/>
      <c r="C812" s="28"/>
      <c r="D812" s="28"/>
      <c r="E812" s="49"/>
      <c r="F812" s="49"/>
      <c r="G812" s="49"/>
      <c r="I812" s="28"/>
      <c r="J812" s="28"/>
      <c r="K812" s="28"/>
      <c r="L812" s="28"/>
      <c r="M812" s="28"/>
      <c r="N812" s="54"/>
      <c r="O812" s="50"/>
    </row>
    <row r="813">
      <c r="A813" s="28"/>
      <c r="B813" s="28"/>
      <c r="C813" s="28"/>
      <c r="D813" s="28"/>
      <c r="E813" s="49"/>
      <c r="F813" s="49"/>
      <c r="G813" s="49"/>
      <c r="I813" s="28"/>
      <c r="J813" s="28"/>
      <c r="K813" s="28"/>
      <c r="L813" s="28"/>
      <c r="M813" s="28"/>
      <c r="N813" s="54"/>
      <c r="O813" s="50"/>
    </row>
    <row r="814">
      <c r="A814" s="28"/>
      <c r="B814" s="28"/>
      <c r="C814" s="28"/>
      <c r="D814" s="28"/>
      <c r="E814" s="49"/>
      <c r="F814" s="49"/>
      <c r="G814" s="49"/>
      <c r="I814" s="28"/>
      <c r="J814" s="28"/>
      <c r="K814" s="28"/>
      <c r="L814" s="28"/>
      <c r="M814" s="28"/>
      <c r="N814" s="54"/>
      <c r="O814" s="50"/>
    </row>
    <row r="815">
      <c r="A815" s="28"/>
      <c r="B815" s="28"/>
      <c r="C815" s="28"/>
      <c r="D815" s="28"/>
      <c r="E815" s="49"/>
      <c r="F815" s="49"/>
      <c r="G815" s="49"/>
      <c r="I815" s="28"/>
      <c r="J815" s="28"/>
      <c r="K815" s="28"/>
      <c r="L815" s="28"/>
      <c r="M815" s="28"/>
      <c r="N815" s="54"/>
      <c r="O815" s="50"/>
    </row>
    <row r="816">
      <c r="A816" s="28"/>
      <c r="B816" s="28"/>
      <c r="C816" s="28"/>
      <c r="D816" s="28"/>
      <c r="E816" s="49"/>
      <c r="F816" s="49"/>
      <c r="G816" s="49"/>
      <c r="I816" s="28"/>
      <c r="J816" s="28"/>
      <c r="K816" s="28"/>
      <c r="L816" s="28"/>
      <c r="M816" s="28"/>
      <c r="N816" s="54"/>
      <c r="O816" s="50"/>
    </row>
    <row r="817">
      <c r="A817" s="28"/>
      <c r="B817" s="28"/>
      <c r="C817" s="28"/>
      <c r="D817" s="28"/>
      <c r="E817" s="49"/>
      <c r="F817" s="49"/>
      <c r="G817" s="49"/>
      <c r="I817" s="28"/>
      <c r="J817" s="28"/>
      <c r="K817" s="28"/>
      <c r="L817" s="28"/>
      <c r="M817" s="28"/>
      <c r="N817" s="54"/>
      <c r="O817" s="50"/>
    </row>
    <row r="818">
      <c r="A818" s="28"/>
      <c r="B818" s="28"/>
      <c r="C818" s="28"/>
      <c r="D818" s="28"/>
      <c r="E818" s="49"/>
      <c r="F818" s="49"/>
      <c r="G818" s="49"/>
      <c r="I818" s="28"/>
      <c r="J818" s="28"/>
      <c r="K818" s="28"/>
      <c r="L818" s="28"/>
      <c r="M818" s="28"/>
      <c r="N818" s="54"/>
      <c r="O818" s="50"/>
    </row>
    <row r="819">
      <c r="A819" s="28"/>
      <c r="B819" s="28"/>
      <c r="C819" s="28"/>
      <c r="D819" s="28"/>
      <c r="E819" s="49"/>
      <c r="F819" s="49"/>
      <c r="G819" s="49"/>
      <c r="I819" s="28"/>
      <c r="J819" s="28"/>
      <c r="K819" s="28"/>
      <c r="L819" s="28"/>
      <c r="M819" s="28"/>
      <c r="N819" s="54"/>
      <c r="O819" s="50"/>
    </row>
    <row r="820">
      <c r="A820" s="28"/>
      <c r="B820" s="28"/>
      <c r="C820" s="28"/>
      <c r="D820" s="28"/>
      <c r="E820" s="49"/>
      <c r="F820" s="49"/>
      <c r="G820" s="49"/>
      <c r="I820" s="28"/>
      <c r="J820" s="28"/>
      <c r="K820" s="28"/>
      <c r="L820" s="28"/>
      <c r="M820" s="28"/>
      <c r="N820" s="54"/>
      <c r="O820" s="50"/>
    </row>
    <row r="821">
      <c r="A821" s="28"/>
      <c r="B821" s="28"/>
      <c r="C821" s="28"/>
      <c r="D821" s="28"/>
      <c r="E821" s="49"/>
      <c r="F821" s="49"/>
      <c r="G821" s="49"/>
      <c r="I821" s="28"/>
      <c r="J821" s="28"/>
      <c r="K821" s="28"/>
      <c r="L821" s="28"/>
      <c r="M821" s="28"/>
      <c r="N821" s="54"/>
      <c r="O821" s="50"/>
    </row>
    <row r="822">
      <c r="A822" s="28"/>
      <c r="B822" s="28"/>
      <c r="C822" s="28"/>
      <c r="D822" s="28"/>
      <c r="E822" s="49"/>
      <c r="F822" s="49"/>
      <c r="G822" s="49"/>
      <c r="I822" s="28"/>
      <c r="J822" s="28"/>
      <c r="K822" s="28"/>
      <c r="L822" s="28"/>
      <c r="M822" s="28"/>
      <c r="N822" s="54"/>
      <c r="O822" s="50"/>
    </row>
    <row r="823">
      <c r="A823" s="28"/>
      <c r="B823" s="28"/>
      <c r="C823" s="28"/>
      <c r="D823" s="28"/>
      <c r="E823" s="49"/>
      <c r="F823" s="49"/>
      <c r="G823" s="49"/>
      <c r="I823" s="28"/>
      <c r="J823" s="28"/>
      <c r="K823" s="28"/>
      <c r="L823" s="28"/>
      <c r="M823" s="28"/>
      <c r="N823" s="54"/>
      <c r="O823" s="50"/>
    </row>
    <row r="824">
      <c r="A824" s="28"/>
      <c r="B824" s="28"/>
      <c r="C824" s="28"/>
      <c r="D824" s="28"/>
      <c r="E824" s="49"/>
      <c r="F824" s="49"/>
      <c r="G824" s="49"/>
      <c r="I824" s="28"/>
      <c r="J824" s="28"/>
      <c r="K824" s="28"/>
      <c r="L824" s="28"/>
      <c r="M824" s="28"/>
      <c r="N824" s="54"/>
      <c r="O824" s="50"/>
    </row>
    <row r="825">
      <c r="A825" s="28"/>
      <c r="B825" s="28"/>
      <c r="C825" s="28"/>
      <c r="D825" s="28"/>
      <c r="E825" s="49"/>
      <c r="F825" s="49"/>
      <c r="G825" s="49"/>
      <c r="I825" s="28"/>
      <c r="J825" s="28"/>
      <c r="K825" s="28"/>
      <c r="L825" s="28"/>
      <c r="M825" s="28"/>
      <c r="N825" s="54"/>
      <c r="O825" s="50"/>
    </row>
    <row r="826">
      <c r="A826" s="28"/>
      <c r="B826" s="28"/>
      <c r="C826" s="28"/>
      <c r="D826" s="28"/>
      <c r="E826" s="49"/>
      <c r="F826" s="49"/>
      <c r="G826" s="49"/>
      <c r="I826" s="28"/>
      <c r="J826" s="28"/>
      <c r="K826" s="28"/>
      <c r="L826" s="28"/>
      <c r="M826" s="28"/>
      <c r="N826" s="54"/>
      <c r="O826" s="50"/>
    </row>
    <row r="827">
      <c r="A827" s="28"/>
      <c r="B827" s="28"/>
      <c r="C827" s="28"/>
      <c r="D827" s="28"/>
      <c r="E827" s="49"/>
      <c r="F827" s="49"/>
      <c r="G827" s="49"/>
      <c r="I827" s="28"/>
      <c r="J827" s="28"/>
      <c r="K827" s="28"/>
      <c r="L827" s="28"/>
      <c r="M827" s="28"/>
      <c r="N827" s="54"/>
      <c r="O827" s="50"/>
    </row>
    <row r="828">
      <c r="A828" s="28"/>
      <c r="B828" s="28"/>
      <c r="C828" s="28"/>
      <c r="D828" s="28"/>
      <c r="E828" s="49"/>
      <c r="F828" s="49"/>
      <c r="G828" s="49"/>
      <c r="I828" s="28"/>
      <c r="J828" s="28"/>
      <c r="K828" s="28"/>
      <c r="L828" s="28"/>
      <c r="M828" s="28"/>
      <c r="N828" s="54"/>
      <c r="O828" s="50"/>
    </row>
    <row r="829">
      <c r="A829" s="28"/>
      <c r="B829" s="28"/>
      <c r="C829" s="28"/>
      <c r="D829" s="28"/>
      <c r="E829" s="49"/>
      <c r="F829" s="49"/>
      <c r="G829" s="49"/>
      <c r="I829" s="28"/>
      <c r="J829" s="28"/>
      <c r="K829" s="28"/>
      <c r="L829" s="28"/>
      <c r="M829" s="28"/>
      <c r="N829" s="54"/>
      <c r="O829" s="50"/>
    </row>
    <row r="830">
      <c r="A830" s="28"/>
      <c r="B830" s="28"/>
      <c r="C830" s="28"/>
      <c r="D830" s="28"/>
      <c r="E830" s="49"/>
      <c r="F830" s="49"/>
      <c r="G830" s="49"/>
      <c r="I830" s="28"/>
      <c r="J830" s="28"/>
      <c r="K830" s="28"/>
      <c r="L830" s="28"/>
      <c r="M830" s="28"/>
      <c r="N830" s="54"/>
      <c r="O830" s="50"/>
    </row>
    <row r="831">
      <c r="A831" s="28"/>
      <c r="B831" s="28"/>
      <c r="C831" s="28"/>
      <c r="D831" s="28"/>
      <c r="E831" s="49"/>
      <c r="F831" s="49"/>
      <c r="G831" s="49"/>
      <c r="I831" s="28"/>
      <c r="J831" s="28"/>
      <c r="K831" s="28"/>
      <c r="L831" s="28"/>
      <c r="M831" s="28"/>
      <c r="N831" s="54"/>
      <c r="O831" s="50"/>
    </row>
    <row r="832">
      <c r="A832" s="28"/>
      <c r="B832" s="28"/>
      <c r="C832" s="28"/>
      <c r="D832" s="28"/>
      <c r="E832" s="49"/>
      <c r="F832" s="49"/>
      <c r="G832" s="49"/>
      <c r="I832" s="28"/>
      <c r="J832" s="28"/>
      <c r="K832" s="28"/>
      <c r="L832" s="28"/>
      <c r="M832" s="28"/>
      <c r="N832" s="54"/>
      <c r="O832" s="50"/>
    </row>
    <row r="833">
      <c r="A833" s="28"/>
      <c r="B833" s="28"/>
      <c r="C833" s="28"/>
      <c r="D833" s="28"/>
      <c r="E833" s="49"/>
      <c r="F833" s="49"/>
      <c r="G833" s="49"/>
      <c r="I833" s="28"/>
      <c r="J833" s="28"/>
      <c r="K833" s="28"/>
      <c r="L833" s="28"/>
      <c r="M833" s="28"/>
      <c r="N833" s="54"/>
      <c r="O833" s="50"/>
    </row>
    <row r="834">
      <c r="A834" s="28"/>
      <c r="B834" s="28"/>
      <c r="C834" s="28"/>
      <c r="D834" s="28"/>
      <c r="E834" s="49"/>
      <c r="F834" s="49"/>
      <c r="G834" s="49"/>
      <c r="I834" s="28"/>
      <c r="J834" s="28"/>
      <c r="K834" s="28"/>
      <c r="L834" s="28"/>
      <c r="M834" s="28"/>
      <c r="N834" s="54"/>
      <c r="O834" s="50"/>
    </row>
    <row r="835">
      <c r="A835" s="28"/>
      <c r="B835" s="28"/>
      <c r="C835" s="28"/>
      <c r="D835" s="28"/>
      <c r="E835" s="49"/>
      <c r="F835" s="49"/>
      <c r="G835" s="49"/>
      <c r="I835" s="28"/>
      <c r="J835" s="28"/>
      <c r="K835" s="28"/>
      <c r="L835" s="28"/>
      <c r="M835" s="28"/>
      <c r="N835" s="54"/>
      <c r="O835" s="50"/>
    </row>
    <row r="836">
      <c r="A836" s="28"/>
      <c r="B836" s="28"/>
      <c r="C836" s="28"/>
      <c r="D836" s="28"/>
      <c r="E836" s="49"/>
      <c r="F836" s="49"/>
      <c r="G836" s="49"/>
      <c r="I836" s="28"/>
      <c r="J836" s="28"/>
      <c r="K836" s="28"/>
      <c r="L836" s="28"/>
      <c r="M836" s="28"/>
      <c r="N836" s="54"/>
      <c r="O836" s="50"/>
    </row>
    <row r="837">
      <c r="A837" s="28"/>
      <c r="B837" s="28"/>
      <c r="C837" s="28"/>
      <c r="D837" s="28"/>
      <c r="E837" s="49"/>
      <c r="F837" s="49"/>
      <c r="G837" s="49"/>
      <c r="I837" s="28"/>
      <c r="J837" s="28"/>
      <c r="K837" s="28"/>
      <c r="L837" s="28"/>
      <c r="M837" s="28"/>
      <c r="N837" s="54"/>
      <c r="O837" s="50"/>
    </row>
    <row r="838">
      <c r="A838" s="28"/>
      <c r="B838" s="28"/>
      <c r="C838" s="28"/>
      <c r="D838" s="28"/>
      <c r="E838" s="49"/>
      <c r="F838" s="49"/>
      <c r="G838" s="49"/>
      <c r="I838" s="28"/>
      <c r="J838" s="28"/>
      <c r="K838" s="28"/>
      <c r="L838" s="28"/>
      <c r="M838" s="28"/>
      <c r="N838" s="54"/>
      <c r="O838" s="50"/>
    </row>
    <row r="839">
      <c r="A839" s="28"/>
      <c r="B839" s="28"/>
      <c r="C839" s="28"/>
      <c r="D839" s="28"/>
      <c r="E839" s="49"/>
      <c r="F839" s="49"/>
      <c r="G839" s="49"/>
      <c r="I839" s="28"/>
      <c r="J839" s="28"/>
      <c r="K839" s="28"/>
      <c r="L839" s="28"/>
      <c r="M839" s="28"/>
      <c r="N839" s="54"/>
      <c r="O839" s="50"/>
    </row>
    <row r="840">
      <c r="A840" s="28"/>
      <c r="B840" s="28"/>
      <c r="C840" s="28"/>
      <c r="D840" s="28"/>
      <c r="E840" s="49"/>
      <c r="F840" s="49"/>
      <c r="G840" s="49"/>
      <c r="I840" s="28"/>
      <c r="J840" s="28"/>
      <c r="K840" s="28"/>
      <c r="L840" s="28"/>
      <c r="M840" s="28"/>
      <c r="N840" s="54"/>
      <c r="O840" s="50"/>
    </row>
    <row r="841">
      <c r="A841" s="28"/>
      <c r="B841" s="28"/>
      <c r="C841" s="28"/>
      <c r="D841" s="28"/>
      <c r="E841" s="49"/>
      <c r="F841" s="49"/>
      <c r="G841" s="49"/>
      <c r="I841" s="28"/>
      <c r="J841" s="28"/>
      <c r="K841" s="28"/>
      <c r="L841" s="28"/>
      <c r="M841" s="28"/>
      <c r="N841" s="54"/>
      <c r="O841" s="50"/>
    </row>
    <row r="842">
      <c r="A842" s="28"/>
      <c r="B842" s="28"/>
      <c r="C842" s="28"/>
      <c r="D842" s="28"/>
      <c r="E842" s="49"/>
      <c r="F842" s="49"/>
      <c r="G842" s="49"/>
      <c r="I842" s="28"/>
      <c r="J842" s="28"/>
      <c r="K842" s="28"/>
      <c r="L842" s="28"/>
      <c r="M842" s="28"/>
      <c r="N842" s="54"/>
      <c r="O842" s="50"/>
    </row>
    <row r="843">
      <c r="A843" s="28"/>
      <c r="B843" s="28"/>
      <c r="C843" s="28"/>
      <c r="D843" s="28"/>
      <c r="E843" s="49"/>
      <c r="F843" s="49"/>
      <c r="G843" s="49"/>
      <c r="I843" s="28"/>
      <c r="J843" s="28"/>
      <c r="K843" s="28"/>
      <c r="L843" s="28"/>
      <c r="M843" s="28"/>
      <c r="N843" s="54"/>
      <c r="O843" s="50"/>
    </row>
    <row r="844">
      <c r="A844" s="28"/>
      <c r="B844" s="28"/>
      <c r="C844" s="28"/>
      <c r="D844" s="28"/>
      <c r="E844" s="49"/>
      <c r="F844" s="49"/>
      <c r="G844" s="49"/>
      <c r="I844" s="28"/>
      <c r="J844" s="28"/>
      <c r="K844" s="28"/>
      <c r="L844" s="28"/>
      <c r="M844" s="28"/>
      <c r="N844" s="54"/>
      <c r="O844" s="50"/>
    </row>
    <row r="845">
      <c r="A845" s="28"/>
      <c r="B845" s="28"/>
      <c r="C845" s="28"/>
      <c r="D845" s="28"/>
      <c r="E845" s="49"/>
      <c r="F845" s="49"/>
      <c r="G845" s="49"/>
      <c r="I845" s="28"/>
      <c r="J845" s="28"/>
      <c r="K845" s="28"/>
      <c r="L845" s="28"/>
      <c r="M845" s="28"/>
      <c r="N845" s="54"/>
      <c r="O845" s="50"/>
    </row>
    <row r="846">
      <c r="A846" s="28"/>
      <c r="B846" s="28"/>
      <c r="C846" s="28"/>
      <c r="D846" s="28"/>
      <c r="E846" s="49"/>
      <c r="F846" s="49"/>
      <c r="G846" s="49"/>
      <c r="I846" s="28"/>
      <c r="J846" s="28"/>
      <c r="K846" s="28"/>
      <c r="L846" s="28"/>
      <c r="M846" s="28"/>
      <c r="N846" s="54"/>
      <c r="O846" s="50"/>
    </row>
    <row r="847">
      <c r="A847" s="28"/>
      <c r="B847" s="28"/>
      <c r="C847" s="28"/>
      <c r="D847" s="28"/>
      <c r="E847" s="49"/>
      <c r="F847" s="49"/>
      <c r="G847" s="49"/>
      <c r="I847" s="28"/>
      <c r="J847" s="28"/>
      <c r="K847" s="28"/>
      <c r="L847" s="28"/>
      <c r="M847" s="28"/>
      <c r="N847" s="54"/>
      <c r="O847" s="50"/>
    </row>
    <row r="848">
      <c r="A848" s="28"/>
      <c r="B848" s="28"/>
      <c r="C848" s="28"/>
      <c r="D848" s="28"/>
      <c r="E848" s="49"/>
      <c r="F848" s="49"/>
      <c r="G848" s="49"/>
      <c r="I848" s="28"/>
      <c r="J848" s="28"/>
      <c r="K848" s="28"/>
      <c r="L848" s="28"/>
      <c r="M848" s="28"/>
      <c r="N848" s="54"/>
      <c r="O848" s="50"/>
    </row>
    <row r="849">
      <c r="A849" s="28"/>
      <c r="B849" s="28"/>
      <c r="C849" s="28"/>
      <c r="D849" s="28"/>
      <c r="E849" s="49"/>
      <c r="F849" s="49"/>
      <c r="G849" s="49"/>
      <c r="I849" s="28"/>
      <c r="J849" s="28"/>
      <c r="K849" s="28"/>
      <c r="L849" s="28"/>
      <c r="M849" s="28"/>
      <c r="N849" s="54"/>
      <c r="O849" s="50"/>
    </row>
    <row r="850">
      <c r="A850" s="28"/>
      <c r="B850" s="28"/>
      <c r="C850" s="28"/>
      <c r="D850" s="28"/>
      <c r="E850" s="49"/>
      <c r="F850" s="49"/>
      <c r="G850" s="49"/>
      <c r="I850" s="28"/>
      <c r="J850" s="28"/>
      <c r="K850" s="28"/>
      <c r="L850" s="28"/>
      <c r="M850" s="28"/>
      <c r="N850" s="54"/>
      <c r="O850" s="50"/>
    </row>
    <row r="851">
      <c r="A851" s="28"/>
      <c r="B851" s="28"/>
      <c r="C851" s="28"/>
      <c r="D851" s="28"/>
      <c r="E851" s="49"/>
      <c r="F851" s="49"/>
      <c r="G851" s="49"/>
      <c r="I851" s="28"/>
      <c r="J851" s="28"/>
      <c r="K851" s="28"/>
      <c r="L851" s="28"/>
      <c r="M851" s="28"/>
      <c r="N851" s="54"/>
      <c r="O851" s="50"/>
    </row>
    <row r="852">
      <c r="A852" s="28"/>
      <c r="B852" s="28"/>
      <c r="C852" s="28"/>
      <c r="D852" s="28"/>
      <c r="E852" s="49"/>
      <c r="F852" s="49"/>
      <c r="G852" s="49"/>
      <c r="I852" s="28"/>
      <c r="J852" s="28"/>
      <c r="K852" s="28"/>
      <c r="L852" s="28"/>
      <c r="M852" s="28"/>
      <c r="N852" s="54"/>
      <c r="O852" s="50"/>
    </row>
    <row r="853">
      <c r="A853" s="28"/>
      <c r="B853" s="28"/>
      <c r="C853" s="28"/>
      <c r="D853" s="28"/>
      <c r="E853" s="49"/>
      <c r="F853" s="49"/>
      <c r="G853" s="49"/>
      <c r="I853" s="28"/>
      <c r="J853" s="28"/>
      <c r="K853" s="28"/>
      <c r="L853" s="28"/>
      <c r="M853" s="28"/>
      <c r="N853" s="54"/>
      <c r="O853" s="50"/>
    </row>
    <row r="854">
      <c r="A854" s="28"/>
      <c r="B854" s="28"/>
      <c r="C854" s="28"/>
      <c r="D854" s="28"/>
      <c r="E854" s="49"/>
      <c r="F854" s="49"/>
      <c r="G854" s="49"/>
      <c r="I854" s="28"/>
      <c r="J854" s="28"/>
      <c r="K854" s="28"/>
      <c r="L854" s="28"/>
      <c r="M854" s="28"/>
      <c r="N854" s="54"/>
      <c r="O854" s="50"/>
    </row>
    <row r="855">
      <c r="A855" s="28"/>
      <c r="B855" s="28"/>
      <c r="C855" s="28"/>
      <c r="D855" s="28"/>
      <c r="E855" s="49"/>
      <c r="F855" s="49"/>
      <c r="G855" s="49"/>
      <c r="I855" s="28"/>
      <c r="J855" s="28"/>
      <c r="K855" s="28"/>
      <c r="L855" s="28"/>
      <c r="M855" s="28"/>
      <c r="N855" s="54"/>
      <c r="O855" s="50"/>
    </row>
    <row r="856">
      <c r="A856" s="28"/>
      <c r="B856" s="28"/>
      <c r="C856" s="28"/>
      <c r="D856" s="28"/>
      <c r="E856" s="49"/>
      <c r="F856" s="49"/>
      <c r="G856" s="49"/>
      <c r="I856" s="28"/>
      <c r="J856" s="28"/>
      <c r="K856" s="28"/>
      <c r="L856" s="28"/>
      <c r="M856" s="28"/>
      <c r="N856" s="54"/>
      <c r="O856" s="50"/>
    </row>
    <row r="857">
      <c r="A857" s="28"/>
      <c r="B857" s="28"/>
      <c r="C857" s="28"/>
      <c r="D857" s="28"/>
      <c r="E857" s="49"/>
      <c r="F857" s="49"/>
      <c r="G857" s="49"/>
      <c r="I857" s="28"/>
      <c r="J857" s="28"/>
      <c r="K857" s="28"/>
      <c r="L857" s="28"/>
      <c r="M857" s="28"/>
      <c r="N857" s="54"/>
      <c r="O857" s="50"/>
    </row>
    <row r="858">
      <c r="A858" s="28"/>
      <c r="B858" s="28"/>
      <c r="C858" s="28"/>
      <c r="D858" s="28"/>
      <c r="E858" s="49"/>
      <c r="F858" s="49"/>
      <c r="G858" s="49"/>
      <c r="I858" s="28"/>
      <c r="J858" s="28"/>
      <c r="K858" s="28"/>
      <c r="L858" s="28"/>
      <c r="M858" s="28"/>
      <c r="N858" s="54"/>
      <c r="O858" s="50"/>
    </row>
    <row r="859">
      <c r="A859" s="28"/>
      <c r="B859" s="28"/>
      <c r="C859" s="28"/>
      <c r="D859" s="28"/>
      <c r="E859" s="49"/>
      <c r="F859" s="49"/>
      <c r="G859" s="49"/>
      <c r="I859" s="28"/>
      <c r="J859" s="28"/>
      <c r="K859" s="28"/>
      <c r="L859" s="28"/>
      <c r="M859" s="28"/>
      <c r="N859" s="54"/>
      <c r="O859" s="50"/>
    </row>
    <row r="860">
      <c r="A860" s="28"/>
      <c r="B860" s="28"/>
      <c r="C860" s="28"/>
      <c r="D860" s="28"/>
      <c r="E860" s="49"/>
      <c r="F860" s="49"/>
      <c r="G860" s="49"/>
      <c r="I860" s="28"/>
      <c r="J860" s="28"/>
      <c r="K860" s="28"/>
      <c r="L860" s="28"/>
      <c r="M860" s="28"/>
      <c r="N860" s="54"/>
      <c r="O860" s="50"/>
    </row>
    <row r="861">
      <c r="A861" s="28"/>
      <c r="B861" s="28"/>
      <c r="C861" s="28"/>
      <c r="D861" s="28"/>
      <c r="E861" s="49"/>
      <c r="F861" s="49"/>
      <c r="G861" s="49"/>
      <c r="I861" s="28"/>
      <c r="J861" s="28"/>
      <c r="K861" s="28"/>
      <c r="L861" s="28"/>
      <c r="M861" s="28"/>
      <c r="N861" s="54"/>
      <c r="O861" s="50"/>
    </row>
    <row r="862">
      <c r="A862" s="28"/>
      <c r="B862" s="28"/>
      <c r="C862" s="28"/>
      <c r="D862" s="28"/>
      <c r="E862" s="49"/>
      <c r="F862" s="49"/>
      <c r="G862" s="49"/>
      <c r="I862" s="28"/>
      <c r="J862" s="28"/>
      <c r="K862" s="28"/>
      <c r="L862" s="28"/>
      <c r="M862" s="28"/>
      <c r="N862" s="54"/>
      <c r="O862" s="50"/>
    </row>
    <row r="863">
      <c r="A863" s="28"/>
      <c r="B863" s="28"/>
      <c r="C863" s="28"/>
      <c r="D863" s="28"/>
      <c r="E863" s="49"/>
      <c r="F863" s="49"/>
      <c r="G863" s="49"/>
      <c r="I863" s="28"/>
      <c r="J863" s="28"/>
      <c r="K863" s="28"/>
      <c r="L863" s="28"/>
      <c r="M863" s="28"/>
      <c r="N863" s="54"/>
      <c r="O863" s="50"/>
    </row>
    <row r="864">
      <c r="A864" s="28"/>
      <c r="B864" s="28"/>
      <c r="C864" s="28"/>
      <c r="D864" s="28"/>
      <c r="E864" s="49"/>
      <c r="F864" s="49"/>
      <c r="G864" s="49"/>
      <c r="I864" s="28"/>
      <c r="J864" s="28"/>
      <c r="K864" s="28"/>
      <c r="L864" s="28"/>
      <c r="M864" s="28"/>
      <c r="N864" s="54"/>
      <c r="O864" s="50"/>
    </row>
    <row r="865">
      <c r="A865" s="28"/>
      <c r="B865" s="28"/>
      <c r="C865" s="28"/>
      <c r="D865" s="28"/>
      <c r="E865" s="49"/>
      <c r="F865" s="49"/>
      <c r="G865" s="49"/>
      <c r="I865" s="28"/>
      <c r="J865" s="28"/>
      <c r="K865" s="28"/>
      <c r="L865" s="28"/>
      <c r="M865" s="28"/>
      <c r="N865" s="54"/>
      <c r="O865" s="50"/>
    </row>
    <row r="866">
      <c r="A866" s="28"/>
      <c r="B866" s="28"/>
      <c r="C866" s="28"/>
      <c r="D866" s="28"/>
      <c r="E866" s="49"/>
      <c r="F866" s="49"/>
      <c r="G866" s="49"/>
      <c r="I866" s="28"/>
      <c r="J866" s="28"/>
      <c r="K866" s="28"/>
      <c r="L866" s="28"/>
      <c r="M866" s="28"/>
      <c r="N866" s="54"/>
      <c r="O866" s="50"/>
    </row>
    <row r="867">
      <c r="A867" s="28"/>
      <c r="B867" s="28"/>
      <c r="C867" s="28"/>
      <c r="D867" s="28"/>
      <c r="E867" s="49"/>
      <c r="F867" s="49"/>
      <c r="G867" s="49"/>
      <c r="I867" s="28"/>
      <c r="J867" s="28"/>
      <c r="K867" s="28"/>
      <c r="L867" s="28"/>
      <c r="M867" s="28"/>
      <c r="N867" s="54"/>
      <c r="O867" s="50"/>
    </row>
    <row r="868">
      <c r="A868" s="28"/>
      <c r="B868" s="28"/>
      <c r="C868" s="28"/>
      <c r="D868" s="28"/>
      <c r="E868" s="49"/>
      <c r="F868" s="49"/>
      <c r="G868" s="49"/>
      <c r="I868" s="28"/>
      <c r="J868" s="28"/>
      <c r="K868" s="28"/>
      <c r="L868" s="28"/>
      <c r="M868" s="28"/>
      <c r="N868" s="54"/>
      <c r="O868" s="50"/>
    </row>
    <row r="869">
      <c r="A869" s="28"/>
      <c r="B869" s="28"/>
      <c r="C869" s="28"/>
      <c r="D869" s="28"/>
      <c r="E869" s="49"/>
      <c r="F869" s="49"/>
      <c r="G869" s="49"/>
      <c r="I869" s="28"/>
      <c r="J869" s="28"/>
      <c r="K869" s="28"/>
      <c r="L869" s="28"/>
      <c r="M869" s="28"/>
      <c r="N869" s="54"/>
      <c r="O869" s="50"/>
    </row>
    <row r="870">
      <c r="A870" s="28"/>
      <c r="B870" s="28"/>
      <c r="C870" s="28"/>
      <c r="D870" s="28"/>
      <c r="E870" s="49"/>
      <c r="F870" s="49"/>
      <c r="G870" s="49"/>
      <c r="I870" s="28"/>
      <c r="J870" s="28"/>
      <c r="K870" s="28"/>
      <c r="L870" s="28"/>
      <c r="M870" s="28"/>
      <c r="N870" s="54"/>
      <c r="O870" s="50"/>
    </row>
    <row r="871">
      <c r="A871" s="28"/>
      <c r="B871" s="28"/>
      <c r="C871" s="28"/>
      <c r="D871" s="28"/>
      <c r="E871" s="49"/>
      <c r="F871" s="49"/>
      <c r="G871" s="49"/>
      <c r="I871" s="28"/>
      <c r="J871" s="28"/>
      <c r="K871" s="28"/>
      <c r="L871" s="28"/>
      <c r="M871" s="28"/>
      <c r="N871" s="54"/>
      <c r="O871" s="50"/>
    </row>
    <row r="872">
      <c r="A872" s="28"/>
      <c r="B872" s="28"/>
      <c r="C872" s="28"/>
      <c r="D872" s="28"/>
      <c r="E872" s="49"/>
      <c r="F872" s="49"/>
      <c r="G872" s="49"/>
      <c r="I872" s="28"/>
      <c r="J872" s="28"/>
      <c r="K872" s="28"/>
      <c r="L872" s="28"/>
      <c r="M872" s="28"/>
      <c r="N872" s="54"/>
      <c r="O872" s="50"/>
    </row>
    <row r="873">
      <c r="A873" s="28"/>
      <c r="B873" s="28"/>
      <c r="C873" s="28"/>
      <c r="D873" s="28"/>
      <c r="E873" s="49"/>
      <c r="F873" s="49"/>
      <c r="G873" s="49"/>
      <c r="I873" s="28"/>
      <c r="J873" s="28"/>
      <c r="K873" s="28"/>
      <c r="L873" s="28"/>
      <c r="M873" s="28"/>
      <c r="N873" s="54"/>
      <c r="O873" s="50"/>
    </row>
    <row r="874">
      <c r="A874" s="28"/>
      <c r="B874" s="28"/>
      <c r="C874" s="28"/>
      <c r="D874" s="28"/>
      <c r="E874" s="49"/>
      <c r="F874" s="49"/>
      <c r="G874" s="49"/>
      <c r="I874" s="28"/>
      <c r="J874" s="28"/>
      <c r="K874" s="28"/>
      <c r="L874" s="28"/>
      <c r="M874" s="28"/>
      <c r="N874" s="54"/>
      <c r="O874" s="50"/>
    </row>
    <row r="875">
      <c r="A875" s="28"/>
      <c r="B875" s="28"/>
      <c r="C875" s="28"/>
      <c r="D875" s="28"/>
      <c r="E875" s="49"/>
      <c r="F875" s="49"/>
      <c r="G875" s="49"/>
      <c r="I875" s="28"/>
      <c r="J875" s="28"/>
      <c r="K875" s="28"/>
      <c r="L875" s="28"/>
      <c r="M875" s="28"/>
      <c r="N875" s="54"/>
      <c r="O875" s="50"/>
    </row>
    <row r="876">
      <c r="A876" s="28"/>
      <c r="B876" s="28"/>
      <c r="C876" s="28"/>
      <c r="D876" s="28"/>
      <c r="E876" s="49"/>
      <c r="F876" s="49"/>
      <c r="G876" s="49"/>
      <c r="I876" s="28"/>
      <c r="J876" s="28"/>
      <c r="K876" s="28"/>
      <c r="L876" s="28"/>
      <c r="M876" s="28"/>
      <c r="N876" s="54"/>
      <c r="O876" s="50"/>
    </row>
    <row r="877">
      <c r="A877" s="28"/>
      <c r="B877" s="28"/>
      <c r="C877" s="28"/>
      <c r="D877" s="28"/>
      <c r="E877" s="49"/>
      <c r="F877" s="49"/>
      <c r="G877" s="49"/>
      <c r="I877" s="28"/>
      <c r="J877" s="28"/>
      <c r="K877" s="28"/>
      <c r="L877" s="28"/>
      <c r="M877" s="28"/>
      <c r="N877" s="54"/>
      <c r="O877" s="50"/>
    </row>
    <row r="878">
      <c r="A878" s="28"/>
      <c r="B878" s="28"/>
      <c r="C878" s="28"/>
      <c r="D878" s="28"/>
      <c r="E878" s="49"/>
      <c r="F878" s="49"/>
      <c r="G878" s="49"/>
      <c r="I878" s="28"/>
      <c r="J878" s="28"/>
      <c r="K878" s="28"/>
      <c r="L878" s="28"/>
      <c r="M878" s="28"/>
      <c r="N878" s="54"/>
      <c r="O878" s="50"/>
    </row>
    <row r="879">
      <c r="A879" s="28"/>
      <c r="B879" s="28"/>
      <c r="C879" s="28"/>
      <c r="D879" s="28"/>
      <c r="E879" s="49"/>
      <c r="F879" s="49"/>
      <c r="G879" s="49"/>
      <c r="I879" s="28"/>
      <c r="J879" s="28"/>
      <c r="K879" s="28"/>
      <c r="L879" s="28"/>
      <c r="M879" s="28"/>
      <c r="N879" s="54"/>
      <c r="O879" s="50"/>
    </row>
    <row r="880">
      <c r="A880" s="28"/>
      <c r="B880" s="28"/>
      <c r="C880" s="28"/>
      <c r="D880" s="28"/>
      <c r="E880" s="49"/>
      <c r="F880" s="49"/>
      <c r="G880" s="49"/>
      <c r="I880" s="28"/>
      <c r="J880" s="28"/>
      <c r="K880" s="28"/>
      <c r="L880" s="28"/>
      <c r="M880" s="28"/>
      <c r="N880" s="54"/>
      <c r="O880" s="50"/>
    </row>
    <row r="881">
      <c r="A881" s="28"/>
      <c r="B881" s="28"/>
      <c r="C881" s="28"/>
      <c r="D881" s="28"/>
      <c r="E881" s="49"/>
      <c r="F881" s="49"/>
      <c r="G881" s="49"/>
      <c r="I881" s="28"/>
      <c r="J881" s="28"/>
      <c r="K881" s="28"/>
      <c r="L881" s="28"/>
      <c r="M881" s="28"/>
      <c r="N881" s="54"/>
      <c r="O881" s="50"/>
    </row>
    <row r="882">
      <c r="A882" s="28"/>
      <c r="B882" s="28"/>
      <c r="C882" s="28"/>
      <c r="D882" s="28"/>
      <c r="E882" s="49"/>
      <c r="F882" s="49"/>
      <c r="G882" s="49"/>
      <c r="I882" s="28"/>
      <c r="J882" s="28"/>
      <c r="K882" s="28"/>
      <c r="L882" s="28"/>
      <c r="M882" s="28"/>
      <c r="N882" s="54"/>
      <c r="O882" s="50"/>
    </row>
    <row r="883">
      <c r="A883" s="28"/>
      <c r="B883" s="28"/>
      <c r="C883" s="28"/>
      <c r="D883" s="28"/>
      <c r="E883" s="49"/>
      <c r="F883" s="49"/>
      <c r="G883" s="49"/>
      <c r="I883" s="28"/>
      <c r="J883" s="28"/>
      <c r="K883" s="28"/>
      <c r="L883" s="28"/>
      <c r="M883" s="28"/>
      <c r="N883" s="54"/>
      <c r="O883" s="50"/>
    </row>
    <row r="884">
      <c r="A884" s="28"/>
      <c r="B884" s="28"/>
      <c r="C884" s="28"/>
      <c r="D884" s="28"/>
      <c r="E884" s="49"/>
      <c r="F884" s="49"/>
      <c r="G884" s="49"/>
      <c r="I884" s="28"/>
      <c r="J884" s="28"/>
      <c r="K884" s="28"/>
      <c r="L884" s="28"/>
      <c r="M884" s="28"/>
      <c r="N884" s="54"/>
      <c r="O884" s="50"/>
    </row>
    <row r="885">
      <c r="A885" s="28"/>
      <c r="B885" s="28"/>
      <c r="C885" s="28"/>
      <c r="D885" s="28"/>
      <c r="E885" s="49"/>
      <c r="F885" s="49"/>
      <c r="G885" s="49"/>
      <c r="I885" s="28"/>
      <c r="J885" s="28"/>
      <c r="K885" s="28"/>
      <c r="L885" s="28"/>
      <c r="M885" s="28"/>
      <c r="N885" s="54"/>
      <c r="O885" s="50"/>
    </row>
    <row r="886">
      <c r="A886" s="28"/>
      <c r="B886" s="28"/>
      <c r="C886" s="28"/>
      <c r="D886" s="28"/>
      <c r="E886" s="49"/>
      <c r="F886" s="49"/>
      <c r="G886" s="49"/>
      <c r="I886" s="28"/>
      <c r="J886" s="28"/>
      <c r="K886" s="28"/>
      <c r="L886" s="28"/>
      <c r="M886" s="28"/>
      <c r="N886" s="54"/>
      <c r="O886" s="50"/>
    </row>
    <row r="887">
      <c r="A887" s="28"/>
      <c r="B887" s="28"/>
      <c r="C887" s="28"/>
      <c r="D887" s="28"/>
      <c r="E887" s="49"/>
      <c r="F887" s="49"/>
      <c r="G887" s="49"/>
      <c r="I887" s="28"/>
      <c r="J887" s="28"/>
      <c r="K887" s="28"/>
      <c r="L887" s="28"/>
      <c r="M887" s="28"/>
      <c r="N887" s="54"/>
      <c r="O887" s="50"/>
    </row>
    <row r="888">
      <c r="A888" s="28"/>
      <c r="B888" s="28"/>
      <c r="C888" s="28"/>
      <c r="D888" s="28"/>
      <c r="E888" s="49"/>
      <c r="F888" s="49"/>
      <c r="G888" s="49"/>
      <c r="I888" s="28"/>
      <c r="J888" s="28"/>
      <c r="K888" s="28"/>
      <c r="L888" s="28"/>
      <c r="M888" s="28"/>
      <c r="N888" s="54"/>
      <c r="O888" s="50"/>
    </row>
    <row r="889">
      <c r="A889" s="28"/>
      <c r="B889" s="28"/>
      <c r="C889" s="28"/>
      <c r="D889" s="28"/>
      <c r="E889" s="49"/>
      <c r="F889" s="49"/>
      <c r="G889" s="49"/>
      <c r="I889" s="28"/>
      <c r="J889" s="28"/>
      <c r="K889" s="28"/>
      <c r="L889" s="28"/>
      <c r="M889" s="28"/>
      <c r="N889" s="54"/>
      <c r="O889" s="50"/>
    </row>
    <row r="890">
      <c r="A890" s="28"/>
      <c r="B890" s="28"/>
      <c r="C890" s="28"/>
      <c r="D890" s="28"/>
      <c r="E890" s="49"/>
      <c r="F890" s="49"/>
      <c r="G890" s="49"/>
      <c r="I890" s="28"/>
      <c r="J890" s="28"/>
      <c r="K890" s="28"/>
      <c r="L890" s="28"/>
      <c r="M890" s="28"/>
      <c r="N890" s="54"/>
      <c r="O890" s="50"/>
    </row>
    <row r="891">
      <c r="A891" s="28"/>
      <c r="B891" s="28"/>
      <c r="C891" s="28"/>
      <c r="D891" s="28"/>
      <c r="E891" s="49"/>
      <c r="F891" s="49"/>
      <c r="G891" s="49"/>
      <c r="I891" s="28"/>
      <c r="J891" s="28"/>
      <c r="K891" s="28"/>
      <c r="L891" s="28"/>
      <c r="M891" s="28"/>
      <c r="N891" s="54"/>
      <c r="O891" s="50"/>
    </row>
    <row r="892">
      <c r="A892" s="28"/>
      <c r="B892" s="28"/>
      <c r="C892" s="28"/>
      <c r="D892" s="28"/>
      <c r="E892" s="49"/>
      <c r="F892" s="49"/>
      <c r="G892" s="49"/>
      <c r="I892" s="28"/>
      <c r="J892" s="28"/>
      <c r="K892" s="28"/>
      <c r="L892" s="28"/>
      <c r="M892" s="28"/>
      <c r="N892" s="54"/>
      <c r="O892" s="50"/>
    </row>
    <row r="893">
      <c r="A893" s="28"/>
      <c r="B893" s="28"/>
      <c r="C893" s="28"/>
      <c r="D893" s="28"/>
      <c r="E893" s="49"/>
      <c r="F893" s="49"/>
      <c r="G893" s="49"/>
      <c r="I893" s="28"/>
      <c r="J893" s="28"/>
      <c r="K893" s="28"/>
      <c r="L893" s="28"/>
      <c r="M893" s="28"/>
      <c r="N893" s="54"/>
      <c r="O893" s="50"/>
    </row>
    <row r="894">
      <c r="A894" s="28"/>
      <c r="B894" s="28"/>
      <c r="C894" s="28"/>
      <c r="D894" s="28"/>
      <c r="E894" s="49"/>
      <c r="F894" s="49"/>
      <c r="G894" s="49"/>
      <c r="I894" s="28"/>
      <c r="J894" s="28"/>
      <c r="K894" s="28"/>
      <c r="L894" s="28"/>
      <c r="M894" s="28"/>
      <c r="N894" s="54"/>
      <c r="O894" s="50"/>
    </row>
    <row r="895">
      <c r="A895" s="28"/>
      <c r="B895" s="28"/>
      <c r="C895" s="28"/>
      <c r="D895" s="28"/>
      <c r="E895" s="49"/>
      <c r="F895" s="49"/>
      <c r="G895" s="49"/>
      <c r="I895" s="28"/>
      <c r="J895" s="28"/>
      <c r="K895" s="28"/>
      <c r="L895" s="28"/>
      <c r="M895" s="28"/>
      <c r="N895" s="54"/>
      <c r="O895" s="50"/>
    </row>
    <row r="896">
      <c r="A896" s="28"/>
      <c r="B896" s="28"/>
      <c r="C896" s="28"/>
      <c r="D896" s="28"/>
      <c r="E896" s="49"/>
      <c r="F896" s="49"/>
      <c r="G896" s="49"/>
      <c r="I896" s="28"/>
      <c r="J896" s="28"/>
      <c r="K896" s="28"/>
      <c r="L896" s="28"/>
      <c r="M896" s="28"/>
      <c r="N896" s="54"/>
      <c r="O896" s="50"/>
    </row>
    <row r="897">
      <c r="A897" s="28"/>
      <c r="B897" s="28"/>
      <c r="C897" s="28"/>
      <c r="D897" s="28"/>
      <c r="E897" s="49"/>
      <c r="F897" s="49"/>
      <c r="G897" s="49"/>
      <c r="I897" s="28"/>
      <c r="J897" s="28"/>
      <c r="K897" s="28"/>
      <c r="L897" s="28"/>
      <c r="M897" s="28"/>
      <c r="N897" s="54"/>
      <c r="O897" s="50"/>
    </row>
    <row r="898">
      <c r="A898" s="28"/>
      <c r="B898" s="28"/>
      <c r="C898" s="28"/>
      <c r="D898" s="28"/>
      <c r="E898" s="49"/>
      <c r="F898" s="49"/>
      <c r="G898" s="49"/>
      <c r="I898" s="28"/>
      <c r="J898" s="28"/>
      <c r="K898" s="28"/>
      <c r="L898" s="28"/>
      <c r="M898" s="28"/>
      <c r="N898" s="54"/>
      <c r="O898" s="50"/>
    </row>
    <row r="899">
      <c r="A899" s="28"/>
      <c r="B899" s="28"/>
      <c r="C899" s="28"/>
      <c r="D899" s="28"/>
      <c r="E899" s="49"/>
      <c r="F899" s="49"/>
      <c r="G899" s="49"/>
      <c r="I899" s="28"/>
      <c r="J899" s="28"/>
      <c r="K899" s="28"/>
      <c r="L899" s="28"/>
      <c r="M899" s="28"/>
      <c r="N899" s="54"/>
      <c r="O899" s="50"/>
    </row>
    <row r="900">
      <c r="A900" s="28"/>
      <c r="B900" s="28"/>
      <c r="C900" s="28"/>
      <c r="D900" s="28"/>
      <c r="E900" s="49"/>
      <c r="F900" s="49"/>
      <c r="G900" s="49"/>
      <c r="I900" s="28"/>
      <c r="J900" s="28"/>
      <c r="K900" s="28"/>
      <c r="L900" s="28"/>
      <c r="M900" s="28"/>
      <c r="N900" s="54"/>
      <c r="O900" s="50"/>
    </row>
    <row r="901">
      <c r="A901" s="28"/>
      <c r="B901" s="28"/>
      <c r="C901" s="28"/>
      <c r="D901" s="28"/>
      <c r="E901" s="49"/>
      <c r="F901" s="49"/>
      <c r="G901" s="49"/>
      <c r="I901" s="28"/>
      <c r="J901" s="28"/>
      <c r="K901" s="28"/>
      <c r="L901" s="28"/>
      <c r="M901" s="28"/>
      <c r="N901" s="54"/>
      <c r="O901" s="50"/>
    </row>
    <row r="902">
      <c r="A902" s="28"/>
      <c r="B902" s="28"/>
      <c r="C902" s="28"/>
      <c r="D902" s="28"/>
      <c r="E902" s="49"/>
      <c r="F902" s="49"/>
      <c r="G902" s="49"/>
      <c r="I902" s="28"/>
      <c r="J902" s="28"/>
      <c r="K902" s="28"/>
      <c r="L902" s="28"/>
      <c r="M902" s="28"/>
      <c r="N902" s="54"/>
      <c r="O902" s="50"/>
    </row>
    <row r="903">
      <c r="A903" s="28"/>
      <c r="B903" s="28"/>
      <c r="C903" s="28"/>
      <c r="D903" s="28"/>
      <c r="E903" s="49"/>
      <c r="F903" s="49"/>
      <c r="G903" s="49"/>
      <c r="I903" s="28"/>
      <c r="J903" s="28"/>
      <c r="K903" s="28"/>
      <c r="L903" s="28"/>
      <c r="M903" s="28"/>
      <c r="N903" s="54"/>
      <c r="O903" s="50"/>
    </row>
    <row r="904">
      <c r="A904" s="28"/>
      <c r="B904" s="28"/>
      <c r="C904" s="28"/>
      <c r="D904" s="28"/>
      <c r="E904" s="49"/>
      <c r="F904" s="49"/>
      <c r="G904" s="49"/>
      <c r="I904" s="28"/>
      <c r="J904" s="28"/>
      <c r="K904" s="28"/>
      <c r="L904" s="28"/>
      <c r="M904" s="28"/>
      <c r="N904" s="54"/>
      <c r="O904" s="50"/>
    </row>
    <row r="905">
      <c r="A905" s="28"/>
      <c r="B905" s="28"/>
      <c r="C905" s="28"/>
      <c r="D905" s="28"/>
      <c r="E905" s="49"/>
      <c r="F905" s="49"/>
      <c r="G905" s="49"/>
      <c r="I905" s="28"/>
      <c r="J905" s="28"/>
      <c r="K905" s="28"/>
      <c r="L905" s="28"/>
      <c r="M905" s="28"/>
      <c r="N905" s="54"/>
      <c r="O905" s="50"/>
    </row>
    <row r="906">
      <c r="A906" s="28"/>
      <c r="B906" s="28"/>
      <c r="C906" s="28"/>
      <c r="D906" s="28"/>
      <c r="E906" s="49"/>
      <c r="F906" s="49"/>
      <c r="G906" s="49"/>
      <c r="I906" s="28"/>
      <c r="J906" s="28"/>
      <c r="K906" s="28"/>
      <c r="L906" s="28"/>
      <c r="M906" s="28"/>
      <c r="N906" s="54"/>
      <c r="O906" s="50"/>
    </row>
    <row r="907">
      <c r="A907" s="28"/>
      <c r="B907" s="28"/>
      <c r="C907" s="28"/>
      <c r="D907" s="28"/>
      <c r="E907" s="49"/>
      <c r="F907" s="49"/>
      <c r="G907" s="49"/>
      <c r="I907" s="28"/>
      <c r="J907" s="28"/>
      <c r="K907" s="28"/>
      <c r="L907" s="28"/>
      <c r="M907" s="28"/>
      <c r="N907" s="54"/>
      <c r="O907" s="50"/>
    </row>
    <row r="908">
      <c r="A908" s="28"/>
      <c r="B908" s="28"/>
      <c r="C908" s="28"/>
      <c r="D908" s="28"/>
      <c r="E908" s="49"/>
      <c r="F908" s="49"/>
      <c r="G908" s="49"/>
      <c r="I908" s="28"/>
      <c r="J908" s="28"/>
      <c r="K908" s="28"/>
      <c r="L908" s="28"/>
      <c r="M908" s="28"/>
      <c r="N908" s="54"/>
      <c r="O908" s="50"/>
    </row>
    <row r="909">
      <c r="A909" s="28"/>
      <c r="B909" s="28"/>
      <c r="C909" s="28"/>
      <c r="D909" s="28"/>
      <c r="E909" s="49"/>
      <c r="F909" s="49"/>
      <c r="G909" s="49"/>
      <c r="I909" s="28"/>
      <c r="J909" s="28"/>
      <c r="K909" s="28"/>
      <c r="L909" s="28"/>
      <c r="M909" s="28"/>
      <c r="N909" s="54"/>
      <c r="O909" s="50"/>
    </row>
    <row r="910">
      <c r="A910" s="28"/>
      <c r="B910" s="28"/>
      <c r="C910" s="28"/>
      <c r="D910" s="28"/>
      <c r="E910" s="49"/>
      <c r="F910" s="49"/>
      <c r="G910" s="49"/>
      <c r="I910" s="28"/>
      <c r="J910" s="28"/>
      <c r="K910" s="28"/>
      <c r="L910" s="28"/>
      <c r="M910" s="28"/>
      <c r="N910" s="54"/>
      <c r="O910" s="50"/>
    </row>
    <row r="911">
      <c r="A911" s="28"/>
      <c r="B911" s="28"/>
      <c r="C911" s="28"/>
      <c r="D911" s="28"/>
      <c r="E911" s="49"/>
      <c r="F911" s="49"/>
      <c r="G911" s="49"/>
      <c r="I911" s="28"/>
      <c r="J911" s="28"/>
      <c r="K911" s="28"/>
      <c r="L911" s="28"/>
      <c r="M911" s="28"/>
      <c r="N911" s="54"/>
      <c r="O911" s="50"/>
    </row>
    <row r="912">
      <c r="A912" s="28"/>
      <c r="B912" s="28"/>
      <c r="C912" s="28"/>
      <c r="D912" s="28"/>
      <c r="E912" s="49"/>
      <c r="F912" s="49"/>
      <c r="G912" s="49"/>
      <c r="I912" s="28"/>
      <c r="J912" s="28"/>
      <c r="K912" s="28"/>
      <c r="L912" s="28"/>
      <c r="M912" s="28"/>
      <c r="N912" s="54"/>
      <c r="O912" s="50"/>
    </row>
    <row r="913">
      <c r="A913" s="28"/>
      <c r="B913" s="28"/>
      <c r="C913" s="28"/>
      <c r="D913" s="28"/>
      <c r="E913" s="49"/>
      <c r="F913" s="49"/>
      <c r="G913" s="49"/>
      <c r="I913" s="28"/>
      <c r="J913" s="28"/>
      <c r="K913" s="28"/>
      <c r="L913" s="28"/>
      <c r="M913" s="28"/>
      <c r="N913" s="54"/>
      <c r="O913" s="50"/>
    </row>
    <row r="914">
      <c r="A914" s="28"/>
      <c r="B914" s="28"/>
      <c r="C914" s="28"/>
      <c r="D914" s="28"/>
      <c r="E914" s="49"/>
      <c r="F914" s="49"/>
      <c r="G914" s="49"/>
      <c r="I914" s="28"/>
      <c r="J914" s="28"/>
      <c r="K914" s="28"/>
      <c r="L914" s="28"/>
      <c r="M914" s="28"/>
      <c r="N914" s="54"/>
      <c r="O914" s="50"/>
    </row>
    <row r="915">
      <c r="A915" s="28"/>
      <c r="B915" s="28"/>
      <c r="C915" s="28"/>
      <c r="D915" s="28"/>
      <c r="E915" s="49"/>
      <c r="F915" s="49"/>
      <c r="G915" s="49"/>
      <c r="I915" s="28"/>
      <c r="J915" s="28"/>
      <c r="K915" s="28"/>
      <c r="L915" s="28"/>
      <c r="M915" s="28"/>
      <c r="N915" s="54"/>
      <c r="O915" s="50"/>
    </row>
    <row r="916">
      <c r="A916" s="28"/>
      <c r="B916" s="28"/>
      <c r="C916" s="28"/>
      <c r="D916" s="28"/>
      <c r="E916" s="49"/>
      <c r="F916" s="49"/>
      <c r="G916" s="49"/>
      <c r="I916" s="28"/>
      <c r="J916" s="28"/>
      <c r="K916" s="28"/>
      <c r="L916" s="28"/>
      <c r="M916" s="28"/>
      <c r="N916" s="54"/>
      <c r="O916" s="50"/>
    </row>
    <row r="917">
      <c r="A917" s="28"/>
      <c r="B917" s="28"/>
      <c r="C917" s="28"/>
      <c r="D917" s="28"/>
      <c r="E917" s="49"/>
      <c r="F917" s="49"/>
      <c r="G917" s="49"/>
      <c r="I917" s="28"/>
      <c r="J917" s="28"/>
      <c r="K917" s="28"/>
      <c r="L917" s="28"/>
      <c r="M917" s="28"/>
      <c r="N917" s="54"/>
      <c r="O917" s="50"/>
    </row>
    <row r="918">
      <c r="A918" s="28"/>
      <c r="B918" s="28"/>
      <c r="C918" s="28"/>
      <c r="D918" s="28"/>
      <c r="E918" s="49"/>
      <c r="F918" s="49"/>
      <c r="G918" s="49"/>
      <c r="I918" s="28"/>
      <c r="J918" s="28"/>
      <c r="K918" s="28"/>
      <c r="L918" s="28"/>
      <c r="M918" s="28"/>
      <c r="N918" s="54"/>
      <c r="O918" s="50"/>
    </row>
    <row r="919">
      <c r="A919" s="28"/>
      <c r="B919" s="28"/>
      <c r="C919" s="28"/>
      <c r="D919" s="28"/>
      <c r="E919" s="49"/>
      <c r="F919" s="49"/>
      <c r="G919" s="49"/>
      <c r="I919" s="28"/>
      <c r="J919" s="28"/>
      <c r="K919" s="28"/>
      <c r="L919" s="28"/>
      <c r="M919" s="28"/>
      <c r="N919" s="54"/>
      <c r="O919" s="50"/>
    </row>
    <row r="920">
      <c r="A920" s="28"/>
      <c r="B920" s="28"/>
      <c r="C920" s="28"/>
      <c r="D920" s="28"/>
      <c r="E920" s="49"/>
      <c r="F920" s="49"/>
      <c r="G920" s="49"/>
      <c r="I920" s="28"/>
      <c r="J920" s="28"/>
      <c r="K920" s="28"/>
      <c r="L920" s="28"/>
      <c r="M920" s="28"/>
      <c r="N920" s="54"/>
      <c r="O920" s="50"/>
    </row>
    <row r="921">
      <c r="A921" s="28"/>
      <c r="B921" s="28"/>
      <c r="C921" s="28"/>
      <c r="D921" s="28"/>
      <c r="E921" s="49"/>
      <c r="F921" s="49"/>
      <c r="G921" s="49"/>
      <c r="I921" s="28"/>
      <c r="J921" s="28"/>
      <c r="K921" s="28"/>
      <c r="L921" s="28"/>
      <c r="M921" s="28"/>
      <c r="N921" s="54"/>
      <c r="O921" s="50"/>
    </row>
    <row r="922">
      <c r="A922" s="28"/>
      <c r="B922" s="28"/>
      <c r="C922" s="28"/>
      <c r="D922" s="28"/>
      <c r="E922" s="49"/>
      <c r="F922" s="49"/>
      <c r="G922" s="49"/>
      <c r="I922" s="28"/>
      <c r="J922" s="28"/>
      <c r="K922" s="28"/>
      <c r="L922" s="28"/>
      <c r="M922" s="28"/>
      <c r="N922" s="54"/>
      <c r="O922" s="50"/>
    </row>
    <row r="923">
      <c r="A923" s="28"/>
      <c r="B923" s="28"/>
      <c r="C923" s="28"/>
      <c r="D923" s="28"/>
      <c r="E923" s="49"/>
      <c r="F923" s="49"/>
      <c r="G923" s="49"/>
      <c r="I923" s="28"/>
      <c r="J923" s="28"/>
      <c r="K923" s="28"/>
      <c r="L923" s="28"/>
      <c r="M923" s="28"/>
      <c r="N923" s="54"/>
      <c r="O923" s="50"/>
    </row>
    <row r="924">
      <c r="A924" s="28"/>
      <c r="B924" s="28"/>
      <c r="C924" s="28"/>
      <c r="D924" s="28"/>
      <c r="E924" s="49"/>
      <c r="F924" s="49"/>
      <c r="G924" s="49"/>
      <c r="I924" s="28"/>
      <c r="J924" s="28"/>
      <c r="K924" s="28"/>
      <c r="L924" s="28"/>
      <c r="M924" s="28"/>
      <c r="N924" s="54"/>
      <c r="O924" s="50"/>
    </row>
    <row r="925">
      <c r="A925" s="28"/>
      <c r="B925" s="28"/>
      <c r="C925" s="28"/>
      <c r="D925" s="28"/>
      <c r="E925" s="49"/>
      <c r="F925" s="49"/>
      <c r="G925" s="49"/>
      <c r="I925" s="28"/>
      <c r="J925" s="28"/>
      <c r="K925" s="28"/>
      <c r="L925" s="28"/>
      <c r="M925" s="28"/>
      <c r="N925" s="54"/>
      <c r="O925" s="50"/>
    </row>
    <row r="926">
      <c r="A926" s="28"/>
      <c r="B926" s="28"/>
      <c r="C926" s="28"/>
      <c r="D926" s="28"/>
      <c r="E926" s="49"/>
      <c r="F926" s="49"/>
      <c r="G926" s="49"/>
      <c r="I926" s="28"/>
      <c r="J926" s="28"/>
      <c r="K926" s="28"/>
      <c r="L926" s="28"/>
      <c r="M926" s="28"/>
      <c r="N926" s="54"/>
      <c r="O926" s="50"/>
    </row>
    <row r="927">
      <c r="A927" s="28"/>
      <c r="B927" s="28"/>
      <c r="C927" s="28"/>
      <c r="D927" s="28"/>
      <c r="E927" s="49"/>
      <c r="F927" s="49"/>
      <c r="G927" s="49"/>
      <c r="I927" s="28"/>
      <c r="J927" s="28"/>
      <c r="K927" s="28"/>
      <c r="L927" s="28"/>
      <c r="M927" s="28"/>
      <c r="N927" s="54"/>
      <c r="O927" s="50"/>
    </row>
    <row r="928">
      <c r="A928" s="28"/>
      <c r="B928" s="28"/>
      <c r="C928" s="28"/>
      <c r="D928" s="28"/>
      <c r="E928" s="49"/>
      <c r="F928" s="49"/>
      <c r="G928" s="49"/>
      <c r="I928" s="28"/>
      <c r="J928" s="28"/>
      <c r="K928" s="28"/>
      <c r="L928" s="28"/>
      <c r="M928" s="28"/>
      <c r="N928" s="54"/>
      <c r="O928" s="50"/>
    </row>
    <row r="929">
      <c r="A929" s="28"/>
      <c r="B929" s="28"/>
      <c r="C929" s="28"/>
      <c r="D929" s="28"/>
      <c r="E929" s="49"/>
      <c r="F929" s="49"/>
      <c r="G929" s="49"/>
      <c r="I929" s="28"/>
      <c r="J929" s="28"/>
      <c r="K929" s="28"/>
      <c r="L929" s="28"/>
      <c r="M929" s="28"/>
      <c r="N929" s="54"/>
      <c r="O929" s="50"/>
    </row>
    <row r="930">
      <c r="A930" s="28"/>
      <c r="B930" s="28"/>
      <c r="C930" s="28"/>
      <c r="D930" s="28"/>
      <c r="E930" s="49"/>
      <c r="F930" s="49"/>
      <c r="G930" s="49"/>
      <c r="I930" s="28"/>
      <c r="J930" s="28"/>
      <c r="K930" s="28"/>
      <c r="L930" s="28"/>
      <c r="M930" s="28"/>
      <c r="N930" s="54"/>
      <c r="O930" s="50"/>
    </row>
    <row r="931">
      <c r="A931" s="28"/>
      <c r="B931" s="28"/>
      <c r="C931" s="28"/>
      <c r="D931" s="28"/>
      <c r="E931" s="49"/>
      <c r="F931" s="49"/>
      <c r="G931" s="49"/>
      <c r="I931" s="28"/>
      <c r="J931" s="28"/>
      <c r="K931" s="28"/>
      <c r="L931" s="28"/>
      <c r="M931" s="28"/>
      <c r="N931" s="54"/>
      <c r="O931" s="50"/>
    </row>
    <row r="932">
      <c r="A932" s="28"/>
      <c r="B932" s="28"/>
      <c r="C932" s="28"/>
      <c r="D932" s="28"/>
      <c r="E932" s="49"/>
      <c r="F932" s="49"/>
      <c r="G932" s="49"/>
      <c r="I932" s="28"/>
      <c r="J932" s="28"/>
      <c r="K932" s="28"/>
      <c r="L932" s="28"/>
      <c r="M932" s="28"/>
      <c r="N932" s="54"/>
      <c r="O932" s="50"/>
    </row>
    <row r="933">
      <c r="A933" s="28"/>
      <c r="B933" s="28"/>
      <c r="C933" s="28"/>
      <c r="D933" s="28"/>
      <c r="E933" s="49"/>
      <c r="F933" s="49"/>
      <c r="G933" s="49"/>
      <c r="I933" s="28"/>
      <c r="J933" s="28"/>
      <c r="K933" s="28"/>
      <c r="L933" s="28"/>
      <c r="M933" s="28"/>
      <c r="N933" s="54"/>
      <c r="O933" s="50"/>
    </row>
    <row r="934">
      <c r="A934" s="28"/>
      <c r="B934" s="28"/>
      <c r="C934" s="28"/>
      <c r="D934" s="28"/>
      <c r="E934" s="49"/>
      <c r="F934" s="49"/>
      <c r="G934" s="49"/>
      <c r="I934" s="28"/>
      <c r="J934" s="28"/>
      <c r="K934" s="28"/>
      <c r="L934" s="28"/>
      <c r="M934" s="28"/>
      <c r="N934" s="54"/>
      <c r="O934" s="50"/>
    </row>
    <row r="935">
      <c r="A935" s="28"/>
      <c r="B935" s="28"/>
      <c r="C935" s="28"/>
      <c r="D935" s="28"/>
      <c r="E935" s="49"/>
      <c r="F935" s="49"/>
      <c r="G935" s="49"/>
      <c r="I935" s="28"/>
      <c r="J935" s="28"/>
      <c r="K935" s="28"/>
      <c r="L935" s="28"/>
      <c r="M935" s="28"/>
      <c r="N935" s="54"/>
      <c r="O935" s="50"/>
    </row>
    <row r="936">
      <c r="A936" s="28"/>
      <c r="B936" s="28"/>
      <c r="C936" s="28"/>
      <c r="D936" s="28"/>
      <c r="E936" s="49"/>
      <c r="F936" s="49"/>
      <c r="G936" s="49"/>
      <c r="I936" s="28"/>
      <c r="J936" s="28"/>
      <c r="K936" s="28"/>
      <c r="L936" s="28"/>
      <c r="M936" s="28"/>
      <c r="N936" s="54"/>
      <c r="O936" s="50"/>
    </row>
    <row r="937">
      <c r="A937" s="28"/>
      <c r="B937" s="28"/>
      <c r="C937" s="28"/>
      <c r="D937" s="28"/>
      <c r="E937" s="49"/>
      <c r="F937" s="49"/>
      <c r="G937" s="49"/>
      <c r="I937" s="28"/>
      <c r="J937" s="28"/>
      <c r="K937" s="28"/>
      <c r="L937" s="28"/>
      <c r="M937" s="28"/>
      <c r="N937" s="54"/>
      <c r="O937" s="50"/>
    </row>
    <row r="938">
      <c r="A938" s="28"/>
      <c r="B938" s="28"/>
      <c r="C938" s="28"/>
      <c r="D938" s="28"/>
      <c r="E938" s="49"/>
      <c r="F938" s="49"/>
      <c r="G938" s="49"/>
      <c r="I938" s="28"/>
      <c r="J938" s="28"/>
      <c r="K938" s="28"/>
      <c r="L938" s="28"/>
      <c r="M938" s="28"/>
      <c r="N938" s="54"/>
      <c r="O938" s="50"/>
    </row>
    <row r="939">
      <c r="A939" s="28"/>
      <c r="B939" s="28"/>
      <c r="C939" s="28"/>
      <c r="D939" s="28"/>
      <c r="E939" s="49"/>
      <c r="F939" s="49"/>
      <c r="G939" s="49"/>
      <c r="I939" s="28"/>
      <c r="J939" s="28"/>
      <c r="K939" s="28"/>
      <c r="L939" s="28"/>
      <c r="M939" s="28"/>
      <c r="N939" s="54"/>
      <c r="O939" s="50"/>
    </row>
    <row r="940">
      <c r="A940" s="28"/>
      <c r="B940" s="28"/>
      <c r="C940" s="28"/>
      <c r="D940" s="28"/>
      <c r="E940" s="49"/>
      <c r="F940" s="49"/>
      <c r="G940" s="49"/>
      <c r="I940" s="28"/>
      <c r="J940" s="28"/>
      <c r="K940" s="28"/>
      <c r="L940" s="28"/>
      <c r="M940" s="28"/>
      <c r="N940" s="54"/>
      <c r="O940" s="50"/>
    </row>
    <row r="941">
      <c r="A941" s="28"/>
      <c r="B941" s="28"/>
      <c r="C941" s="28"/>
      <c r="D941" s="28"/>
      <c r="E941" s="49"/>
      <c r="F941" s="49"/>
      <c r="G941" s="49"/>
      <c r="I941" s="28"/>
      <c r="J941" s="28"/>
      <c r="K941" s="28"/>
      <c r="L941" s="28"/>
      <c r="M941" s="28"/>
      <c r="N941" s="54"/>
      <c r="O941" s="50"/>
    </row>
    <row r="942">
      <c r="A942" s="28"/>
      <c r="B942" s="28"/>
      <c r="C942" s="28"/>
      <c r="D942" s="28"/>
      <c r="E942" s="49"/>
      <c r="F942" s="49"/>
      <c r="G942" s="49"/>
      <c r="I942" s="28"/>
      <c r="J942" s="28"/>
      <c r="K942" s="28"/>
      <c r="L942" s="28"/>
      <c r="M942" s="28"/>
      <c r="N942" s="54"/>
      <c r="O942" s="50"/>
    </row>
    <row r="943">
      <c r="A943" s="28"/>
      <c r="B943" s="28"/>
      <c r="C943" s="28"/>
      <c r="D943" s="28"/>
      <c r="E943" s="49"/>
      <c r="F943" s="49"/>
      <c r="G943" s="49"/>
      <c r="I943" s="28"/>
      <c r="J943" s="28"/>
      <c r="K943" s="28"/>
      <c r="L943" s="28"/>
      <c r="M943" s="28"/>
      <c r="N943" s="54"/>
      <c r="O943" s="50"/>
    </row>
    <row r="944">
      <c r="A944" s="28"/>
      <c r="B944" s="28"/>
      <c r="C944" s="28"/>
      <c r="D944" s="28"/>
      <c r="E944" s="49"/>
      <c r="F944" s="49"/>
      <c r="G944" s="49"/>
      <c r="I944" s="28"/>
      <c r="J944" s="28"/>
      <c r="K944" s="28"/>
      <c r="L944" s="28"/>
      <c r="M944" s="28"/>
      <c r="N944" s="54"/>
      <c r="O944" s="50"/>
    </row>
    <row r="945">
      <c r="A945" s="28"/>
      <c r="B945" s="28"/>
      <c r="C945" s="28"/>
      <c r="D945" s="28"/>
      <c r="E945" s="49"/>
      <c r="F945" s="49"/>
      <c r="G945" s="49"/>
      <c r="I945" s="28"/>
      <c r="J945" s="28"/>
      <c r="K945" s="28"/>
      <c r="L945" s="28"/>
      <c r="M945" s="28"/>
      <c r="N945" s="54"/>
      <c r="O945" s="50"/>
    </row>
    <row r="946">
      <c r="A946" s="28"/>
      <c r="B946" s="28"/>
      <c r="C946" s="28"/>
      <c r="D946" s="28"/>
      <c r="E946" s="49"/>
      <c r="F946" s="49"/>
      <c r="G946" s="49"/>
      <c r="I946" s="28"/>
      <c r="J946" s="28"/>
      <c r="K946" s="28"/>
      <c r="L946" s="28"/>
      <c r="M946" s="28"/>
      <c r="N946" s="54"/>
      <c r="O946" s="50"/>
    </row>
    <row r="947">
      <c r="A947" s="28"/>
      <c r="B947" s="28"/>
      <c r="C947" s="28"/>
      <c r="D947" s="28"/>
      <c r="E947" s="49"/>
      <c r="F947" s="49"/>
      <c r="G947" s="49"/>
      <c r="I947" s="28"/>
      <c r="J947" s="28"/>
      <c r="K947" s="28"/>
      <c r="L947" s="28"/>
      <c r="M947" s="28"/>
      <c r="N947" s="54"/>
      <c r="O947" s="50"/>
    </row>
    <row r="948">
      <c r="A948" s="28"/>
      <c r="B948" s="28"/>
      <c r="C948" s="28"/>
      <c r="D948" s="28"/>
      <c r="E948" s="49"/>
      <c r="F948" s="49"/>
      <c r="G948" s="49"/>
      <c r="I948" s="28"/>
      <c r="J948" s="28"/>
      <c r="K948" s="28"/>
      <c r="L948" s="28"/>
      <c r="M948" s="28"/>
      <c r="N948" s="54"/>
      <c r="O948" s="50"/>
    </row>
    <row r="949">
      <c r="A949" s="28"/>
      <c r="B949" s="28"/>
      <c r="C949" s="28"/>
      <c r="D949" s="28"/>
      <c r="E949" s="49"/>
      <c r="F949" s="49"/>
      <c r="G949" s="49"/>
      <c r="I949" s="28"/>
      <c r="J949" s="28"/>
      <c r="K949" s="28"/>
      <c r="L949" s="28"/>
      <c r="M949" s="28"/>
      <c r="N949" s="54"/>
      <c r="O949" s="50"/>
    </row>
    <row r="950">
      <c r="A950" s="28"/>
      <c r="B950" s="28"/>
      <c r="C950" s="28"/>
      <c r="D950" s="28"/>
      <c r="E950" s="49"/>
      <c r="F950" s="49"/>
      <c r="G950" s="49"/>
      <c r="I950" s="28"/>
      <c r="J950" s="28"/>
      <c r="K950" s="28"/>
      <c r="L950" s="28"/>
      <c r="M950" s="28"/>
      <c r="N950" s="54"/>
      <c r="O950" s="50"/>
    </row>
    <row r="951">
      <c r="A951" s="28"/>
      <c r="B951" s="28"/>
      <c r="C951" s="28"/>
      <c r="D951" s="28"/>
      <c r="E951" s="49"/>
      <c r="F951" s="49"/>
      <c r="G951" s="49"/>
      <c r="I951" s="28"/>
      <c r="J951" s="28"/>
      <c r="K951" s="28"/>
      <c r="L951" s="28"/>
      <c r="M951" s="28"/>
      <c r="N951" s="54"/>
      <c r="O951" s="50"/>
    </row>
    <row r="952">
      <c r="A952" s="28"/>
      <c r="B952" s="28"/>
      <c r="C952" s="28"/>
      <c r="D952" s="28"/>
      <c r="E952" s="49"/>
      <c r="F952" s="49"/>
      <c r="G952" s="49"/>
      <c r="I952" s="28"/>
      <c r="J952" s="28"/>
      <c r="K952" s="28"/>
      <c r="L952" s="28"/>
      <c r="M952" s="28"/>
      <c r="N952" s="54"/>
      <c r="O952" s="50"/>
    </row>
    <row r="953">
      <c r="A953" s="28"/>
      <c r="B953" s="28"/>
      <c r="C953" s="28"/>
      <c r="D953" s="28"/>
      <c r="E953" s="49"/>
      <c r="F953" s="49"/>
      <c r="G953" s="49"/>
      <c r="I953" s="28"/>
      <c r="J953" s="28"/>
      <c r="K953" s="28"/>
      <c r="L953" s="28"/>
      <c r="M953" s="28"/>
      <c r="N953" s="54"/>
      <c r="O953" s="50"/>
    </row>
    <row r="954">
      <c r="A954" s="28"/>
      <c r="B954" s="28"/>
      <c r="C954" s="28"/>
      <c r="D954" s="28"/>
      <c r="E954" s="49"/>
      <c r="F954" s="49"/>
      <c r="G954" s="49"/>
      <c r="I954" s="28"/>
      <c r="J954" s="28"/>
      <c r="K954" s="28"/>
      <c r="L954" s="28"/>
      <c r="M954" s="28"/>
      <c r="N954" s="54"/>
      <c r="O954" s="50"/>
    </row>
    <row r="955">
      <c r="A955" s="28"/>
      <c r="B955" s="28"/>
      <c r="C955" s="28"/>
      <c r="D955" s="28"/>
      <c r="E955" s="49"/>
      <c r="F955" s="49"/>
      <c r="G955" s="49"/>
      <c r="I955" s="28"/>
      <c r="J955" s="28"/>
      <c r="K955" s="28"/>
      <c r="L955" s="28"/>
      <c r="M955" s="28"/>
      <c r="N955" s="54"/>
      <c r="O955" s="50"/>
    </row>
    <row r="956">
      <c r="A956" s="28"/>
      <c r="B956" s="28"/>
      <c r="C956" s="28"/>
      <c r="D956" s="28"/>
      <c r="E956" s="49"/>
      <c r="F956" s="49"/>
      <c r="G956" s="49"/>
      <c r="I956" s="28"/>
      <c r="J956" s="28"/>
      <c r="K956" s="28"/>
      <c r="L956" s="28"/>
      <c r="M956" s="28"/>
      <c r="N956" s="54"/>
      <c r="O956" s="50"/>
    </row>
    <row r="957">
      <c r="A957" s="28"/>
      <c r="B957" s="28"/>
      <c r="C957" s="28"/>
      <c r="D957" s="28"/>
      <c r="E957" s="49"/>
      <c r="F957" s="49"/>
      <c r="G957" s="49"/>
      <c r="I957" s="28"/>
      <c r="J957" s="28"/>
      <c r="K957" s="28"/>
      <c r="L957" s="28"/>
      <c r="M957" s="28"/>
      <c r="N957" s="54"/>
      <c r="O957" s="50"/>
    </row>
    <row r="958">
      <c r="A958" s="28"/>
      <c r="B958" s="28"/>
      <c r="C958" s="28"/>
      <c r="D958" s="28"/>
      <c r="E958" s="49"/>
      <c r="F958" s="49"/>
      <c r="G958" s="49"/>
      <c r="I958" s="28"/>
      <c r="J958" s="28"/>
      <c r="K958" s="28"/>
      <c r="L958" s="28"/>
      <c r="M958" s="28"/>
      <c r="N958" s="54"/>
      <c r="O958" s="50"/>
    </row>
    <row r="959">
      <c r="A959" s="28"/>
      <c r="B959" s="28"/>
      <c r="C959" s="28"/>
      <c r="D959" s="28"/>
      <c r="E959" s="49"/>
      <c r="F959" s="49"/>
      <c r="G959" s="49"/>
      <c r="I959" s="28"/>
      <c r="J959" s="28"/>
      <c r="K959" s="28"/>
      <c r="L959" s="28"/>
      <c r="M959" s="28"/>
      <c r="N959" s="54"/>
      <c r="O959" s="50"/>
    </row>
    <row r="960">
      <c r="A960" s="28"/>
      <c r="B960" s="28"/>
      <c r="C960" s="28"/>
      <c r="D960" s="28"/>
      <c r="E960" s="49"/>
      <c r="F960" s="49"/>
      <c r="G960" s="49"/>
      <c r="I960" s="28"/>
      <c r="J960" s="28"/>
      <c r="K960" s="28"/>
      <c r="L960" s="28"/>
      <c r="M960" s="28"/>
      <c r="N960" s="54"/>
      <c r="O960" s="50"/>
    </row>
    <row r="961">
      <c r="A961" s="28"/>
      <c r="B961" s="28"/>
      <c r="C961" s="28"/>
      <c r="D961" s="28"/>
      <c r="E961" s="49"/>
      <c r="F961" s="49"/>
      <c r="G961" s="49"/>
      <c r="I961" s="28"/>
      <c r="J961" s="28"/>
      <c r="K961" s="28"/>
      <c r="L961" s="28"/>
      <c r="M961" s="28"/>
      <c r="N961" s="54"/>
      <c r="O961" s="50"/>
    </row>
    <row r="962">
      <c r="A962" s="28"/>
      <c r="B962" s="28"/>
      <c r="C962" s="28"/>
      <c r="D962" s="28"/>
      <c r="E962" s="49"/>
      <c r="F962" s="49"/>
      <c r="G962" s="49"/>
      <c r="I962" s="28"/>
      <c r="J962" s="28"/>
      <c r="K962" s="28"/>
      <c r="L962" s="28"/>
      <c r="M962" s="28"/>
      <c r="N962" s="54"/>
      <c r="O962" s="50"/>
    </row>
    <row r="963">
      <c r="A963" s="28"/>
      <c r="B963" s="28"/>
      <c r="C963" s="28"/>
      <c r="D963" s="28"/>
      <c r="E963" s="49"/>
      <c r="F963" s="49"/>
      <c r="G963" s="49"/>
      <c r="I963" s="28"/>
      <c r="J963" s="28"/>
      <c r="K963" s="28"/>
      <c r="L963" s="28"/>
      <c r="M963" s="28"/>
      <c r="N963" s="54"/>
      <c r="O963" s="50"/>
    </row>
    <row r="964">
      <c r="A964" s="28"/>
      <c r="B964" s="28"/>
      <c r="C964" s="28"/>
      <c r="D964" s="28"/>
      <c r="E964" s="49"/>
      <c r="F964" s="49"/>
      <c r="G964" s="49"/>
      <c r="I964" s="28"/>
      <c r="J964" s="28"/>
      <c r="K964" s="28"/>
      <c r="L964" s="28"/>
      <c r="M964" s="28"/>
      <c r="N964" s="54"/>
      <c r="O964" s="50"/>
    </row>
    <row r="965">
      <c r="A965" s="28"/>
      <c r="B965" s="28"/>
      <c r="C965" s="28"/>
      <c r="D965" s="28"/>
      <c r="E965" s="49"/>
      <c r="F965" s="49"/>
      <c r="G965" s="49"/>
      <c r="I965" s="28"/>
      <c r="J965" s="28"/>
      <c r="K965" s="28"/>
      <c r="L965" s="28"/>
      <c r="M965" s="28"/>
      <c r="N965" s="54"/>
      <c r="O965" s="50"/>
    </row>
    <row r="966">
      <c r="A966" s="28"/>
      <c r="B966" s="28"/>
      <c r="C966" s="28"/>
      <c r="D966" s="28"/>
      <c r="E966" s="49"/>
      <c r="F966" s="49"/>
      <c r="G966" s="49"/>
      <c r="I966" s="28"/>
      <c r="J966" s="28"/>
      <c r="K966" s="28"/>
      <c r="L966" s="28"/>
      <c r="M966" s="28"/>
      <c r="N966" s="54"/>
      <c r="O966" s="50"/>
    </row>
    <row r="967">
      <c r="A967" s="28"/>
      <c r="B967" s="28"/>
      <c r="C967" s="28"/>
      <c r="D967" s="28"/>
      <c r="E967" s="49"/>
      <c r="F967" s="49"/>
      <c r="G967" s="49"/>
      <c r="I967" s="28"/>
      <c r="J967" s="28"/>
      <c r="K967" s="28"/>
      <c r="L967" s="28"/>
      <c r="M967" s="28"/>
      <c r="N967" s="54"/>
      <c r="O967" s="50"/>
    </row>
    <row r="968">
      <c r="A968" s="28"/>
      <c r="B968" s="28"/>
      <c r="C968" s="28"/>
      <c r="D968" s="28"/>
      <c r="E968" s="49"/>
      <c r="F968" s="49"/>
      <c r="G968" s="49"/>
      <c r="I968" s="28"/>
      <c r="J968" s="28"/>
      <c r="K968" s="28"/>
      <c r="L968" s="28"/>
      <c r="M968" s="28"/>
      <c r="N968" s="54"/>
      <c r="O968" s="50"/>
    </row>
    <row r="969">
      <c r="A969" s="28"/>
      <c r="B969" s="28"/>
      <c r="C969" s="28"/>
      <c r="D969" s="28"/>
      <c r="E969" s="49"/>
      <c r="F969" s="49"/>
      <c r="G969" s="49"/>
      <c r="I969" s="28"/>
      <c r="J969" s="28"/>
      <c r="K969" s="28"/>
      <c r="L969" s="28"/>
      <c r="M969" s="28"/>
      <c r="N969" s="54"/>
      <c r="O969" s="50"/>
    </row>
    <row r="970">
      <c r="A970" s="28"/>
      <c r="B970" s="28"/>
      <c r="C970" s="28"/>
      <c r="D970" s="28"/>
      <c r="E970" s="49"/>
      <c r="F970" s="49"/>
      <c r="G970" s="49"/>
      <c r="I970" s="28"/>
      <c r="J970" s="28"/>
      <c r="K970" s="28"/>
      <c r="L970" s="28"/>
      <c r="M970" s="28"/>
      <c r="N970" s="54"/>
      <c r="O970" s="50"/>
    </row>
    <row r="971">
      <c r="A971" s="28"/>
      <c r="B971" s="28"/>
      <c r="C971" s="28"/>
      <c r="D971" s="28"/>
      <c r="E971" s="49"/>
      <c r="F971" s="49"/>
      <c r="G971" s="49"/>
      <c r="I971" s="28"/>
      <c r="J971" s="28"/>
      <c r="K971" s="28"/>
      <c r="L971" s="28"/>
      <c r="M971" s="28"/>
      <c r="N971" s="54"/>
      <c r="O971" s="50"/>
    </row>
    <row r="972">
      <c r="A972" s="28"/>
      <c r="B972" s="28"/>
      <c r="C972" s="28"/>
      <c r="D972" s="28"/>
      <c r="E972" s="49"/>
      <c r="F972" s="49"/>
      <c r="G972" s="49"/>
      <c r="I972" s="28"/>
      <c r="J972" s="28"/>
      <c r="K972" s="28"/>
      <c r="L972" s="28"/>
      <c r="M972" s="28"/>
      <c r="N972" s="54"/>
      <c r="O972" s="50"/>
    </row>
    <row r="973">
      <c r="A973" s="28"/>
      <c r="B973" s="28"/>
      <c r="C973" s="28"/>
      <c r="D973" s="28"/>
      <c r="E973" s="49"/>
      <c r="F973" s="49"/>
      <c r="G973" s="49"/>
      <c r="I973" s="28"/>
      <c r="J973" s="28"/>
      <c r="K973" s="28"/>
      <c r="L973" s="28"/>
      <c r="M973" s="28"/>
      <c r="N973" s="54"/>
      <c r="O973" s="50"/>
    </row>
    <row r="974">
      <c r="A974" s="28"/>
      <c r="B974" s="28"/>
      <c r="C974" s="28"/>
      <c r="D974" s="28"/>
      <c r="E974" s="49"/>
      <c r="F974" s="49"/>
      <c r="G974" s="49"/>
      <c r="I974" s="28"/>
      <c r="J974" s="28"/>
      <c r="K974" s="28"/>
      <c r="L974" s="28"/>
      <c r="M974" s="28"/>
      <c r="N974" s="54"/>
      <c r="O974" s="50"/>
    </row>
    <row r="975">
      <c r="A975" s="28"/>
      <c r="B975" s="28"/>
      <c r="C975" s="28"/>
      <c r="D975" s="28"/>
      <c r="E975" s="49"/>
      <c r="F975" s="49"/>
      <c r="G975" s="49"/>
      <c r="I975" s="28"/>
      <c r="J975" s="28"/>
      <c r="K975" s="28"/>
      <c r="L975" s="28"/>
      <c r="M975" s="28"/>
      <c r="N975" s="54"/>
      <c r="O975" s="50"/>
    </row>
    <row r="976">
      <c r="A976" s="28"/>
      <c r="B976" s="28"/>
      <c r="C976" s="28"/>
      <c r="D976" s="28"/>
      <c r="E976" s="49"/>
      <c r="F976" s="49"/>
      <c r="G976" s="49"/>
      <c r="I976" s="28"/>
      <c r="J976" s="28"/>
      <c r="K976" s="28"/>
      <c r="L976" s="28"/>
      <c r="M976" s="28"/>
      <c r="N976" s="54"/>
      <c r="O976" s="50"/>
    </row>
    <row r="977">
      <c r="A977" s="28"/>
      <c r="B977" s="28"/>
      <c r="C977" s="28"/>
      <c r="D977" s="28"/>
      <c r="E977" s="49"/>
      <c r="F977" s="49"/>
      <c r="G977" s="49"/>
      <c r="I977" s="28"/>
      <c r="J977" s="28"/>
      <c r="K977" s="28"/>
      <c r="L977" s="28"/>
      <c r="M977" s="28"/>
      <c r="N977" s="54"/>
      <c r="O977" s="50"/>
    </row>
    <row r="978">
      <c r="A978" s="28"/>
      <c r="B978" s="28"/>
      <c r="C978" s="28"/>
      <c r="D978" s="28"/>
      <c r="E978" s="49"/>
      <c r="F978" s="49"/>
      <c r="G978" s="49"/>
      <c r="I978" s="28"/>
      <c r="J978" s="28"/>
      <c r="K978" s="28"/>
      <c r="L978" s="28"/>
      <c r="M978" s="28"/>
      <c r="N978" s="54"/>
      <c r="O978" s="50"/>
    </row>
    <row r="979">
      <c r="A979" s="28"/>
      <c r="B979" s="28"/>
      <c r="C979" s="28"/>
      <c r="D979" s="28"/>
      <c r="E979" s="49"/>
      <c r="F979" s="49"/>
      <c r="G979" s="49"/>
      <c r="I979" s="28"/>
      <c r="J979" s="28"/>
      <c r="K979" s="28"/>
      <c r="L979" s="28"/>
      <c r="M979" s="28"/>
      <c r="N979" s="54"/>
      <c r="O979" s="50"/>
    </row>
    <row r="980">
      <c r="A980" s="28"/>
      <c r="B980" s="28"/>
      <c r="C980" s="28"/>
      <c r="D980" s="28"/>
      <c r="E980" s="49"/>
      <c r="F980" s="49"/>
      <c r="G980" s="49"/>
      <c r="I980" s="28"/>
      <c r="J980" s="28"/>
      <c r="K980" s="28"/>
      <c r="L980" s="28"/>
      <c r="M980" s="28"/>
      <c r="N980" s="54"/>
      <c r="O980" s="50"/>
    </row>
    <row r="981">
      <c r="A981" s="28"/>
      <c r="B981" s="28"/>
      <c r="C981" s="28"/>
      <c r="D981" s="28"/>
      <c r="E981" s="49"/>
      <c r="F981" s="49"/>
      <c r="G981" s="49"/>
      <c r="I981" s="28"/>
      <c r="J981" s="28"/>
      <c r="K981" s="28"/>
      <c r="L981" s="28"/>
      <c r="M981" s="28"/>
      <c r="N981" s="54"/>
      <c r="O981" s="50"/>
    </row>
    <row r="982">
      <c r="A982" s="28"/>
      <c r="B982" s="28"/>
      <c r="C982" s="28"/>
      <c r="D982" s="28"/>
      <c r="E982" s="49"/>
      <c r="F982" s="49"/>
      <c r="G982" s="49"/>
      <c r="I982" s="28"/>
      <c r="J982" s="28"/>
      <c r="K982" s="28"/>
      <c r="L982" s="28"/>
      <c r="M982" s="28"/>
      <c r="N982" s="54"/>
      <c r="O982" s="50"/>
    </row>
    <row r="983">
      <c r="A983" s="28"/>
      <c r="B983" s="28"/>
      <c r="C983" s="28"/>
      <c r="D983" s="28"/>
      <c r="E983" s="49"/>
      <c r="F983" s="49"/>
      <c r="G983" s="49"/>
      <c r="I983" s="28"/>
      <c r="J983" s="28"/>
      <c r="K983" s="28"/>
      <c r="L983" s="28"/>
      <c r="M983" s="28"/>
      <c r="N983" s="54"/>
      <c r="O983" s="50"/>
    </row>
    <row r="984">
      <c r="A984" s="28"/>
      <c r="B984" s="28"/>
      <c r="C984" s="28"/>
      <c r="D984" s="28"/>
      <c r="E984" s="49"/>
      <c r="F984" s="49"/>
      <c r="G984" s="49"/>
      <c r="I984" s="28"/>
      <c r="J984" s="28"/>
      <c r="K984" s="28"/>
      <c r="L984" s="28"/>
      <c r="M984" s="28"/>
      <c r="N984" s="54"/>
      <c r="O984" s="50"/>
    </row>
    <row r="985">
      <c r="A985" s="28"/>
      <c r="B985" s="28"/>
      <c r="C985" s="28"/>
      <c r="D985" s="28"/>
      <c r="E985" s="49"/>
      <c r="F985" s="49"/>
      <c r="G985" s="49"/>
      <c r="I985" s="28"/>
      <c r="J985" s="28"/>
      <c r="K985" s="28"/>
      <c r="L985" s="28"/>
      <c r="M985" s="28"/>
      <c r="N985" s="54"/>
      <c r="O985" s="50"/>
    </row>
    <row r="986">
      <c r="A986" s="28"/>
      <c r="B986" s="28"/>
      <c r="C986" s="28"/>
      <c r="D986" s="28"/>
      <c r="E986" s="49"/>
      <c r="F986" s="49"/>
      <c r="G986" s="49"/>
      <c r="I986" s="28"/>
      <c r="J986" s="28"/>
      <c r="K986" s="28"/>
      <c r="L986" s="28"/>
      <c r="M986" s="28"/>
      <c r="N986" s="54"/>
      <c r="O986" s="50"/>
    </row>
    <row r="987">
      <c r="A987" s="28"/>
      <c r="B987" s="28"/>
      <c r="C987" s="28"/>
      <c r="D987" s="28"/>
      <c r="E987" s="49"/>
      <c r="F987" s="49"/>
      <c r="G987" s="49"/>
      <c r="I987" s="28"/>
      <c r="J987" s="28"/>
      <c r="K987" s="28"/>
      <c r="L987" s="28"/>
      <c r="M987" s="28"/>
      <c r="N987" s="54"/>
      <c r="O987" s="50"/>
    </row>
    <row r="988">
      <c r="A988" s="28"/>
      <c r="B988" s="28"/>
      <c r="C988" s="28"/>
      <c r="D988" s="28"/>
      <c r="E988" s="49"/>
      <c r="F988" s="49"/>
      <c r="G988" s="49"/>
      <c r="I988" s="28"/>
      <c r="J988" s="28"/>
      <c r="K988" s="28"/>
      <c r="L988" s="28"/>
      <c r="M988" s="28"/>
      <c r="N988" s="54"/>
      <c r="O988" s="50"/>
    </row>
    <row r="989">
      <c r="A989" s="28"/>
      <c r="B989" s="28"/>
      <c r="C989" s="28"/>
      <c r="D989" s="28"/>
      <c r="E989" s="49"/>
      <c r="F989" s="49"/>
      <c r="G989" s="49"/>
      <c r="I989" s="28"/>
      <c r="J989" s="28"/>
      <c r="K989" s="28"/>
      <c r="L989" s="28"/>
      <c r="M989" s="28"/>
      <c r="N989" s="54"/>
      <c r="O989" s="50"/>
    </row>
    <row r="990">
      <c r="A990" s="28"/>
      <c r="B990" s="28"/>
      <c r="C990" s="28"/>
      <c r="D990" s="28"/>
      <c r="E990" s="49"/>
      <c r="F990" s="49"/>
      <c r="G990" s="49"/>
      <c r="I990" s="28"/>
      <c r="J990" s="28"/>
      <c r="K990" s="28"/>
      <c r="L990" s="28"/>
      <c r="M990" s="28"/>
      <c r="N990" s="54"/>
      <c r="O990" s="50"/>
    </row>
    <row r="991">
      <c r="A991" s="28"/>
      <c r="B991" s="28"/>
      <c r="C991" s="28"/>
      <c r="D991" s="28"/>
      <c r="E991" s="49"/>
      <c r="F991" s="49"/>
      <c r="G991" s="49"/>
      <c r="I991" s="28"/>
      <c r="J991" s="28"/>
      <c r="K991" s="28"/>
      <c r="L991" s="28"/>
      <c r="M991" s="28"/>
      <c r="N991" s="54"/>
      <c r="O991" s="50"/>
    </row>
    <row r="992">
      <c r="A992" s="28"/>
      <c r="B992" s="28"/>
      <c r="C992" s="28"/>
      <c r="D992" s="28"/>
      <c r="E992" s="49"/>
      <c r="F992" s="49"/>
      <c r="G992" s="49"/>
      <c r="I992" s="28"/>
      <c r="J992" s="28"/>
      <c r="K992" s="28"/>
      <c r="L992" s="28"/>
      <c r="M992" s="28"/>
      <c r="N992" s="54"/>
      <c r="O992" s="50"/>
    </row>
    <row r="993">
      <c r="A993" s="28"/>
      <c r="B993" s="28"/>
      <c r="C993" s="28"/>
      <c r="D993" s="28"/>
      <c r="E993" s="49"/>
      <c r="F993" s="49"/>
      <c r="G993" s="49"/>
      <c r="I993" s="28"/>
      <c r="J993" s="28"/>
      <c r="K993" s="28"/>
      <c r="L993" s="28"/>
      <c r="M993" s="28"/>
      <c r="N993" s="54"/>
      <c r="O993" s="50"/>
    </row>
    <row r="994">
      <c r="A994" s="28"/>
      <c r="B994" s="28"/>
      <c r="C994" s="28"/>
      <c r="D994" s="28"/>
      <c r="E994" s="49"/>
      <c r="F994" s="49"/>
      <c r="G994" s="49"/>
      <c r="I994" s="28"/>
      <c r="J994" s="28"/>
      <c r="K994" s="28"/>
      <c r="L994" s="28"/>
      <c r="M994" s="28"/>
      <c r="N994" s="54"/>
      <c r="O994" s="50"/>
    </row>
    <row r="995">
      <c r="A995" s="28"/>
      <c r="B995" s="28"/>
      <c r="C995" s="28"/>
      <c r="D995" s="28"/>
      <c r="E995" s="49"/>
      <c r="F995" s="49"/>
      <c r="G995" s="49"/>
      <c r="I995" s="28"/>
      <c r="J995" s="28"/>
      <c r="K995" s="28"/>
      <c r="L995" s="28"/>
      <c r="M995" s="28"/>
      <c r="N995" s="54"/>
      <c r="O995" s="50"/>
    </row>
    <row r="996">
      <c r="A996" s="28"/>
      <c r="B996" s="28"/>
      <c r="C996" s="28"/>
      <c r="D996" s="28"/>
      <c r="E996" s="49"/>
      <c r="F996" s="49"/>
      <c r="G996" s="49"/>
      <c r="I996" s="28"/>
      <c r="J996" s="28"/>
      <c r="K996" s="28"/>
      <c r="L996" s="28"/>
      <c r="M996" s="28"/>
      <c r="N996" s="54"/>
      <c r="O996" s="50"/>
    </row>
    <row r="997">
      <c r="A997" s="28"/>
      <c r="B997" s="28"/>
      <c r="C997" s="28"/>
      <c r="D997" s="28"/>
      <c r="E997" s="49"/>
      <c r="F997" s="49"/>
      <c r="G997" s="49"/>
      <c r="I997" s="28"/>
      <c r="J997" s="28"/>
      <c r="K997" s="28"/>
      <c r="L997" s="28"/>
      <c r="M997" s="28"/>
      <c r="N997" s="54"/>
      <c r="O997" s="50"/>
    </row>
    <row r="998">
      <c r="A998" s="28"/>
      <c r="B998" s="28"/>
      <c r="C998" s="28"/>
      <c r="D998" s="28"/>
      <c r="E998" s="49"/>
      <c r="F998" s="49"/>
      <c r="G998" s="49"/>
      <c r="I998" s="28"/>
      <c r="J998" s="28"/>
      <c r="K998" s="28"/>
      <c r="L998" s="28"/>
      <c r="M998" s="28"/>
      <c r="N998" s="54"/>
      <c r="O998" s="50"/>
    </row>
    <row r="999">
      <c r="A999" s="28"/>
      <c r="B999" s="28"/>
      <c r="C999" s="28"/>
      <c r="D999" s="28"/>
      <c r="E999" s="49"/>
      <c r="F999" s="49"/>
      <c r="G999" s="49"/>
      <c r="I999" s="28"/>
      <c r="J999" s="28"/>
      <c r="K999" s="28"/>
      <c r="L999" s="28"/>
      <c r="M999" s="28"/>
      <c r="N999" s="54"/>
      <c r="O999" s="50"/>
    </row>
    <row r="1000">
      <c r="A1000" s="28"/>
      <c r="B1000" s="28"/>
      <c r="C1000" s="28"/>
      <c r="D1000" s="28"/>
      <c r="E1000" s="49"/>
      <c r="F1000" s="49"/>
      <c r="G1000" s="49"/>
      <c r="I1000" s="28"/>
      <c r="J1000" s="28"/>
      <c r="K1000" s="28"/>
      <c r="L1000" s="28"/>
      <c r="M1000" s="28"/>
      <c r="N1000" s="54"/>
      <c r="O1000" s="50"/>
    </row>
    <row r="1001">
      <c r="A1001" s="28"/>
      <c r="B1001" s="28"/>
      <c r="C1001" s="28"/>
      <c r="D1001" s="28"/>
      <c r="E1001" s="49"/>
      <c r="F1001" s="49"/>
      <c r="G1001" s="49"/>
      <c r="I1001" s="28"/>
      <c r="J1001" s="28"/>
      <c r="K1001" s="28"/>
      <c r="L1001" s="28"/>
      <c r="M1001" s="28"/>
      <c r="N1001" s="54"/>
      <c r="O1001" s="50"/>
    </row>
    <row r="1002">
      <c r="A1002" s="28"/>
      <c r="B1002" s="28"/>
      <c r="C1002" s="28"/>
      <c r="D1002" s="28"/>
      <c r="E1002" s="49"/>
      <c r="F1002" s="49"/>
      <c r="G1002" s="49"/>
      <c r="I1002" s="28"/>
      <c r="J1002" s="28"/>
      <c r="K1002" s="28"/>
      <c r="L1002" s="28"/>
      <c r="M1002" s="28"/>
      <c r="N1002" s="54"/>
      <c r="O1002" s="50"/>
    </row>
    <row r="1003">
      <c r="A1003" s="28"/>
      <c r="B1003" s="28"/>
      <c r="C1003" s="28"/>
      <c r="D1003" s="28"/>
      <c r="E1003" s="49"/>
      <c r="F1003" s="49"/>
      <c r="G1003" s="49"/>
      <c r="I1003" s="28"/>
      <c r="J1003" s="28"/>
      <c r="K1003" s="28"/>
      <c r="L1003" s="28"/>
      <c r="M1003" s="28"/>
      <c r="N1003" s="54"/>
      <c r="O1003" s="50"/>
    </row>
    <row r="1004">
      <c r="A1004" s="28"/>
      <c r="B1004" s="28"/>
      <c r="C1004" s="28"/>
      <c r="D1004" s="28"/>
      <c r="E1004" s="49"/>
      <c r="F1004" s="49"/>
      <c r="G1004" s="49"/>
      <c r="I1004" s="28"/>
      <c r="J1004" s="28"/>
      <c r="K1004" s="28"/>
      <c r="L1004" s="28"/>
      <c r="M1004" s="28"/>
      <c r="N1004" s="54"/>
      <c r="O1004" s="50"/>
    </row>
    <row r="1005">
      <c r="A1005" s="28"/>
      <c r="B1005" s="28"/>
      <c r="C1005" s="28"/>
      <c r="D1005" s="28"/>
      <c r="E1005" s="49"/>
      <c r="F1005" s="49"/>
      <c r="G1005" s="49"/>
      <c r="I1005" s="28"/>
      <c r="J1005" s="28"/>
      <c r="K1005" s="28"/>
      <c r="L1005" s="28"/>
      <c r="M1005" s="28"/>
      <c r="N1005" s="54"/>
      <c r="O1005" s="50"/>
    </row>
    <row r="1006">
      <c r="A1006" s="28"/>
      <c r="B1006" s="28"/>
      <c r="C1006" s="28"/>
      <c r="D1006" s="28"/>
      <c r="E1006" s="49"/>
      <c r="F1006" s="49"/>
      <c r="G1006" s="49"/>
      <c r="I1006" s="28"/>
      <c r="J1006" s="28"/>
      <c r="K1006" s="28"/>
      <c r="L1006" s="28"/>
      <c r="M1006" s="28"/>
      <c r="N1006" s="54"/>
      <c r="O1006" s="50"/>
    </row>
  </sheetData>
  <customSheetViews>
    <customSheetView guid="{F8C7C7B3-905C-440C-A9B4-7FEE12006CB5}" filter="1" showAutoFilter="1">
      <autoFilter ref="$A$1:$O$1006"/>
    </customSheetView>
  </customSheetViews>
  <hyperlinks>
    <hyperlink r:id="rId2" ref="N240"/>
  </hyperlinks>
  <drawing r:id="rId3"/>
  <legacyDrawing r:id="rId4"/>
  <tableParts count="1">
    <tablePart r:id="rId6"/>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29"/>
    <col customWidth="1" min="2" max="2" width="5.29"/>
    <col customWidth="1" min="3" max="3" width="7.0"/>
    <col customWidth="1" min="4" max="4" width="8.71"/>
    <col customWidth="1" min="5" max="5" width="17.0"/>
    <col customWidth="1" min="6" max="6" width="18.57"/>
    <col customWidth="1" min="7" max="7" width="20.71"/>
    <col customWidth="1" min="8" max="8" width="15.43"/>
    <col customWidth="1" min="9" max="9" width="14.0"/>
    <col customWidth="1" min="10" max="10" width="20.71"/>
    <col customWidth="1" min="11" max="11" width="9.86"/>
    <col customWidth="1" min="12" max="12" width="13.57"/>
    <col customWidth="1" min="13" max="13" width="85.43"/>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2929</v>
      </c>
      <c r="B2" s="22">
        <v>1456.0</v>
      </c>
      <c r="C2" s="23" t="str">
        <f t="shared" ref="C2:C3" si="1">HYPERLINK("http://ecotaxoserver.obs-vlfr.fr/browsetaxo/?id=55896","55896")</f>
        <v>55896</v>
      </c>
      <c r="D2" s="23" t="str">
        <f>HYPERLINK("http://www.marinespecies.org/aphia.php?p=taxdetails&amp;id=341381","341381")</f>
        <v>341381</v>
      </c>
      <c r="E2" s="22" t="s">
        <v>812</v>
      </c>
      <c r="F2" s="22" t="s">
        <v>812</v>
      </c>
      <c r="G2" s="22" t="s">
        <v>2046</v>
      </c>
      <c r="I2" s="23" t="str">
        <f>HYPERLINK("http://www.marinespecies.org/aphia.php?p=taxdetails&amp;id=1324079","1324079")</f>
        <v>1324079</v>
      </c>
      <c r="J2" s="22" t="s">
        <v>2930</v>
      </c>
      <c r="K2" s="22" t="s">
        <v>94</v>
      </c>
      <c r="L2" s="24">
        <v>1324079.0</v>
      </c>
      <c r="M2" s="24" t="s">
        <v>2931</v>
      </c>
    </row>
    <row r="3">
      <c r="A3" s="22" t="s">
        <v>2929</v>
      </c>
      <c r="B3" s="22">
        <v>1456.0</v>
      </c>
      <c r="C3" s="23" t="str">
        <f t="shared" si="1"/>
        <v>55896</v>
      </c>
      <c r="D3" s="23" t="str">
        <f>HYPERLINK("http://www.marinespecies.org/aphia.php?p=taxdetails&amp;id=699591","699591")</f>
        <v>699591</v>
      </c>
      <c r="E3" s="22" t="s">
        <v>812</v>
      </c>
      <c r="F3" s="22" t="s">
        <v>812</v>
      </c>
      <c r="G3" s="22" t="s">
        <v>2046</v>
      </c>
      <c r="I3" s="23" t="str">
        <f>HYPERLINK("http://www.marinespecies.org/aphia.php?p=taxdetails&amp;id=667138","667138")</f>
        <v>667138</v>
      </c>
      <c r="J3" s="22" t="s">
        <v>2932</v>
      </c>
      <c r="K3" s="22" t="s">
        <v>94</v>
      </c>
      <c r="M3" s="24" t="s">
        <v>2931</v>
      </c>
    </row>
    <row r="4">
      <c r="A4" s="22" t="s">
        <v>2929</v>
      </c>
      <c r="B4" s="22">
        <v>373.0</v>
      </c>
      <c r="C4" s="23" t="str">
        <f t="shared" ref="C4:C5" si="2">HYPERLINK("http://ecotaxoserver.obs-vlfr.fr/browsetaxo/?id=91177","91177")</f>
        <v>91177</v>
      </c>
      <c r="D4" s="23" t="str">
        <f>HYPERLINK("http://www.marinespecies.org/aphia.php?p=taxdetails&amp;id=341381","341381")</f>
        <v>341381</v>
      </c>
      <c r="E4" s="22" t="s">
        <v>751</v>
      </c>
      <c r="F4" s="22" t="s">
        <v>812</v>
      </c>
      <c r="G4" s="22" t="s">
        <v>2046</v>
      </c>
      <c r="I4" s="23" t="str">
        <f>HYPERLINK("http://www.marinespecies.org/aphia.php?p=taxdetails&amp;id=1324079","1324079")</f>
        <v>1324079</v>
      </c>
      <c r="J4" s="22" t="s">
        <v>2930</v>
      </c>
      <c r="K4" s="24" t="s">
        <v>1927</v>
      </c>
      <c r="L4" s="24">
        <v>1324079.0</v>
      </c>
      <c r="M4" s="24" t="s">
        <v>2931</v>
      </c>
    </row>
    <row r="5">
      <c r="A5" s="22" t="s">
        <v>2929</v>
      </c>
      <c r="B5" s="22">
        <v>373.0</v>
      </c>
      <c r="C5" s="23" t="str">
        <f t="shared" si="2"/>
        <v>91177</v>
      </c>
      <c r="D5" s="23" t="str">
        <f>HYPERLINK("http://www.marinespecies.org/aphia.php?p=taxdetails&amp;id=699591","699591")</f>
        <v>699591</v>
      </c>
      <c r="E5" s="22" t="s">
        <v>751</v>
      </c>
      <c r="F5" s="22" t="s">
        <v>812</v>
      </c>
      <c r="G5" s="22" t="s">
        <v>2046</v>
      </c>
      <c r="I5" s="23" t="str">
        <f>HYPERLINK("http://www.marinespecies.org/aphia.php?p=taxdetails&amp;id=667138","667138")</f>
        <v>667138</v>
      </c>
      <c r="J5" s="22" t="s">
        <v>2932</v>
      </c>
      <c r="K5" s="24" t="s">
        <v>1927</v>
      </c>
      <c r="L5" s="24">
        <v>1324079.0</v>
      </c>
      <c r="M5" s="24" t="s">
        <v>2931</v>
      </c>
    </row>
    <row r="7">
      <c r="M7" s="40" t="s">
        <v>2933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43"/>
    <col customWidth="1" min="2" max="2" width="5.86"/>
    <col customWidth="1" min="3" max="3" width="7.0"/>
    <col customWidth="1" min="4" max="4" width="8.71"/>
    <col customWidth="1" min="5" max="5" width="17.0"/>
    <col customWidth="1" min="6" max="6" width="18.57"/>
    <col customWidth="1" min="7" max="7" width="10.71"/>
    <col customWidth="1" min="8" max="8" width="46.43"/>
    <col customWidth="1" min="9" max="9" width="17.14"/>
    <col customWidth="1" min="10" max="10" width="14.0"/>
    <col customWidth="1" min="11" max="11" width="9.86"/>
    <col customWidth="1" min="12" max="12" width="13.86"/>
    <col customWidth="1" min="13" max="13" width="97.0"/>
  </cols>
  <sheetData>
    <row r="1">
      <c r="A1" s="20" t="s">
        <v>78</v>
      </c>
      <c r="B1" s="20" t="s">
        <v>79</v>
      </c>
      <c r="C1" s="20" t="s">
        <v>80</v>
      </c>
      <c r="D1" s="20" t="s">
        <v>81</v>
      </c>
      <c r="E1" s="20" t="s">
        <v>82</v>
      </c>
      <c r="F1" s="20" t="s">
        <v>83</v>
      </c>
      <c r="G1" s="20" t="s">
        <v>2003</v>
      </c>
      <c r="H1" s="20" t="s">
        <v>2004</v>
      </c>
      <c r="I1" s="20" t="s">
        <v>2006</v>
      </c>
      <c r="J1" s="20" t="s">
        <v>2005</v>
      </c>
      <c r="K1" s="21" t="s">
        <v>84</v>
      </c>
      <c r="L1" s="20" t="s">
        <v>85</v>
      </c>
      <c r="M1" s="20" t="s">
        <v>86</v>
      </c>
    </row>
    <row r="2">
      <c r="A2" s="22" t="s">
        <v>2934</v>
      </c>
      <c r="B2" s="22">
        <v>2787.0</v>
      </c>
      <c r="C2" s="23" t="str">
        <f>HYPERLINK("http://ecotaxoserver.obs-vlfr.fr/browsetaxo/?id=78160","78160")</f>
        <v>78160</v>
      </c>
      <c r="D2" s="23" t="str">
        <f>HYPERLINK("http://www.marinespecies.org/aphia.php?p=taxdetails&amp;id=1207","1207")</f>
        <v>1207</v>
      </c>
      <c r="E2" s="22" t="s">
        <v>197</v>
      </c>
      <c r="F2" s="22" t="s">
        <v>197</v>
      </c>
      <c r="G2" s="22" t="s">
        <v>2093</v>
      </c>
      <c r="H2" s="22" t="s">
        <v>2935</v>
      </c>
      <c r="K2" s="22" t="s">
        <v>94</v>
      </c>
      <c r="L2" s="24">
        <v>101383.0</v>
      </c>
      <c r="M2" s="24" t="s">
        <v>2936</v>
      </c>
    </row>
    <row r="3">
      <c r="A3" s="22" t="s">
        <v>281</v>
      </c>
      <c r="B3" s="22">
        <v>6.0</v>
      </c>
      <c r="C3" s="23" t="str">
        <f>HYPERLINK("http://ecotaxoserver.obs-vlfr.fr/browsetaxo/?id=17517","17517")</f>
        <v>17517</v>
      </c>
      <c r="D3" s="23" t="str">
        <f>HYPERLINK("http://www.marinespecies.org/aphia.php?p=taxdetails&amp;id=345483","345483")</f>
        <v>345483</v>
      </c>
      <c r="E3" s="22" t="s">
        <v>308</v>
      </c>
      <c r="F3" s="22" t="s">
        <v>309</v>
      </c>
      <c r="G3" s="22" t="s">
        <v>2093</v>
      </c>
      <c r="H3" s="22" t="s">
        <v>2937</v>
      </c>
      <c r="K3" s="24" t="s">
        <v>1927</v>
      </c>
      <c r="L3" s="24">
        <v>576884.0</v>
      </c>
      <c r="M3" s="24" t="s">
        <v>2938</v>
      </c>
    </row>
    <row r="4">
      <c r="A4" s="22" t="s">
        <v>2939</v>
      </c>
      <c r="B4" s="22">
        <v>83.0</v>
      </c>
      <c r="C4" s="23" t="str">
        <f>HYPERLINK("http://ecotaxoserver.obs-vlfr.fr/browsetaxo/?id=92501","92501")</f>
        <v>92501</v>
      </c>
      <c r="D4" s="23" t="str">
        <f>HYPERLINK("http://www.marinespecies.org/aphia.php?p=taxdetails&amp;id=233348","233348")</f>
        <v>233348</v>
      </c>
      <c r="E4" s="22" t="s">
        <v>128</v>
      </c>
      <c r="F4" s="22" t="s">
        <v>2940</v>
      </c>
      <c r="G4" s="22" t="s">
        <v>2008</v>
      </c>
      <c r="K4" s="22" t="s">
        <v>94</v>
      </c>
      <c r="L4" s="24">
        <v>109510.0</v>
      </c>
      <c r="M4" s="24" t="s">
        <v>2941</v>
      </c>
    </row>
    <row r="5">
      <c r="A5" s="22" t="s">
        <v>432</v>
      </c>
      <c r="B5" s="22">
        <v>2759.0</v>
      </c>
      <c r="C5" s="23" t="str">
        <f>HYPERLINK("http://ecotaxoserver.obs-vlfr.fr/browsetaxo/?id=91704","91704")</f>
        <v>91704</v>
      </c>
      <c r="D5" s="86" t="str">
        <f>HYPERLINK("http://www.marinespecies.org/aphia.php?p=taxdetails&amp;id=13703","13703")</f>
        <v>13703</v>
      </c>
      <c r="E5" s="22" t="s">
        <v>940</v>
      </c>
      <c r="F5" s="22" t="s">
        <v>1568</v>
      </c>
      <c r="G5" s="22" t="s">
        <v>2093</v>
      </c>
      <c r="H5" s="22" t="s">
        <v>2942</v>
      </c>
      <c r="K5" s="22" t="s">
        <v>94</v>
      </c>
      <c r="L5" s="24">
        <v>325345.0</v>
      </c>
      <c r="M5" s="38" t="s">
        <v>2943</v>
      </c>
    </row>
    <row r="6">
      <c r="A6" s="22" t="s">
        <v>2225</v>
      </c>
      <c r="B6" s="22">
        <v>38.0</v>
      </c>
      <c r="C6" s="23" t="str">
        <f>HYPERLINK("http://ecotaxoserver.obs-vlfr.fr/browsetaxo/?id=92592","92592")</f>
        <v>92592</v>
      </c>
      <c r="D6" s="23" t="str">
        <f>HYPERLINK("http://www.marinespecies.org/aphia.php?p=taxdetails&amp;id=837452","837452")</f>
        <v>837452</v>
      </c>
      <c r="E6" s="22" t="s">
        <v>128</v>
      </c>
      <c r="F6" s="22" t="s">
        <v>1849</v>
      </c>
      <c r="G6" s="22" t="s">
        <v>2008</v>
      </c>
      <c r="K6" s="22" t="s">
        <v>94</v>
      </c>
      <c r="L6" s="24">
        <v>705253.0</v>
      </c>
      <c r="M6" s="10" t="s">
        <v>2944</v>
      </c>
    </row>
    <row r="7">
      <c r="A7" s="22" t="s">
        <v>2945</v>
      </c>
      <c r="B7" s="22">
        <v>1.0</v>
      </c>
      <c r="C7" s="23" t="str">
        <f>HYPERLINK("http://ecotaxoserver.obs-vlfr.fr/browsetaxo/?id=12932","12932")</f>
        <v>12932</v>
      </c>
      <c r="D7" s="23" t="str">
        <f>HYPERLINK("http://www.marinespecies.org/aphia.php?p=taxdetails&amp;id=794","794")</f>
        <v>794</v>
      </c>
      <c r="E7" s="22" t="s">
        <v>1439</v>
      </c>
      <c r="F7" s="22" t="s">
        <v>1439</v>
      </c>
      <c r="G7" s="22" t="s">
        <v>2093</v>
      </c>
      <c r="H7" s="22" t="s">
        <v>2946</v>
      </c>
      <c r="K7" s="22" t="s">
        <v>94</v>
      </c>
      <c r="L7" s="24">
        <v>793.0</v>
      </c>
      <c r="M7" s="38" t="s">
        <v>2947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8.0"/>
    <col customWidth="1" min="7" max="7" width="20.14"/>
  </cols>
  <sheetData>
    <row r="1">
      <c r="A1" s="20" t="s">
        <v>78</v>
      </c>
      <c r="B1" s="20" t="s">
        <v>79</v>
      </c>
      <c r="C1" s="20" t="s">
        <v>2948</v>
      </c>
      <c r="D1" s="20" t="s">
        <v>80</v>
      </c>
      <c r="E1" s="20" t="s">
        <v>81</v>
      </c>
      <c r="F1" s="20" t="s">
        <v>82</v>
      </c>
      <c r="G1" s="20" t="s">
        <v>83</v>
      </c>
      <c r="H1" s="21" t="s">
        <v>84</v>
      </c>
      <c r="I1" s="20" t="s">
        <v>85</v>
      </c>
      <c r="J1" s="20" t="s">
        <v>86</v>
      </c>
    </row>
    <row r="2">
      <c r="A2" s="22" t="s">
        <v>109</v>
      </c>
      <c r="B2" s="22">
        <v>421.0</v>
      </c>
      <c r="C2" s="22" t="s">
        <v>2949</v>
      </c>
      <c r="D2" s="23" t="str">
        <f>HYPERLINK("http://ecotaxoserver.obs-vlfr.fr/browsetaxo/?id=82417","82417")</f>
        <v>82417</v>
      </c>
      <c r="E2" s="23" t="str">
        <f>HYPERLINK("http://www.marinespecies.org/aphia.php?p=taxdetails&amp;id=104108","104108")</f>
        <v>104108</v>
      </c>
      <c r="F2" s="22" t="s">
        <v>109</v>
      </c>
      <c r="G2" s="22" t="s">
        <v>110</v>
      </c>
      <c r="H2" s="24" t="s">
        <v>1927</v>
      </c>
      <c r="I2" s="23" t="str">
        <f>HYPERLINK("http://www.marinespecies.org/aphia.php?p=taxdetails&amp;id=104108","104108")</f>
        <v>104108</v>
      </c>
      <c r="J2" s="22" t="s">
        <v>94</v>
      </c>
    </row>
    <row r="3">
      <c r="A3" s="22" t="s">
        <v>2950</v>
      </c>
      <c r="B3" s="22">
        <v>3.0</v>
      </c>
      <c r="C3" s="22" t="s">
        <v>2951</v>
      </c>
      <c r="D3" s="23" t="str">
        <f>HYPERLINK("http://ecotaxoserver.obs-vlfr.fr/browsetaxo/?id=56020","56020")</f>
        <v>56020</v>
      </c>
      <c r="E3" s="23" t="str">
        <f>HYPERLINK("http://www.marinespecies.org/aphia.php?p=taxdetails&amp;id=148947","148947")</f>
        <v>148947</v>
      </c>
      <c r="F3" s="22" t="s">
        <v>2950</v>
      </c>
      <c r="G3" s="22" t="s">
        <v>2952</v>
      </c>
      <c r="H3" s="24" t="s">
        <v>1927</v>
      </c>
      <c r="I3" s="23" t="str">
        <f>HYPERLINK("http://www.marinespecies.org/aphia.php?p=taxdetails&amp;id=148947","148947")</f>
        <v>148947</v>
      </c>
      <c r="J3" s="22" t="s">
        <v>94</v>
      </c>
    </row>
    <row r="4">
      <c r="A4" s="22" t="s">
        <v>167</v>
      </c>
      <c r="B4" s="22">
        <v>267.0</v>
      </c>
      <c r="C4" s="22" t="s">
        <v>2951</v>
      </c>
      <c r="D4" s="23" t="str">
        <f>HYPERLINK("http://ecotaxoserver.obs-vlfr.fr/browsetaxo/?id=58246","58246")</f>
        <v>58246</v>
      </c>
      <c r="E4" s="23" t="str">
        <f>HYPERLINK("http://www.marinespecies.org/aphia.php?p=taxdetails&amp;id=109470","109470")</f>
        <v>109470</v>
      </c>
      <c r="F4" s="22" t="s">
        <v>171</v>
      </c>
      <c r="G4" s="22" t="s">
        <v>169</v>
      </c>
      <c r="H4" s="24" t="s">
        <v>1927</v>
      </c>
      <c r="I4" s="23" t="str">
        <f>HYPERLINK("http://www.marinespecies.org/aphia.php?p=taxdetails&amp;id=109470","109470")</f>
        <v>109470</v>
      </c>
      <c r="J4" s="22" t="s">
        <v>94</v>
      </c>
    </row>
    <row r="5">
      <c r="A5" s="22" t="s">
        <v>252</v>
      </c>
      <c r="B5" s="22">
        <v>23.0</v>
      </c>
      <c r="C5" s="22" t="s">
        <v>2953</v>
      </c>
      <c r="D5" s="23" t="str">
        <f>HYPERLINK("http://ecotaxoserver.obs-vlfr.fr/browsetaxo/?id=12848","12848")</f>
        <v>12848</v>
      </c>
      <c r="E5" s="23" t="str">
        <f>HYPERLINK("http://www.marinespecies.org/aphia.php?p=taxdetails&amp;id=1065","1065")</f>
        <v>1065</v>
      </c>
      <c r="F5" s="22" t="s">
        <v>252</v>
      </c>
      <c r="G5" s="22" t="s">
        <v>224</v>
      </c>
      <c r="H5" s="24" t="s">
        <v>1927</v>
      </c>
      <c r="I5" s="23" t="str">
        <f>HYPERLINK("http://www.marinespecies.org/aphia.php?p=taxdetails&amp;id=1065","1065")</f>
        <v>1065</v>
      </c>
      <c r="J5" s="22" t="s">
        <v>94</v>
      </c>
    </row>
    <row r="6">
      <c r="A6" s="22" t="s">
        <v>299</v>
      </c>
      <c r="B6" s="22">
        <v>5.0</v>
      </c>
      <c r="C6" s="22" t="s">
        <v>2951</v>
      </c>
      <c r="D6" s="23" t="str">
        <f>HYPERLINK("http://ecotaxoserver.obs-vlfr.fr/browsetaxo/?id=31521","31521")</f>
        <v>31521</v>
      </c>
      <c r="E6" s="23" t="str">
        <f>HYPERLINK("http://www.marinespecies.org/aphia.php?p=taxdetails&amp;id=391508","391508")</f>
        <v>391508</v>
      </c>
      <c r="F6" s="22" t="s">
        <v>299</v>
      </c>
      <c r="G6" s="22" t="s">
        <v>301</v>
      </c>
      <c r="H6" s="24" t="s">
        <v>1927</v>
      </c>
      <c r="I6" s="23" t="str">
        <f>HYPERLINK("http://www.marinespecies.org/aphia.php?p=taxdetails&amp;id=391508","391508")</f>
        <v>391508</v>
      </c>
      <c r="J6" s="22" t="s">
        <v>94</v>
      </c>
    </row>
    <row r="7">
      <c r="A7" s="22" t="s">
        <v>119</v>
      </c>
      <c r="B7" s="22">
        <v>6.0</v>
      </c>
      <c r="C7" s="22" t="s">
        <v>2953</v>
      </c>
      <c r="D7" s="23" t="str">
        <f>HYPERLINK("http://ecotaxoserver.obs-vlfr.fr/browsetaxo/?id=28203","28203")</f>
        <v>28203</v>
      </c>
      <c r="E7" s="23" t="str">
        <f>HYPERLINK("http://www.marinespecies.org/aphia.php?p=taxdetails&amp;id=148899","148899")</f>
        <v>148899</v>
      </c>
      <c r="F7" s="22" t="s">
        <v>119</v>
      </c>
      <c r="G7" s="22" t="s">
        <v>309</v>
      </c>
      <c r="H7" s="24" t="s">
        <v>1927</v>
      </c>
      <c r="I7" s="23" t="str">
        <f>HYPERLINK("http://www.marinespecies.org/aphia.php?p=taxdetails&amp;id=148899","148899")</f>
        <v>148899</v>
      </c>
      <c r="J7" s="22" t="s">
        <v>94</v>
      </c>
    </row>
    <row r="8">
      <c r="A8" s="22" t="s">
        <v>1933</v>
      </c>
      <c r="B8" s="22">
        <v>674.0</v>
      </c>
      <c r="C8" s="22" t="s">
        <v>2951</v>
      </c>
      <c r="D8" s="23" t="str">
        <f>HYPERLINK("http://ecotaxoserver.obs-vlfr.fr/browsetaxo/?id=73522","73522")</f>
        <v>73522</v>
      </c>
      <c r="E8" s="23" t="str">
        <f>HYPERLINK("http://www.marinespecies.org/aphia.php?p=taxdetails&amp;id=105","105")</f>
        <v>105</v>
      </c>
      <c r="F8" s="22" t="s">
        <v>1933</v>
      </c>
      <c r="G8" s="22" t="s">
        <v>445</v>
      </c>
      <c r="H8" s="24" t="s">
        <v>1927</v>
      </c>
      <c r="I8" s="23" t="str">
        <f>HYPERLINK("http://www.marinespecies.org/aphia.php?p=taxdetails&amp;id=105","105")</f>
        <v>105</v>
      </c>
      <c r="J8" s="22" t="s">
        <v>94</v>
      </c>
    </row>
    <row r="9">
      <c r="A9" s="22" t="s">
        <v>350</v>
      </c>
      <c r="B9" s="22">
        <v>5.0</v>
      </c>
      <c r="C9" s="22" t="s">
        <v>2951</v>
      </c>
      <c r="D9" s="23" t="str">
        <f>HYPERLINK("http://ecotaxoserver.obs-vlfr.fr/browsetaxo/?id=31532","31532")</f>
        <v>31532</v>
      </c>
      <c r="E9" s="23" t="str">
        <f>HYPERLINK("http://www.marinespecies.org/aphia.php?p=taxdetails&amp;id=109548","109548")</f>
        <v>109548</v>
      </c>
      <c r="F9" s="22" t="s">
        <v>350</v>
      </c>
      <c r="G9" s="22" t="s">
        <v>351</v>
      </c>
      <c r="H9" s="24" t="s">
        <v>1927</v>
      </c>
      <c r="I9" s="23" t="str">
        <f>HYPERLINK("http://www.marinespecies.org/aphia.php?p=taxdetails&amp;id=109548","109548")</f>
        <v>109548</v>
      </c>
      <c r="J9" s="22" t="s">
        <v>94</v>
      </c>
    </row>
    <row r="10">
      <c r="A10" s="22" t="s">
        <v>2954</v>
      </c>
      <c r="B10" s="22">
        <v>6.0</v>
      </c>
      <c r="C10" s="22" t="s">
        <v>2951</v>
      </c>
      <c r="D10" s="23" t="str">
        <f>HYPERLINK("http://ecotaxoserver.obs-vlfr.fr/browsetaxo/?id=81513","81513")</f>
        <v>81513</v>
      </c>
      <c r="E10" s="23" t="str">
        <f>HYPERLINK("http://www.marinespecies.org/aphia.php?p=taxdetails&amp;id=117015","117015")</f>
        <v>117015</v>
      </c>
      <c r="F10" s="22" t="s">
        <v>2954</v>
      </c>
      <c r="G10" s="22" t="s">
        <v>365</v>
      </c>
      <c r="H10" s="24" t="s">
        <v>1927</v>
      </c>
      <c r="I10" s="23" t="str">
        <f>HYPERLINK("http://www.marinespecies.org/aphia.php?p=taxdetails&amp;id=117015","117015")</f>
        <v>117015</v>
      </c>
      <c r="J10" s="22" t="s">
        <v>94</v>
      </c>
    </row>
    <row r="11">
      <c r="A11" s="22" t="s">
        <v>386</v>
      </c>
      <c r="B11" s="22">
        <v>3126.0</v>
      </c>
      <c r="C11" s="22" t="s">
        <v>2951</v>
      </c>
      <c r="D11" s="23" t="str">
        <f>HYPERLINK("http://ecotaxoserver.obs-vlfr.fr/browsetaxo/?id=87696","87696")</f>
        <v>87696</v>
      </c>
      <c r="E11" s="23" t="str">
        <f>HYPERLINK("http://www.marinespecies.org/aphia.php?p=taxdetails&amp;id=104152","104152")</f>
        <v>104152</v>
      </c>
      <c r="F11" s="22" t="s">
        <v>386</v>
      </c>
      <c r="G11" s="22" t="s">
        <v>382</v>
      </c>
      <c r="H11" s="24" t="s">
        <v>1927</v>
      </c>
      <c r="I11" s="23" t="str">
        <f>HYPERLINK("http://www.marinespecies.org/aphia.php?p=taxdetails&amp;id=104152","104152")</f>
        <v>104152</v>
      </c>
      <c r="J11" s="22" t="s">
        <v>94</v>
      </c>
    </row>
    <row r="12">
      <c r="A12" s="22" t="s">
        <v>2955</v>
      </c>
      <c r="B12" s="22">
        <v>3.0</v>
      </c>
      <c r="C12" s="22" t="s">
        <v>2951</v>
      </c>
      <c r="D12" s="23" t="str">
        <f>HYPERLINK("http://ecotaxoserver.obs-vlfr.fr/browsetaxo/?id=92628","92628")</f>
        <v>92628</v>
      </c>
      <c r="E12" s="23" t="str">
        <f>HYPERLINK("http://www.marinespecies.org/aphia.php?p=taxdetails&amp;id=235858","235858")</f>
        <v>235858</v>
      </c>
      <c r="F12" s="22" t="s">
        <v>128</v>
      </c>
      <c r="G12" s="22" t="s">
        <v>597</v>
      </c>
      <c r="H12" s="24" t="s">
        <v>1927</v>
      </c>
      <c r="I12" s="23" t="str">
        <f>HYPERLINK("http://www.marinespecies.org/aphia.php?p=taxdetails&amp;id=235858","235858")</f>
        <v>235858</v>
      </c>
      <c r="J12" s="22" t="s">
        <v>94</v>
      </c>
    </row>
    <row r="13">
      <c r="A13" s="22" t="s">
        <v>392</v>
      </c>
      <c r="B13" s="22">
        <v>35.0</v>
      </c>
      <c r="C13" s="22" t="s">
        <v>2951</v>
      </c>
      <c r="D13" s="23" t="str">
        <f>HYPERLINK("http://ecotaxoserver.obs-vlfr.fr/browsetaxo/?id=80269","80269")</f>
        <v>80269</v>
      </c>
      <c r="E13" s="23" t="str">
        <f>HYPERLINK("http://www.marinespecies.org/aphia.php?p=taxdetails&amp;id=135566","135566")</f>
        <v>135566</v>
      </c>
      <c r="F13" s="22" t="s">
        <v>392</v>
      </c>
      <c r="G13" s="22" t="s">
        <v>394</v>
      </c>
      <c r="H13" s="24" t="s">
        <v>1927</v>
      </c>
      <c r="I13" s="23" t="str">
        <f>HYPERLINK("http://www.marinespecies.org/aphia.php?p=taxdetails&amp;id=135566","135566")</f>
        <v>135566</v>
      </c>
      <c r="J13" s="22" t="s">
        <v>94</v>
      </c>
    </row>
    <row r="14">
      <c r="A14" s="22" t="s">
        <v>409</v>
      </c>
      <c r="B14" s="22">
        <v>2.0</v>
      </c>
      <c r="C14" s="22" t="s">
        <v>2951</v>
      </c>
      <c r="D14" s="23" t="str">
        <f>HYPERLINK("http://ecotaxoserver.obs-vlfr.fr/browsetaxo/?id=82441","82441")</f>
        <v>82441</v>
      </c>
      <c r="E14" s="23" t="str">
        <f>HYPERLINK("http://www.marinespecies.org/aphia.php?p=taxdetails&amp;id=104157","104157")</f>
        <v>104157</v>
      </c>
      <c r="F14" s="22" t="s">
        <v>409</v>
      </c>
      <c r="G14" s="22" t="s">
        <v>410</v>
      </c>
      <c r="H14" s="24" t="s">
        <v>1927</v>
      </c>
      <c r="I14" s="23" t="str">
        <f>HYPERLINK("http://www.marinespecies.org/aphia.php?p=taxdetails&amp;id=104157","104157")</f>
        <v>104157</v>
      </c>
      <c r="J14" s="22" t="s">
        <v>94</v>
      </c>
    </row>
    <row r="15">
      <c r="A15" s="22" t="s">
        <v>434</v>
      </c>
      <c r="B15" s="22">
        <v>1577.0</v>
      </c>
      <c r="C15" s="22" t="s">
        <v>2956</v>
      </c>
      <c r="D15" s="23" t="str">
        <f>HYPERLINK("http://ecotaxoserver.obs-vlfr.fr/browsetaxo/?id=82449","82449")</f>
        <v>82449</v>
      </c>
      <c r="E15" s="23" t="str">
        <f>HYPERLINK("http://www.marinespecies.org/aphia.php?p=taxdetails&amp;id=104159","104159")</f>
        <v>104159</v>
      </c>
      <c r="F15" s="22" t="s">
        <v>434</v>
      </c>
      <c r="G15" s="22" t="s">
        <v>435</v>
      </c>
      <c r="H15" s="24" t="s">
        <v>1927</v>
      </c>
      <c r="I15" s="23" t="str">
        <f>HYPERLINK("http://www.marinespecies.org/aphia.php?p=taxdetails&amp;id=104159","104159")</f>
        <v>104159</v>
      </c>
      <c r="J15" s="22" t="s">
        <v>94</v>
      </c>
    </row>
    <row r="16">
      <c r="A16" s="22" t="s">
        <v>454</v>
      </c>
      <c r="B16" s="22">
        <v>8087.0</v>
      </c>
      <c r="C16" s="22" t="s">
        <v>2951</v>
      </c>
      <c r="D16" s="23" t="str">
        <f>HYPERLINK("http://ecotaxoserver.obs-vlfr.fr/browsetaxo/?id=89190","89190")</f>
        <v>89190</v>
      </c>
      <c r="E16" s="23" t="str">
        <f>HYPERLINK("http://www.marinespecies.org/aphia.php?p=taxdetails&amp;id=109506","109506")</f>
        <v>109506</v>
      </c>
      <c r="F16" s="22" t="s">
        <v>454</v>
      </c>
      <c r="G16" s="22" t="s">
        <v>452</v>
      </c>
      <c r="H16" s="24" t="s">
        <v>1927</v>
      </c>
      <c r="I16" s="23" t="str">
        <f>HYPERLINK("http://www.marinespecies.org/aphia.php?p=taxdetails&amp;id=109506","109506")</f>
        <v>109506</v>
      </c>
      <c r="J16" s="22" t="s">
        <v>94</v>
      </c>
    </row>
    <row r="17">
      <c r="A17" s="22" t="s">
        <v>455</v>
      </c>
      <c r="B17" s="22">
        <v>2.0</v>
      </c>
      <c r="C17" s="22" t="s">
        <v>2951</v>
      </c>
      <c r="D17" s="23" t="str">
        <f>HYPERLINK("http://ecotaxoserver.obs-vlfr.fr/browsetaxo/?id=92425","92425")</f>
        <v>92425</v>
      </c>
      <c r="E17" s="23" t="str">
        <f>HYPERLINK("http://www.marinespecies.org/aphia.php?p=taxdetails&amp;id=109507","109507")</f>
        <v>109507</v>
      </c>
      <c r="F17" s="22" t="s">
        <v>128</v>
      </c>
      <c r="G17" s="22" t="s">
        <v>456</v>
      </c>
      <c r="H17" s="24" t="s">
        <v>1927</v>
      </c>
      <c r="I17" s="23" t="str">
        <f>HYPERLINK("http://www.marinespecies.org/aphia.php?p=taxdetails&amp;id=109507","109507")</f>
        <v>109507</v>
      </c>
      <c r="J17" s="22" t="s">
        <v>94</v>
      </c>
    </row>
    <row r="18">
      <c r="A18" s="22" t="s">
        <v>467</v>
      </c>
      <c r="B18" s="22">
        <v>11615.0</v>
      </c>
      <c r="C18" s="22" t="s">
        <v>2951</v>
      </c>
      <c r="D18" s="23" t="str">
        <f>HYPERLINK("http://ecotaxoserver.obs-vlfr.fr/browsetaxo/?id=55842","55842")</f>
        <v>55842</v>
      </c>
      <c r="E18" s="23" t="str">
        <f>HYPERLINK("http://www.marinespecies.org/aphia.php?p=taxdetails&amp;id=148985","148985")</f>
        <v>148985</v>
      </c>
      <c r="F18" s="22" t="s">
        <v>467</v>
      </c>
      <c r="G18" s="22" t="s">
        <v>1931</v>
      </c>
      <c r="H18" s="24" t="s">
        <v>1927</v>
      </c>
      <c r="I18" s="23" t="str">
        <f>HYPERLINK("http://www.marinespecies.org/aphia.php?p=taxdetails&amp;id=148985","148985")</f>
        <v>148985</v>
      </c>
      <c r="J18" s="22" t="s">
        <v>94</v>
      </c>
    </row>
    <row r="19">
      <c r="A19" s="22" t="s">
        <v>2957</v>
      </c>
      <c r="B19" s="22">
        <v>1.0</v>
      </c>
      <c r="C19" s="22" t="s">
        <v>2951</v>
      </c>
      <c r="D19" s="23" t="str">
        <f>HYPERLINK("http://ecotaxoserver.obs-vlfr.fr/browsetaxo/?id=63185","63185")</f>
        <v>63185</v>
      </c>
      <c r="E19" s="23" t="str">
        <f>HYPERLINK("http://www.marinespecies.org/aphia.php?p=taxdetails&amp;id=146802","146802")</f>
        <v>146802</v>
      </c>
      <c r="F19" s="22" t="s">
        <v>2957</v>
      </c>
      <c r="G19" s="22" t="s">
        <v>2958</v>
      </c>
      <c r="H19" s="24" t="s">
        <v>1927</v>
      </c>
      <c r="I19" s="23" t="str">
        <f>HYPERLINK("http://www.marinespecies.org/aphia.php?p=taxdetails&amp;id=146802","146802")</f>
        <v>146802</v>
      </c>
      <c r="J19" s="22" t="s">
        <v>94</v>
      </c>
    </row>
    <row r="20">
      <c r="A20" s="22" t="s">
        <v>526</v>
      </c>
      <c r="B20" s="22">
        <v>412.0</v>
      </c>
      <c r="C20" s="22" t="s">
        <v>2953</v>
      </c>
      <c r="D20" s="23" t="str">
        <f>HYPERLINK("http://ecotaxoserver.obs-vlfr.fr/browsetaxo/?id=11223","11223")</f>
        <v>11223</v>
      </c>
      <c r="E20" s="23" t="str">
        <f>HYPERLINK("http://www.marinespecies.org/aphia.php?p=taxdetails&amp;id=11","11")</f>
        <v>11</v>
      </c>
      <c r="F20" s="22" t="s">
        <v>526</v>
      </c>
      <c r="G20" s="22" t="s">
        <v>283</v>
      </c>
      <c r="H20" s="24" t="s">
        <v>1927</v>
      </c>
      <c r="I20" s="23" t="str">
        <f>HYPERLINK("http://www.marinespecies.org/aphia.php?p=taxdetails&amp;id=11","11")</f>
        <v>11</v>
      </c>
      <c r="J20" s="22" t="s">
        <v>94</v>
      </c>
    </row>
    <row r="21">
      <c r="A21" s="22" t="s">
        <v>539</v>
      </c>
      <c r="B21" s="22">
        <v>60.0</v>
      </c>
      <c r="C21" s="22" t="s">
        <v>2951</v>
      </c>
      <c r="D21" s="23" t="str">
        <f>HYPERLINK("http://ecotaxoserver.obs-vlfr.fr/browsetaxo/?id=87697","87697")</f>
        <v>87697</v>
      </c>
      <c r="E21" s="23" t="str">
        <f>HYPERLINK("http://www.marinespecies.org/aphia.php?p=taxdetails&amp;id=104161","104161")</f>
        <v>104161</v>
      </c>
      <c r="F21" s="22" t="s">
        <v>539</v>
      </c>
      <c r="G21" s="22" t="s">
        <v>538</v>
      </c>
      <c r="H21" s="24" t="s">
        <v>1927</v>
      </c>
      <c r="I21" s="23" t="str">
        <f>HYPERLINK("http://www.marinespecies.org/aphia.php?p=taxdetails&amp;id=104161","104161")</f>
        <v>104161</v>
      </c>
      <c r="J21" s="22" t="s">
        <v>94</v>
      </c>
    </row>
    <row r="22">
      <c r="A22" s="22" t="s">
        <v>561</v>
      </c>
      <c r="B22" s="22">
        <v>135.0</v>
      </c>
      <c r="C22" s="22" t="s">
        <v>2951</v>
      </c>
      <c r="D22" s="23" t="str">
        <f>HYPERLINK("http://ecotaxoserver.obs-vlfr.fr/browsetaxo/?id=85420","85420")</f>
        <v>85420</v>
      </c>
      <c r="E22" s="23" t="str">
        <f>HYPERLINK("http://www.marinespecies.org/aphia.php?p=taxdetails&amp;id=148989","148989")</f>
        <v>148989</v>
      </c>
      <c r="F22" s="22" t="s">
        <v>561</v>
      </c>
      <c r="G22" s="22" t="s">
        <v>562</v>
      </c>
      <c r="H22" s="24" t="s">
        <v>1927</v>
      </c>
      <c r="I22" s="23" t="str">
        <f>HYPERLINK("http://www.marinespecies.org/aphia.php?p=taxdetails&amp;id=148989","148989")</f>
        <v>148989</v>
      </c>
      <c r="J22" s="22" t="s">
        <v>94</v>
      </c>
    </row>
    <row r="23">
      <c r="A23" s="22" t="s">
        <v>570</v>
      </c>
      <c r="B23" s="22">
        <v>643.0</v>
      </c>
      <c r="C23" s="22" t="s">
        <v>2951</v>
      </c>
      <c r="D23" s="23" t="str">
        <f>HYPERLINK("http://ecotaxoserver.obs-vlfr.fr/browsetaxo/?id=57391","57391")</f>
        <v>57391</v>
      </c>
      <c r="E23" s="23" t="str">
        <f>HYPERLINK("http://www.marinespecies.org/aphia.php?p=taxdetails&amp;id=204197","204197")</f>
        <v>204197</v>
      </c>
      <c r="F23" s="22" t="s">
        <v>570</v>
      </c>
      <c r="G23" s="22" t="s">
        <v>1733</v>
      </c>
      <c r="H23" s="24" t="s">
        <v>1927</v>
      </c>
      <c r="I23" s="23" t="str">
        <f>HYPERLINK("http://www.marinespecies.org/aphia.php?p=taxdetails&amp;id=204197","204197")</f>
        <v>204197</v>
      </c>
      <c r="J23" s="22" t="s">
        <v>94</v>
      </c>
    </row>
    <row r="24">
      <c r="A24" s="22" t="s">
        <v>586</v>
      </c>
      <c r="B24" s="22">
        <v>14.0</v>
      </c>
      <c r="C24" s="22" t="s">
        <v>2951</v>
      </c>
      <c r="D24" s="23" t="str">
        <f>HYPERLINK("http://ecotaxoserver.obs-vlfr.fr/browsetaxo/?id=85520","85520")</f>
        <v>85520</v>
      </c>
      <c r="E24" s="23" t="str">
        <f>HYPERLINK("http://www.marinespecies.org/aphia.php?p=taxdetails&amp;id=149109","149109")</f>
        <v>149109</v>
      </c>
      <c r="F24" s="22" t="s">
        <v>586</v>
      </c>
      <c r="G24" s="22" t="s">
        <v>588</v>
      </c>
      <c r="H24" s="24" t="s">
        <v>1927</v>
      </c>
      <c r="I24" s="23" t="str">
        <f>HYPERLINK("http://www.marinespecies.org/aphia.php?p=taxdetails&amp;id=149109","149109")</f>
        <v>149109</v>
      </c>
      <c r="J24" s="22" t="s">
        <v>94</v>
      </c>
    </row>
    <row r="25">
      <c r="A25" s="22" t="s">
        <v>611</v>
      </c>
      <c r="B25" s="22">
        <v>34.0</v>
      </c>
      <c r="C25" s="22" t="s">
        <v>2951</v>
      </c>
      <c r="D25" s="23" t="str">
        <f>HYPERLINK("http://ecotaxoserver.obs-vlfr.fr/browsetaxo/?id=92431","92431")</f>
        <v>92431</v>
      </c>
      <c r="E25" s="23" t="str">
        <f>HYPERLINK("http://www.marinespecies.org/aphia.php?p=taxdetails&amp;id=109527","109527")</f>
        <v>109527</v>
      </c>
      <c r="F25" s="22" t="s">
        <v>128</v>
      </c>
      <c r="G25" s="22" t="s">
        <v>184</v>
      </c>
      <c r="H25" s="24" t="s">
        <v>1927</v>
      </c>
      <c r="I25" s="23" t="str">
        <f>HYPERLINK("http://www.marinespecies.org/aphia.php?p=taxdetails&amp;id=109527","109527")</f>
        <v>109527</v>
      </c>
      <c r="J25" s="22" t="s">
        <v>94</v>
      </c>
    </row>
    <row r="26">
      <c r="A26" s="22" t="s">
        <v>613</v>
      </c>
      <c r="B26" s="22">
        <v>1.0</v>
      </c>
      <c r="C26" s="22" t="s">
        <v>2951</v>
      </c>
      <c r="D26" s="23" t="str">
        <f>HYPERLINK("http://ecotaxoserver.obs-vlfr.fr/browsetaxo/?id=56024","56024")</f>
        <v>56024</v>
      </c>
      <c r="E26" s="23" t="str">
        <f>HYPERLINK("http://www.marinespecies.org/aphia.php?p=taxdetails&amp;id=148917","148917")</f>
        <v>148917</v>
      </c>
      <c r="F26" s="22" t="s">
        <v>613</v>
      </c>
      <c r="G26" s="22" t="s">
        <v>614</v>
      </c>
      <c r="H26" s="24" t="s">
        <v>1927</v>
      </c>
      <c r="I26" s="23" t="str">
        <f>HYPERLINK("http://www.marinespecies.org/aphia.php?p=taxdetails&amp;id=148917","148917")</f>
        <v>148917</v>
      </c>
      <c r="J26" s="22" t="s">
        <v>94</v>
      </c>
    </row>
    <row r="27">
      <c r="A27" s="22" t="s">
        <v>624</v>
      </c>
      <c r="B27" s="22">
        <v>1.0</v>
      </c>
      <c r="C27" s="22" t="s">
        <v>2951</v>
      </c>
      <c r="D27" s="23" t="str">
        <f>HYPERLINK("http://ecotaxoserver.obs-vlfr.fr/browsetaxo/?id=74173","74173")</f>
        <v>74173</v>
      </c>
      <c r="E27" s="23" t="str">
        <f>HYPERLINK("http://www.marinespecies.org/aphia.php?p=taxdetails&amp;id=137752","137752")</f>
        <v>137752</v>
      </c>
      <c r="F27" s="22" t="s">
        <v>624</v>
      </c>
      <c r="G27" s="22" t="s">
        <v>623</v>
      </c>
      <c r="H27" s="24" t="s">
        <v>1927</v>
      </c>
      <c r="I27" s="23" t="str">
        <f>HYPERLINK("http://www.marinespecies.org/aphia.php?p=taxdetails&amp;id=137752","137752")</f>
        <v>137752</v>
      </c>
      <c r="J27" s="22" t="s">
        <v>94</v>
      </c>
    </row>
    <row r="28">
      <c r="A28" s="22" t="s">
        <v>630</v>
      </c>
      <c r="B28" s="22">
        <v>1894.0</v>
      </c>
      <c r="C28" s="22" t="s">
        <v>2953</v>
      </c>
      <c r="D28" s="23" t="str">
        <f>HYPERLINK("http://ecotaxoserver.obs-vlfr.fr/browsetaxo/?id=16623","16623")</f>
        <v>16623</v>
      </c>
      <c r="E28" s="23" t="str">
        <f>HYPERLINK("http://www.marinespecies.org/aphia.php?p=taxdetails&amp;id=1066","1066")</f>
        <v>1066</v>
      </c>
      <c r="F28" s="22" t="s">
        <v>630</v>
      </c>
      <c r="G28" s="22" t="s">
        <v>252</v>
      </c>
      <c r="H28" s="24" t="s">
        <v>1927</v>
      </c>
      <c r="I28" s="23" t="str">
        <f>HYPERLINK("http://www.marinespecies.org/aphia.php?p=taxdetails&amp;id=1066","1066")</f>
        <v>1066</v>
      </c>
      <c r="J28" s="22" t="s">
        <v>94</v>
      </c>
    </row>
    <row r="29">
      <c r="A29" s="22" t="s">
        <v>631</v>
      </c>
      <c r="B29" s="22">
        <v>14423.0</v>
      </c>
      <c r="C29" s="22" t="s">
        <v>2951</v>
      </c>
      <c r="D29" s="23" t="str">
        <f>HYPERLINK("http://ecotaxoserver.obs-vlfr.fr/browsetaxo/?id=13089","13089")</f>
        <v>13089</v>
      </c>
      <c r="E29" s="23" t="str">
        <f>HYPERLINK("http://www.marinespecies.org/aphia.php?p=taxdetails&amp;id=106282","106282")</f>
        <v>106282</v>
      </c>
      <c r="F29" s="22" t="s">
        <v>631</v>
      </c>
      <c r="G29" s="22" t="s">
        <v>632</v>
      </c>
      <c r="H29" s="24" t="s">
        <v>1927</v>
      </c>
      <c r="I29" s="23" t="str">
        <f>HYPERLINK("http://www.marinespecies.org/aphia.php?p=taxdetails&amp;id=106282","106282")</f>
        <v>106282</v>
      </c>
      <c r="J29" s="22" t="s">
        <v>94</v>
      </c>
    </row>
    <row r="30">
      <c r="A30" s="22" t="s">
        <v>635</v>
      </c>
      <c r="B30" s="22">
        <v>1098.0</v>
      </c>
      <c r="C30" s="22" t="s">
        <v>2959</v>
      </c>
      <c r="D30" s="23" t="str">
        <f>HYPERLINK("http://ecotaxoserver.obs-vlfr.fr/browsetaxo/?id=13160","13160")</f>
        <v>13160</v>
      </c>
      <c r="E30" s="23" t="str">
        <f>HYPERLINK("http://www.marinespecies.org/aphia.php?p=taxdetails&amp;id=17638","17638")</f>
        <v>17638</v>
      </c>
      <c r="F30" s="22" t="s">
        <v>2960</v>
      </c>
      <c r="G30" s="22" t="s">
        <v>637</v>
      </c>
      <c r="H30" s="24" t="s">
        <v>1927</v>
      </c>
      <c r="I30" s="23" t="str">
        <f>HYPERLINK("http://www.marinespecies.org/aphia.php?p=taxdetails&amp;id=17638","17638")</f>
        <v>17638</v>
      </c>
      <c r="J30" s="22" t="s">
        <v>94</v>
      </c>
    </row>
    <row r="31">
      <c r="A31" s="22" t="s">
        <v>672</v>
      </c>
      <c r="B31" s="22">
        <v>1523.0</v>
      </c>
      <c r="C31" s="22" t="s">
        <v>2951</v>
      </c>
      <c r="D31" s="23" t="str">
        <f>HYPERLINK("http://ecotaxoserver.obs-vlfr.fr/browsetaxo/?id=55358","55358")</f>
        <v>55358</v>
      </c>
      <c r="E31" s="23" t="str">
        <f>HYPERLINK("http://www.marinespecies.org/aphia.php?p=taxdetails&amp;id=149003","149003")</f>
        <v>149003</v>
      </c>
      <c r="F31" s="22" t="s">
        <v>672</v>
      </c>
      <c r="G31" s="22" t="s">
        <v>307</v>
      </c>
      <c r="H31" s="24" t="s">
        <v>1927</v>
      </c>
      <c r="I31" s="23" t="str">
        <f>HYPERLINK("http://www.marinespecies.org/aphia.php?p=taxdetails&amp;id=149003","149003")</f>
        <v>149003</v>
      </c>
      <c r="J31" s="22" t="s">
        <v>94</v>
      </c>
    </row>
    <row r="32">
      <c r="A32" s="22" t="s">
        <v>678</v>
      </c>
      <c r="B32" s="22">
        <v>20.0</v>
      </c>
      <c r="C32" s="22" t="s">
        <v>2951</v>
      </c>
      <c r="D32" s="23" t="str">
        <f>HYPERLINK("http://ecotaxoserver.obs-vlfr.fr/browsetaxo/?id=80573","80573")</f>
        <v>80573</v>
      </c>
      <c r="E32" s="23" t="str">
        <f>HYPERLINK("http://www.marinespecies.org/aphia.php?p=taxdetails&amp;id=146873","146873")</f>
        <v>146873</v>
      </c>
      <c r="F32" s="22" t="s">
        <v>678</v>
      </c>
      <c r="G32" s="22" t="s">
        <v>679</v>
      </c>
      <c r="H32" s="24" t="s">
        <v>1927</v>
      </c>
      <c r="I32" s="23" t="str">
        <f>HYPERLINK("http://www.marinespecies.org/aphia.php?p=taxdetails&amp;id=146873","146873")</f>
        <v>146873</v>
      </c>
      <c r="J32" s="22" t="s">
        <v>94</v>
      </c>
    </row>
    <row r="33">
      <c r="A33" s="22" t="s">
        <v>712</v>
      </c>
      <c r="B33" s="22">
        <v>4.0</v>
      </c>
      <c r="C33" s="22" t="s">
        <v>2951</v>
      </c>
      <c r="D33" s="23" t="str">
        <f>HYPERLINK("http://ecotaxoserver.obs-vlfr.fr/browsetaxo/?id=82389","82389")</f>
        <v>82389</v>
      </c>
      <c r="E33" s="23" t="str">
        <f>HYPERLINK("http://www.marinespecies.org/aphia.php?p=taxdetails&amp;id=234062","234062")</f>
        <v>234062</v>
      </c>
      <c r="F33" s="22" t="s">
        <v>712</v>
      </c>
      <c r="G33" s="22" t="s">
        <v>713</v>
      </c>
      <c r="H33" s="24" t="s">
        <v>1927</v>
      </c>
      <c r="I33" s="23" t="str">
        <f>HYPERLINK("http://www.marinespecies.org/aphia.php?p=taxdetails&amp;id=234062","234062")</f>
        <v>234062</v>
      </c>
      <c r="J33" s="22" t="s">
        <v>94</v>
      </c>
    </row>
    <row r="34">
      <c r="A34" s="22" t="s">
        <v>718</v>
      </c>
      <c r="B34" s="22">
        <v>1.0</v>
      </c>
      <c r="C34" s="22" t="s">
        <v>2956</v>
      </c>
      <c r="D34" s="23" t="str">
        <f>HYPERLINK("http://ecotaxoserver.obs-vlfr.fr/browsetaxo/?id=28441","28441")</f>
        <v>28441</v>
      </c>
      <c r="E34" s="23" t="str">
        <f>HYPERLINK("http://www.marinespecies.org/aphia.php?p=taxdetails&amp;id=157256","157256")</f>
        <v>157256</v>
      </c>
      <c r="F34" s="22" t="s">
        <v>2961</v>
      </c>
      <c r="G34" s="22" t="s">
        <v>721</v>
      </c>
      <c r="H34" s="24" t="s">
        <v>1927</v>
      </c>
      <c r="I34" s="23" t="str">
        <f>HYPERLINK("http://www.marinespecies.org/aphia.php?p=taxdetails&amp;id=157256","157256")</f>
        <v>157256</v>
      </c>
      <c r="J34" s="22" t="s">
        <v>94</v>
      </c>
    </row>
    <row r="35">
      <c r="A35" s="22" t="s">
        <v>2962</v>
      </c>
      <c r="B35" s="22">
        <v>9.0</v>
      </c>
      <c r="C35" s="22" t="s">
        <v>2951</v>
      </c>
      <c r="D35" s="23" t="str">
        <f>HYPERLINK("http://ecotaxoserver.obs-vlfr.fr/browsetaxo/?id=56796","56796")</f>
        <v>56796</v>
      </c>
      <c r="E35" s="23" t="str">
        <f>HYPERLINK("http://www.marinespecies.org/aphia.php?p=taxdetails&amp;id=341301","341301")</f>
        <v>341301</v>
      </c>
      <c r="F35" s="22" t="s">
        <v>2962</v>
      </c>
      <c r="G35" s="22" t="s">
        <v>2963</v>
      </c>
      <c r="H35" s="24" t="s">
        <v>1927</v>
      </c>
      <c r="I35" s="23" t="str">
        <f>HYPERLINK("http://www.marinespecies.org/aphia.php?p=taxdetails&amp;id=341301","341301")</f>
        <v>341301</v>
      </c>
      <c r="J35" s="22" t="s">
        <v>94</v>
      </c>
    </row>
    <row r="36">
      <c r="A36" s="22" t="s">
        <v>736</v>
      </c>
      <c r="B36" s="22">
        <v>37.0</v>
      </c>
      <c r="C36" s="22" t="s">
        <v>2951</v>
      </c>
      <c r="D36" s="23" t="str">
        <f>HYPERLINK("http://ecotaxoserver.obs-vlfr.fr/browsetaxo/?id=28335","28335")</f>
        <v>28335</v>
      </c>
      <c r="E36" s="23" t="str">
        <f>HYPERLINK("http://www.marinespecies.org/aphia.php?p=taxdetails&amp;id=157240","157240")</f>
        <v>157240</v>
      </c>
      <c r="F36" s="22" t="s">
        <v>736</v>
      </c>
      <c r="G36" s="22" t="s">
        <v>738</v>
      </c>
      <c r="H36" s="24" t="s">
        <v>1927</v>
      </c>
      <c r="I36" s="23" t="str">
        <f>HYPERLINK("http://www.marinespecies.org/aphia.php?p=taxdetails&amp;id=157240","157240")</f>
        <v>157240</v>
      </c>
      <c r="J36" s="22" t="s">
        <v>94</v>
      </c>
    </row>
    <row r="37">
      <c r="A37" s="22" t="s">
        <v>740</v>
      </c>
      <c r="B37" s="22">
        <v>1049.0</v>
      </c>
      <c r="C37" s="22" t="s">
        <v>2953</v>
      </c>
      <c r="D37" s="23" t="str">
        <f>HYPERLINK("http://ecotaxoserver.obs-vlfr.fr/browsetaxo/?id=13950","13950")</f>
        <v>13950</v>
      </c>
      <c r="E37" s="23" t="str">
        <f>HYPERLINK("http://www.marinespecies.org/aphia.php?p=taxdetails&amp;id=19542","19542")</f>
        <v>19542</v>
      </c>
      <c r="F37" s="22" t="s">
        <v>740</v>
      </c>
      <c r="G37" s="22" t="s">
        <v>742</v>
      </c>
      <c r="H37" s="24" t="s">
        <v>1927</v>
      </c>
      <c r="I37" s="23" t="str">
        <f>HYPERLINK("http://www.marinespecies.org/aphia.php?p=taxdetails&amp;id=19542","19542")</f>
        <v>19542</v>
      </c>
      <c r="J37" s="22" t="s">
        <v>94</v>
      </c>
    </row>
    <row r="38">
      <c r="A38" s="22" t="s">
        <v>744</v>
      </c>
      <c r="B38" s="22">
        <v>33.0</v>
      </c>
      <c r="C38" s="22" t="s">
        <v>2951</v>
      </c>
      <c r="D38" s="23" t="str">
        <f>HYPERLINK("http://ecotaxoserver.obs-vlfr.fr/browsetaxo/?id=58188","58188")</f>
        <v>58188</v>
      </c>
      <c r="E38" s="23" t="str">
        <f>HYPERLINK("http://www.marinespecies.org/aphia.php?p=taxdetails&amp;id=109462","109462")</f>
        <v>109462</v>
      </c>
      <c r="F38" s="22" t="s">
        <v>744</v>
      </c>
      <c r="G38" s="22" t="s">
        <v>746</v>
      </c>
      <c r="H38" s="24" t="s">
        <v>1927</v>
      </c>
      <c r="I38" s="23" t="str">
        <f>HYPERLINK("http://www.marinespecies.org/aphia.php?p=taxdetails&amp;id=109462","109462")</f>
        <v>109462</v>
      </c>
      <c r="J38" s="22" t="s">
        <v>94</v>
      </c>
    </row>
    <row r="39">
      <c r="A39" s="22" t="s">
        <v>778</v>
      </c>
      <c r="B39" s="22">
        <v>1.0</v>
      </c>
      <c r="C39" s="22" t="s">
        <v>2951</v>
      </c>
      <c r="D39" s="23" t="str">
        <f>HYPERLINK("http://ecotaxoserver.obs-vlfr.fr/browsetaxo/?id=67063","67063")</f>
        <v>67063</v>
      </c>
      <c r="E39" s="23" t="str">
        <f>HYPERLINK("http://www.marinespecies.org/aphia.php?p=taxdetails&amp;id=150718","150718")</f>
        <v>150718</v>
      </c>
      <c r="F39" s="22" t="s">
        <v>778</v>
      </c>
      <c r="G39" s="22" t="s">
        <v>779</v>
      </c>
      <c r="H39" s="24" t="s">
        <v>1927</v>
      </c>
      <c r="I39" s="23" t="str">
        <f>HYPERLINK("http://www.marinespecies.org/aphia.php?p=taxdetails&amp;id=150718","150718")</f>
        <v>150718</v>
      </c>
      <c r="J39" s="22" t="s">
        <v>94</v>
      </c>
    </row>
    <row r="40">
      <c r="A40" s="22" t="s">
        <v>1944</v>
      </c>
      <c r="B40" s="22">
        <v>19.0</v>
      </c>
      <c r="C40" s="22" t="s">
        <v>2951</v>
      </c>
      <c r="D40" s="23" t="str">
        <f>HYPERLINK("http://ecotaxoserver.obs-vlfr.fr/browsetaxo/?id=51857","51857")</f>
        <v>51857</v>
      </c>
      <c r="E40" s="23" t="str">
        <f>HYPERLINK("http://www.marinespecies.org/aphia.php?p=taxdetails&amp;id=1820","1820")</f>
        <v>1820</v>
      </c>
      <c r="F40" s="22" t="s">
        <v>1944</v>
      </c>
      <c r="G40" s="22" t="s">
        <v>973</v>
      </c>
      <c r="H40" s="24" t="s">
        <v>1927</v>
      </c>
      <c r="I40" s="23" t="str">
        <f>HYPERLINK("http://www.marinespecies.org/aphia.php?p=taxdetails&amp;id=1820","1820")</f>
        <v>1820</v>
      </c>
      <c r="J40" s="22" t="s">
        <v>94</v>
      </c>
    </row>
    <row r="41">
      <c r="A41" s="22" t="s">
        <v>812</v>
      </c>
      <c r="B41" s="22">
        <v>2.0</v>
      </c>
      <c r="C41" s="22" t="s">
        <v>2951</v>
      </c>
      <c r="D41" s="23" t="str">
        <f>HYPERLINK("http://ecotaxoserver.obs-vlfr.fr/browsetaxo/?id=55894","55894")</f>
        <v>55894</v>
      </c>
      <c r="E41" s="23" t="str">
        <f>HYPERLINK("http://www.marinespecies.org/aphia.php?p=taxdetails&amp;id=149130","149130")</f>
        <v>149130</v>
      </c>
      <c r="F41" s="22" t="s">
        <v>812</v>
      </c>
      <c r="G41" s="22" t="s">
        <v>451</v>
      </c>
      <c r="H41" s="24" t="s">
        <v>1927</v>
      </c>
      <c r="I41" s="23" t="str">
        <f>HYPERLINK("http://www.marinespecies.org/aphia.php?p=taxdetails&amp;id=149130","149130")</f>
        <v>149130</v>
      </c>
      <c r="J41" s="22" t="s">
        <v>94</v>
      </c>
    </row>
    <row r="42">
      <c r="A42" s="22" t="s">
        <v>818</v>
      </c>
      <c r="B42" s="22">
        <v>2.0</v>
      </c>
      <c r="C42" s="22" t="s">
        <v>2951</v>
      </c>
      <c r="D42" s="23" t="str">
        <f>HYPERLINK("http://ecotaxoserver.obs-vlfr.fr/browsetaxo/?id=21865","21865")</f>
        <v>21865</v>
      </c>
      <c r="E42" s="23" t="str">
        <f>HYPERLINK("http://www.marinespecies.org/aphia.php?p=taxdetails&amp;id=8012","8012")</f>
        <v>8012</v>
      </c>
      <c r="F42" s="22" t="s">
        <v>818</v>
      </c>
      <c r="G42" s="22" t="s">
        <v>820</v>
      </c>
      <c r="H42" s="24" t="s">
        <v>1927</v>
      </c>
      <c r="I42" s="23" t="str">
        <f>HYPERLINK("http://www.marinespecies.org/aphia.php?p=taxdetails&amp;id=8012","8012")</f>
        <v>8012</v>
      </c>
      <c r="J42" s="22" t="s">
        <v>94</v>
      </c>
    </row>
    <row r="43">
      <c r="A43" s="22" t="s">
        <v>827</v>
      </c>
      <c r="B43" s="22">
        <v>414.0</v>
      </c>
      <c r="C43" s="22" t="s">
        <v>2951</v>
      </c>
      <c r="D43" s="23" t="str">
        <f>HYPERLINK("http://ecotaxoserver.obs-vlfr.fr/browsetaxo/?id=79785","79785")</f>
        <v>79785</v>
      </c>
      <c r="E43" s="23" t="str">
        <f>HYPERLINK("http://www.marinespecies.org/aphia.php?p=taxdetails&amp;id=110673","110673")</f>
        <v>110673</v>
      </c>
      <c r="F43" s="22" t="s">
        <v>827</v>
      </c>
      <c r="G43" s="22" t="s">
        <v>829</v>
      </c>
      <c r="H43" s="24" t="s">
        <v>1927</v>
      </c>
      <c r="I43" s="23" t="str">
        <f>HYPERLINK("http://www.marinespecies.org/aphia.php?p=taxdetails&amp;id=110673","110673")</f>
        <v>110673</v>
      </c>
      <c r="J43" s="22" t="s">
        <v>94</v>
      </c>
    </row>
    <row r="44">
      <c r="A44" s="22" t="s">
        <v>2964</v>
      </c>
      <c r="B44" s="22">
        <v>2.0</v>
      </c>
      <c r="C44" s="22" t="s">
        <v>2951</v>
      </c>
      <c r="D44" s="23" t="str">
        <f>HYPERLINK("http://ecotaxoserver.obs-vlfr.fr/browsetaxo/?id=72863","72863")</f>
        <v>72863</v>
      </c>
      <c r="E44" s="23" t="str">
        <f>HYPERLINK("http://www.marinespecies.org/aphia.php?p=taxdetails&amp;id=106343","106343")</f>
        <v>106343</v>
      </c>
      <c r="F44" s="22" t="s">
        <v>2964</v>
      </c>
      <c r="G44" s="22" t="s">
        <v>2965</v>
      </c>
      <c r="H44" s="24" t="s">
        <v>1927</v>
      </c>
      <c r="I44" s="23" t="str">
        <f>HYPERLINK("http://www.marinespecies.org/aphia.php?p=taxdetails&amp;id=106343","106343")</f>
        <v>106343</v>
      </c>
      <c r="J44" s="22" t="s">
        <v>94</v>
      </c>
    </row>
    <row r="45">
      <c r="A45" s="22" t="s">
        <v>868</v>
      </c>
      <c r="B45" s="22">
        <v>89.0</v>
      </c>
      <c r="C45" s="22" t="s">
        <v>2951</v>
      </c>
      <c r="D45" s="23" t="str">
        <f>HYPERLINK("http://ecotaxoserver.obs-vlfr.fr/browsetaxo/?id=17331","17331")</f>
        <v>17331</v>
      </c>
      <c r="E45" s="23" t="str">
        <f>HYPERLINK("http://www.marinespecies.org/aphia.php?p=taxdetails&amp;id=1410","1410")</f>
        <v>1410</v>
      </c>
      <c r="F45" s="22" t="s">
        <v>2966</v>
      </c>
      <c r="G45" s="22" t="s">
        <v>100</v>
      </c>
      <c r="H45" s="24" t="s">
        <v>1927</v>
      </c>
      <c r="I45" s="23" t="str">
        <f>HYPERLINK("http://www.marinespecies.org/aphia.php?p=taxdetails&amp;id=1410","1410")</f>
        <v>1410</v>
      </c>
      <c r="J45" s="22" t="s">
        <v>94</v>
      </c>
    </row>
    <row r="46">
      <c r="A46" s="22" t="s">
        <v>871</v>
      </c>
      <c r="B46" s="22">
        <v>2.0</v>
      </c>
      <c r="C46" s="22" t="s">
        <v>2951</v>
      </c>
      <c r="D46" s="23" t="str">
        <f>HYPERLINK("http://ecotaxoserver.obs-vlfr.fr/browsetaxo/?id=83318","83318")</f>
        <v>83318</v>
      </c>
      <c r="E46" s="23" t="str">
        <f>HYPERLINK("http://www.marinespecies.org/aphia.php?p=taxdetails&amp;id=135396","135396")</f>
        <v>135396</v>
      </c>
      <c r="F46" s="22" t="s">
        <v>871</v>
      </c>
      <c r="G46" s="22" t="s">
        <v>2967</v>
      </c>
      <c r="H46" s="24" t="s">
        <v>1927</v>
      </c>
      <c r="I46" s="23" t="str">
        <f>HYPERLINK("http://www.marinespecies.org/aphia.php?p=taxdetails&amp;id=135396","135396")</f>
        <v>135396</v>
      </c>
      <c r="J46" s="22" t="s">
        <v>94</v>
      </c>
    </row>
    <row r="47">
      <c r="A47" s="22" t="s">
        <v>875</v>
      </c>
      <c r="B47" s="22">
        <v>1497.0</v>
      </c>
      <c r="C47" s="22" t="s">
        <v>2951</v>
      </c>
      <c r="D47" s="23" t="str">
        <f>HYPERLINK("http://ecotaxoserver.obs-vlfr.fr/browsetaxo/?id=85423","85423")</f>
        <v>85423</v>
      </c>
      <c r="E47" s="23" t="str">
        <f>HYPERLINK("http://www.marinespecies.org/aphia.php?p=taxdetails&amp;id=149313","149313")</f>
        <v>149313</v>
      </c>
      <c r="F47" s="22" t="s">
        <v>875</v>
      </c>
      <c r="G47" s="22" t="s">
        <v>307</v>
      </c>
      <c r="H47" s="24" t="s">
        <v>1927</v>
      </c>
      <c r="I47" s="23" t="str">
        <f>HYPERLINK("http://www.marinespecies.org/aphia.php?p=taxdetails&amp;id=149313","149313")</f>
        <v>149313</v>
      </c>
      <c r="J47" s="22" t="s">
        <v>94</v>
      </c>
    </row>
    <row r="48">
      <c r="A48" s="22" t="s">
        <v>275</v>
      </c>
      <c r="B48" s="22">
        <v>127.0</v>
      </c>
      <c r="C48" s="22" t="s">
        <v>2953</v>
      </c>
      <c r="D48" s="23" t="str">
        <f>HYPERLINK("http://ecotaxoserver.obs-vlfr.fr/browsetaxo/?id=16800","16800")</f>
        <v>16800</v>
      </c>
      <c r="E48" s="23" t="str">
        <f>HYPERLINK("http://www.marinespecies.org/aphia.php?p=taxdetails&amp;id=101","101")</f>
        <v>101</v>
      </c>
      <c r="F48" s="22" t="s">
        <v>275</v>
      </c>
      <c r="G48" s="22" t="s">
        <v>445</v>
      </c>
      <c r="H48" s="24" t="s">
        <v>1927</v>
      </c>
      <c r="I48" s="23" t="str">
        <f>HYPERLINK("http://www.marinespecies.org/aphia.php?p=taxdetails&amp;id=101","101")</f>
        <v>101</v>
      </c>
      <c r="J48" s="22" t="s">
        <v>94</v>
      </c>
    </row>
    <row r="49">
      <c r="A49" s="22" t="s">
        <v>922</v>
      </c>
      <c r="B49" s="22">
        <v>8.0</v>
      </c>
      <c r="C49" s="22" t="s">
        <v>2951</v>
      </c>
      <c r="D49" s="23" t="str">
        <f>HYPERLINK("http://ecotaxoserver.obs-vlfr.fr/browsetaxo/?id=58291","58291")</f>
        <v>58291</v>
      </c>
      <c r="E49" s="23" t="str">
        <f>HYPERLINK("http://www.marinespecies.org/aphia.php?p=taxdetails&amp;id=109519","109519")</f>
        <v>109519</v>
      </c>
      <c r="F49" s="22" t="s">
        <v>922</v>
      </c>
      <c r="G49" s="22" t="s">
        <v>168</v>
      </c>
      <c r="H49" s="24" t="s">
        <v>1927</v>
      </c>
      <c r="I49" s="23" t="str">
        <f>HYPERLINK("http://www.marinespecies.org/aphia.php?p=taxdetails&amp;id=109519","109519")</f>
        <v>109519</v>
      </c>
      <c r="J49" s="22" t="s">
        <v>94</v>
      </c>
    </row>
    <row r="50">
      <c r="A50" s="22" t="s">
        <v>941</v>
      </c>
      <c r="B50" s="22">
        <v>146.0</v>
      </c>
      <c r="C50" s="22" t="s">
        <v>2951</v>
      </c>
      <c r="D50" s="23" t="str">
        <f>HYPERLINK("http://ecotaxoserver.obs-vlfr.fr/browsetaxo/?id=31557","31557")</f>
        <v>31557</v>
      </c>
      <c r="E50" s="23" t="str">
        <f>HYPERLINK("http://www.marinespecies.org/aphia.php?p=taxdetails&amp;id=109476","109476")</f>
        <v>109476</v>
      </c>
      <c r="F50" s="22" t="s">
        <v>941</v>
      </c>
      <c r="G50" s="22" t="s">
        <v>187</v>
      </c>
      <c r="H50" s="24" t="s">
        <v>1927</v>
      </c>
      <c r="I50" s="23" t="str">
        <f>HYPERLINK("http://www.marinespecies.org/aphia.php?p=taxdetails&amp;id=109476","109476")</f>
        <v>109476</v>
      </c>
      <c r="J50" s="22" t="s">
        <v>94</v>
      </c>
    </row>
    <row r="51">
      <c r="A51" s="22" t="s">
        <v>842</v>
      </c>
      <c r="B51" s="22">
        <v>191.0</v>
      </c>
      <c r="C51" s="22" t="s">
        <v>2956</v>
      </c>
      <c r="D51" s="23" t="str">
        <f>HYPERLINK("http://ecotaxoserver.obs-vlfr.fr/browsetaxo/?id=80225","80225")</f>
        <v>80225</v>
      </c>
      <c r="E51" s="23" t="str">
        <f>HYPERLINK("http://www.marinespecies.org/aphia.php?p=taxdetails&amp;id=1102","1102")</f>
        <v>1102</v>
      </c>
      <c r="F51" s="22" t="s">
        <v>2968</v>
      </c>
      <c r="G51" s="22" t="s">
        <v>656</v>
      </c>
      <c r="H51" s="24" t="s">
        <v>1927</v>
      </c>
      <c r="I51" s="23" t="str">
        <f>HYPERLINK("http://www.marinespecies.org/aphia.php?p=taxdetails&amp;id=1102","1102")</f>
        <v>1102</v>
      </c>
      <c r="J51" s="22" t="s">
        <v>94</v>
      </c>
    </row>
    <row r="52">
      <c r="A52" s="22" t="s">
        <v>983</v>
      </c>
      <c r="B52" s="22">
        <v>23.0</v>
      </c>
      <c r="C52" s="22" t="s">
        <v>2951</v>
      </c>
      <c r="D52" s="23" t="str">
        <f>HYPERLINK("http://ecotaxoserver.obs-vlfr.fr/browsetaxo/?id=31566","31566")</f>
        <v>31566</v>
      </c>
      <c r="E52" s="23" t="str">
        <f>HYPERLINK("http://www.marinespecies.org/aphia.php?p=taxdetails&amp;id=109540","109540")</f>
        <v>109540</v>
      </c>
      <c r="F52" s="22" t="s">
        <v>983</v>
      </c>
      <c r="G52" s="22" t="s">
        <v>984</v>
      </c>
      <c r="H52" s="24" t="s">
        <v>1927</v>
      </c>
      <c r="I52" s="23" t="str">
        <f>HYPERLINK("http://www.marinespecies.org/aphia.php?p=taxdetails&amp;id=109540","109540")</f>
        <v>109540</v>
      </c>
      <c r="J52" s="22" t="s">
        <v>94</v>
      </c>
    </row>
    <row r="53">
      <c r="A53" s="22" t="s">
        <v>1032</v>
      </c>
      <c r="B53" s="22">
        <v>3294.0</v>
      </c>
      <c r="C53" s="22" t="s">
        <v>2951</v>
      </c>
      <c r="D53" s="23" t="str">
        <f>HYPERLINK("http://ecotaxoserver.obs-vlfr.fr/browsetaxo/?id=79835","79835")</f>
        <v>79835</v>
      </c>
      <c r="E53" s="23" t="str">
        <f>HYPERLINK("http://www.marinespecies.org/aphia.php?p=taxdetails&amp;id=118454","118454")</f>
        <v>118454</v>
      </c>
      <c r="F53" s="22" t="s">
        <v>1032</v>
      </c>
      <c r="G53" s="22" t="s">
        <v>1034</v>
      </c>
      <c r="H53" s="24" t="s">
        <v>1927</v>
      </c>
      <c r="I53" s="23" t="str">
        <f>HYPERLINK("http://www.marinespecies.org/aphia.php?p=taxdetails&amp;id=118454","118454")</f>
        <v>118454</v>
      </c>
      <c r="J53" s="22" t="s">
        <v>94</v>
      </c>
    </row>
    <row r="54">
      <c r="A54" s="22" t="s">
        <v>949</v>
      </c>
      <c r="B54" s="22">
        <v>51.0</v>
      </c>
      <c r="C54" s="22" t="s">
        <v>2953</v>
      </c>
      <c r="D54" s="23" t="str">
        <f>HYPERLINK("http://ecotaxoserver.obs-vlfr.fr/browsetaxo/?id=25852","25852")</f>
        <v>25852</v>
      </c>
      <c r="E54" s="23" t="str">
        <f>HYPERLINK("http://www.marinespecies.org/aphia.php?p=taxdetails&amp;id=1307","1307")</f>
        <v>1307</v>
      </c>
      <c r="F54" s="22" t="s">
        <v>949</v>
      </c>
      <c r="G54" s="22" t="s">
        <v>993</v>
      </c>
      <c r="H54" s="24" t="s">
        <v>1927</v>
      </c>
      <c r="I54" s="23" t="str">
        <f>HYPERLINK("http://www.marinespecies.org/aphia.php?p=taxdetails&amp;id=1307","1307")</f>
        <v>1307</v>
      </c>
      <c r="J54" s="22" t="s">
        <v>94</v>
      </c>
    </row>
    <row r="55">
      <c r="A55" s="22" t="s">
        <v>2969</v>
      </c>
      <c r="B55" s="22">
        <v>5.0</v>
      </c>
      <c r="C55" s="22" t="s">
        <v>2953</v>
      </c>
      <c r="D55" s="23" t="str">
        <f>HYPERLINK("http://ecotaxoserver.obs-vlfr.fr/browsetaxo/?id=17032","17032")</f>
        <v>17032</v>
      </c>
      <c r="E55" s="23" t="str">
        <f>HYPERLINK("http://www.marinespecies.org/aphia.php?p=taxdetails&amp;id=146201","146201")</f>
        <v>146201</v>
      </c>
      <c r="F55" s="22" t="s">
        <v>2969</v>
      </c>
      <c r="G55" s="22" t="s">
        <v>1039</v>
      </c>
      <c r="H55" s="24" t="s">
        <v>1927</v>
      </c>
      <c r="I55" s="23" t="str">
        <f>HYPERLINK("http://www.marinespecies.org/aphia.php?p=taxdetails&amp;id=146201","146201")</f>
        <v>146201</v>
      </c>
      <c r="J55" s="22" t="s">
        <v>94</v>
      </c>
    </row>
    <row r="56">
      <c r="A56" s="22" t="s">
        <v>1039</v>
      </c>
      <c r="B56" s="22">
        <v>67.0</v>
      </c>
      <c r="C56" s="22" t="s">
        <v>2953</v>
      </c>
      <c r="D56" s="23" t="str">
        <f>HYPERLINK("http://ecotaxoserver.obs-vlfr.fr/browsetaxo/?id=13191","13191")</f>
        <v>13191</v>
      </c>
      <c r="E56" s="23" t="str">
        <f>HYPERLINK("http://www.marinespecies.org/aphia.php?p=taxdetails&amp;id=115060","115060")</f>
        <v>115060</v>
      </c>
      <c r="F56" s="22" t="s">
        <v>1039</v>
      </c>
      <c r="G56" s="22" t="s">
        <v>560</v>
      </c>
      <c r="H56" s="24" t="s">
        <v>1927</v>
      </c>
      <c r="I56" s="23" t="str">
        <f>HYPERLINK("http://www.marinespecies.org/aphia.php?p=taxdetails&amp;id=115060","115060")</f>
        <v>115060</v>
      </c>
      <c r="J56" s="22" t="s">
        <v>94</v>
      </c>
    </row>
    <row r="57">
      <c r="A57" s="22" t="s">
        <v>2970</v>
      </c>
      <c r="B57" s="22">
        <v>74.0</v>
      </c>
      <c r="C57" s="22" t="s">
        <v>2951</v>
      </c>
      <c r="D57" s="23" t="str">
        <f>HYPERLINK("http://ecotaxoserver.obs-vlfr.fr/browsetaxo/?id=31578","31578")</f>
        <v>31578</v>
      </c>
      <c r="E57" s="23" t="str">
        <f>HYPERLINK("http://www.marinespecies.org/aphia.php?p=taxdetails&amp;id=231789","231789")</f>
        <v>231789</v>
      </c>
      <c r="F57" s="22" t="s">
        <v>2970</v>
      </c>
      <c r="G57" s="22" t="s">
        <v>1043</v>
      </c>
      <c r="H57" s="24" t="s">
        <v>1927</v>
      </c>
      <c r="I57" s="23" t="str">
        <f>HYPERLINK("http://www.marinespecies.org/aphia.php?p=taxdetails&amp;id=231789","231789")</f>
        <v>231789</v>
      </c>
      <c r="J57" s="22" t="s">
        <v>94</v>
      </c>
    </row>
    <row r="58">
      <c r="A58" s="22" t="s">
        <v>1055</v>
      </c>
      <c r="B58" s="22">
        <v>11.0</v>
      </c>
      <c r="C58" s="22" t="s">
        <v>2951</v>
      </c>
      <c r="D58" s="23" t="str">
        <f>HYPERLINK("http://ecotaxoserver.obs-vlfr.fr/browsetaxo/?id=57739","57739")</f>
        <v>57739</v>
      </c>
      <c r="E58" s="23" t="str">
        <f>HYPERLINK("http://www.marinespecies.org/aphia.php?p=taxdetails&amp;id=101190","101190")</f>
        <v>101190</v>
      </c>
      <c r="F58" s="22" t="s">
        <v>1055</v>
      </c>
      <c r="G58" s="22" t="s">
        <v>1826</v>
      </c>
      <c r="H58" s="24" t="s">
        <v>1927</v>
      </c>
      <c r="I58" s="23" t="str">
        <f>HYPERLINK("http://www.marinespecies.org/aphia.php?p=taxdetails&amp;id=101190","101190")</f>
        <v>101190</v>
      </c>
      <c r="J58" s="22" t="s">
        <v>94</v>
      </c>
    </row>
    <row r="59">
      <c r="A59" s="22" t="s">
        <v>1081</v>
      </c>
      <c r="B59" s="22">
        <v>583.0</v>
      </c>
      <c r="C59" s="22" t="s">
        <v>2951</v>
      </c>
      <c r="D59" s="23" t="str">
        <f>HYPERLINK("http://ecotaxoserver.obs-vlfr.fr/browsetaxo/?id=56066","56066")</f>
        <v>56066</v>
      </c>
      <c r="E59" s="23" t="str">
        <f>HYPERLINK("http://www.marinespecies.org/aphia.php?p=taxdetails&amp;id=149038","149038")</f>
        <v>149038</v>
      </c>
      <c r="F59" s="22" t="s">
        <v>1081</v>
      </c>
      <c r="G59" s="22" t="s">
        <v>1082</v>
      </c>
      <c r="H59" s="24" t="s">
        <v>1927</v>
      </c>
      <c r="I59" s="23" t="str">
        <f>HYPERLINK("http://www.marinespecies.org/aphia.php?p=taxdetails&amp;id=149038","149038")</f>
        <v>149038</v>
      </c>
      <c r="J59" s="22" t="s">
        <v>94</v>
      </c>
    </row>
    <row r="60">
      <c r="A60" s="22" t="s">
        <v>2971</v>
      </c>
      <c r="B60" s="22">
        <v>1.0</v>
      </c>
      <c r="C60" s="22" t="s">
        <v>2951</v>
      </c>
      <c r="D60" s="23" t="str">
        <f>HYPERLINK("http://ecotaxoserver.obs-vlfr.fr/browsetaxo/?id=81769","81769")</f>
        <v>81769</v>
      </c>
      <c r="E60" s="23" t="str">
        <f>HYPERLINK("http://www.marinespecies.org/aphia.php?p=taxdetails&amp;id=117142","117142")</f>
        <v>117142</v>
      </c>
      <c r="F60" s="22" t="s">
        <v>2971</v>
      </c>
      <c r="G60" s="22" t="s">
        <v>1719</v>
      </c>
      <c r="H60" s="24" t="s">
        <v>1927</v>
      </c>
      <c r="I60" s="23" t="str">
        <f>HYPERLINK("http://www.marinespecies.org/aphia.php?p=taxdetails&amp;id=117142","117142")</f>
        <v>117142</v>
      </c>
      <c r="J60" s="22" t="s">
        <v>94</v>
      </c>
    </row>
    <row r="61">
      <c r="A61" s="22" t="s">
        <v>1166</v>
      </c>
      <c r="B61" s="22">
        <v>38.0</v>
      </c>
      <c r="C61" s="22" t="s">
        <v>2951</v>
      </c>
      <c r="D61" s="23" t="str">
        <f>HYPERLINK("http://ecotaxoserver.obs-vlfr.fr/browsetaxo/?id=56049","56049")</f>
        <v>56049</v>
      </c>
      <c r="E61" s="23" t="str">
        <f>HYPERLINK("http://www.marinespecies.org/aphia.php?p=taxdetails&amp;id=149042","149042")</f>
        <v>149042</v>
      </c>
      <c r="F61" s="22" t="s">
        <v>1166</v>
      </c>
      <c r="G61" s="22" t="s">
        <v>1167</v>
      </c>
      <c r="H61" s="24" t="s">
        <v>1927</v>
      </c>
      <c r="I61" s="23" t="str">
        <f>HYPERLINK("http://www.marinespecies.org/aphia.php?p=taxdetails&amp;id=149042","149042")</f>
        <v>149042</v>
      </c>
      <c r="J61" s="22" t="s">
        <v>94</v>
      </c>
    </row>
    <row r="62">
      <c r="A62" s="22" t="s">
        <v>1179</v>
      </c>
      <c r="B62" s="22">
        <v>274.0</v>
      </c>
      <c r="C62" s="22" t="s">
        <v>2951</v>
      </c>
      <c r="D62" s="23" t="str">
        <f>HYPERLINK("http://ecotaxoserver.obs-vlfr.fr/browsetaxo/?id=56782","56782")</f>
        <v>56782</v>
      </c>
      <c r="E62" s="23" t="str">
        <f>HYPERLINK("http://www.marinespecies.org/aphia.php?p=taxdetails&amp;id=179320","179320")</f>
        <v>179320</v>
      </c>
      <c r="F62" s="22" t="s">
        <v>1179</v>
      </c>
      <c r="G62" s="22" t="s">
        <v>1180</v>
      </c>
      <c r="H62" s="24" t="s">
        <v>1927</v>
      </c>
      <c r="I62" s="23" t="str">
        <f>HYPERLINK("http://www.marinespecies.org/aphia.php?p=taxdetails&amp;id=179320","179320")</f>
        <v>179320</v>
      </c>
      <c r="J62" s="22" t="s">
        <v>94</v>
      </c>
    </row>
    <row r="63">
      <c r="A63" s="22" t="s">
        <v>1807</v>
      </c>
      <c r="B63" s="22">
        <v>35.0</v>
      </c>
      <c r="C63" s="22" t="s">
        <v>2956</v>
      </c>
      <c r="D63" s="23" t="str">
        <f>HYPERLINK("http://ecotaxoserver.obs-vlfr.fr/browsetaxo/?id=55180","55180")</f>
        <v>55180</v>
      </c>
      <c r="E63" s="23" t="str">
        <f>HYPERLINK("http://www.marinespecies.org/aphia.php?p=taxdetails&amp;id=235741","235741")</f>
        <v>235741</v>
      </c>
      <c r="F63" s="22" t="s">
        <v>2972</v>
      </c>
      <c r="G63" s="22" t="s">
        <v>576</v>
      </c>
      <c r="H63" s="24" t="s">
        <v>1927</v>
      </c>
      <c r="I63" s="23" t="str">
        <f>HYPERLINK("http://www.marinespecies.org/aphia.php?p=taxdetails&amp;id=235741","235741")</f>
        <v>235741</v>
      </c>
      <c r="J63" s="22" t="s">
        <v>94</v>
      </c>
    </row>
    <row r="64">
      <c r="A64" s="22" t="s">
        <v>1236</v>
      </c>
      <c r="B64" s="22">
        <v>1.0</v>
      </c>
      <c r="C64" s="22" t="s">
        <v>2951</v>
      </c>
      <c r="D64" s="23" t="str">
        <f>HYPERLINK("http://ecotaxoserver.obs-vlfr.fr/browsetaxo/?id=72791","72791")</f>
        <v>72791</v>
      </c>
      <c r="E64" s="23" t="str">
        <f>HYPERLINK("http://www.marinespecies.org/aphia.php?p=taxdetails&amp;id=135250","135250")</f>
        <v>135250</v>
      </c>
      <c r="F64" s="22" t="s">
        <v>1236</v>
      </c>
      <c r="G64" s="22" t="s">
        <v>2973</v>
      </c>
      <c r="H64" s="24" t="s">
        <v>1927</v>
      </c>
      <c r="I64" s="23" t="str">
        <f>HYPERLINK("http://www.marinespecies.org/aphia.php?p=taxdetails&amp;id=135250","135250")</f>
        <v>135250</v>
      </c>
      <c r="J64" s="22" t="s">
        <v>94</v>
      </c>
    </row>
    <row r="65">
      <c r="A65" s="22" t="s">
        <v>1237</v>
      </c>
      <c r="B65" s="22">
        <v>33.0</v>
      </c>
      <c r="C65" s="22" t="s">
        <v>2951</v>
      </c>
      <c r="D65" s="23" t="str">
        <f>HYPERLINK("http://ecotaxoserver.obs-vlfr.fr/browsetaxo/?id=55610","55610")</f>
        <v>55610</v>
      </c>
      <c r="E65" s="23" t="str">
        <f>HYPERLINK("http://www.marinespecies.org/aphia.php?p=taxdetails&amp;id=149142","149142")</f>
        <v>149142</v>
      </c>
      <c r="F65" s="22" t="s">
        <v>1237</v>
      </c>
      <c r="G65" s="22" t="s">
        <v>964</v>
      </c>
      <c r="H65" s="24" t="s">
        <v>1927</v>
      </c>
      <c r="I65" s="23" t="str">
        <f>HYPERLINK("http://www.marinespecies.org/aphia.php?p=taxdetails&amp;id=149142","149142")</f>
        <v>149142</v>
      </c>
      <c r="J65" s="22" t="s">
        <v>94</v>
      </c>
    </row>
    <row r="66">
      <c r="A66" s="22" t="s">
        <v>2974</v>
      </c>
      <c r="B66" s="22">
        <v>184.0</v>
      </c>
      <c r="C66" s="22" t="s">
        <v>2951</v>
      </c>
      <c r="D66" s="23" t="str">
        <f>HYPERLINK("http://ecotaxoserver.obs-vlfr.fr/browsetaxo/?id=80103","80103")</f>
        <v>80103</v>
      </c>
      <c r="E66" s="23" t="str">
        <f>HYPERLINK("http://www.marinespecies.org/aphia.php?p=taxdetails&amp;id=110676","110676")</f>
        <v>110676</v>
      </c>
      <c r="F66" s="22" t="s">
        <v>2974</v>
      </c>
      <c r="G66" s="22" t="s">
        <v>829</v>
      </c>
      <c r="H66" s="24" t="s">
        <v>1927</v>
      </c>
      <c r="I66" s="23" t="str">
        <f>HYPERLINK("http://www.marinespecies.org/aphia.php?p=taxdetails&amp;id=110676","110676")</f>
        <v>110676</v>
      </c>
      <c r="J66" s="22" t="s">
        <v>94</v>
      </c>
    </row>
    <row r="67">
      <c r="A67" s="22" t="s">
        <v>1947</v>
      </c>
      <c r="B67" s="22">
        <v>1459.0</v>
      </c>
      <c r="C67" s="22" t="s">
        <v>2951</v>
      </c>
      <c r="D67" s="23" t="str">
        <f>HYPERLINK("http://ecotaxoserver.obs-vlfr.fr/browsetaxo/?id=19325","19325")</f>
        <v>19325</v>
      </c>
      <c r="E67" s="23" t="str">
        <f>HYPERLINK("http://www.marinespecies.org/aphia.php?p=taxdetails&amp;id=109500","109500")</f>
        <v>109500</v>
      </c>
      <c r="F67" s="22" t="s">
        <v>1947</v>
      </c>
      <c r="G67" s="22" t="s">
        <v>1948</v>
      </c>
      <c r="H67" s="24" t="s">
        <v>1927</v>
      </c>
      <c r="I67" s="23" t="str">
        <f>HYPERLINK("http://www.marinespecies.org/aphia.php?p=taxdetails&amp;id=109500","109500")</f>
        <v>109500</v>
      </c>
      <c r="J67" s="22" t="s">
        <v>94</v>
      </c>
    </row>
    <row r="68">
      <c r="A68" s="22" t="s">
        <v>1281</v>
      </c>
      <c r="B68" s="22">
        <v>98.0</v>
      </c>
      <c r="C68" s="22" t="s">
        <v>2951</v>
      </c>
      <c r="D68" s="23" t="str">
        <f>HYPERLINK("http://ecotaxoserver.obs-vlfr.fr/browsetaxo/?id=81719","81719")</f>
        <v>81719</v>
      </c>
      <c r="E68" s="23" t="str">
        <f>HYPERLINK("http://www.marinespecies.org/aphia.php?p=taxdetails&amp;id=117034","117034")</f>
        <v>117034</v>
      </c>
      <c r="F68" s="22" t="s">
        <v>1281</v>
      </c>
      <c r="G68" s="22" t="s">
        <v>557</v>
      </c>
      <c r="H68" s="24" t="s">
        <v>1927</v>
      </c>
      <c r="I68" s="23" t="str">
        <f>HYPERLINK("http://www.marinespecies.org/aphia.php?p=taxdetails&amp;id=117034","117034")</f>
        <v>117034</v>
      </c>
      <c r="J68" s="22" t="s">
        <v>94</v>
      </c>
    </row>
    <row r="69">
      <c r="A69" s="22" t="s">
        <v>1292</v>
      </c>
      <c r="B69" s="22">
        <v>65.0</v>
      </c>
      <c r="C69" s="22" t="s">
        <v>2951</v>
      </c>
      <c r="D69" s="23" t="str">
        <f>HYPERLINK("http://ecotaxoserver.obs-vlfr.fr/browsetaxo/?id=62348","62348")</f>
        <v>62348</v>
      </c>
      <c r="E69" s="23" t="str">
        <f>HYPERLINK("http://www.marinespecies.org/aphia.php?p=taxdetails&amp;id=148963","148963")</f>
        <v>148963</v>
      </c>
      <c r="F69" s="22" t="s">
        <v>1292</v>
      </c>
      <c r="G69" s="22" t="s">
        <v>1293</v>
      </c>
      <c r="H69" s="24" t="s">
        <v>1927</v>
      </c>
      <c r="I69" s="23" t="str">
        <f>HYPERLINK("http://www.marinespecies.org/aphia.php?p=taxdetails&amp;id=148963","148963")</f>
        <v>148963</v>
      </c>
      <c r="J69" s="22" t="s">
        <v>94</v>
      </c>
    </row>
    <row r="70">
      <c r="A70" s="22" t="s">
        <v>1294</v>
      </c>
      <c r="B70" s="22">
        <v>132.0</v>
      </c>
      <c r="C70" s="22" t="s">
        <v>2951</v>
      </c>
      <c r="D70" s="23" t="str">
        <f>HYPERLINK("http://ecotaxoserver.obs-vlfr.fr/browsetaxo/?id=71945","71945")</f>
        <v>71945</v>
      </c>
      <c r="E70" s="23" t="str">
        <f>HYPERLINK("http://www.marinespecies.org/aphia.php?p=taxdetails&amp;id=103367","103367")</f>
        <v>103367</v>
      </c>
      <c r="F70" s="22" t="s">
        <v>1294</v>
      </c>
      <c r="G70" s="22" t="s">
        <v>1296</v>
      </c>
      <c r="H70" s="24" t="s">
        <v>1927</v>
      </c>
      <c r="I70" s="23" t="str">
        <f>HYPERLINK("http://www.marinespecies.org/aphia.php?p=taxdetails&amp;id=103367","103367")</f>
        <v>103367</v>
      </c>
      <c r="J70" s="22" t="s">
        <v>94</v>
      </c>
    </row>
    <row r="71">
      <c r="A71" s="22" t="s">
        <v>1312</v>
      </c>
      <c r="B71" s="22">
        <v>488.0</v>
      </c>
      <c r="C71" s="22" t="s">
        <v>2975</v>
      </c>
      <c r="D71" s="23" t="str">
        <f>HYPERLINK("http://ecotaxoserver.obs-vlfr.fr/browsetaxo/?id=82658","82658")</f>
        <v>82658</v>
      </c>
      <c r="E71" s="23" t="str">
        <f>HYPERLINK("http://www.marinespecies.org/aphia.php?p=taxdetails&amp;id=128690","128690")</f>
        <v>128690</v>
      </c>
      <c r="F71" s="22" t="s">
        <v>1312</v>
      </c>
      <c r="G71" s="22" t="s">
        <v>1313</v>
      </c>
      <c r="H71" s="24" t="s">
        <v>1927</v>
      </c>
      <c r="I71" s="23" t="str">
        <f>HYPERLINK("http://www.marinespecies.org/aphia.php?p=taxdetails&amp;id=128690","128690")</f>
        <v>128690</v>
      </c>
      <c r="J71" s="22" t="s">
        <v>94</v>
      </c>
    </row>
    <row r="72">
      <c r="A72" s="22" t="s">
        <v>1339</v>
      </c>
      <c r="B72" s="22">
        <v>6.0</v>
      </c>
      <c r="C72" s="22" t="s">
        <v>2953</v>
      </c>
      <c r="D72" s="23" t="str">
        <f>HYPERLINK("http://ecotaxoserver.obs-vlfr.fr/browsetaxo/?id=45085","45085")</f>
        <v>45085</v>
      </c>
      <c r="E72" s="23" t="str">
        <f>HYPERLINK("http://www.marinespecies.org/aphia.php?p=taxdetails&amp;id=1078","1078")</f>
        <v>1078</v>
      </c>
      <c r="F72" s="22" t="s">
        <v>1339</v>
      </c>
      <c r="G72" s="22" t="s">
        <v>1340</v>
      </c>
      <c r="H72" s="24" t="s">
        <v>1927</v>
      </c>
      <c r="I72" s="23" t="str">
        <f>HYPERLINK("http://www.marinespecies.org/aphia.php?p=taxdetails&amp;id=1078","1078")</f>
        <v>1078</v>
      </c>
      <c r="J72" s="22" t="s">
        <v>94</v>
      </c>
    </row>
    <row r="73">
      <c r="A73" s="22" t="s">
        <v>1363</v>
      </c>
      <c r="B73" s="22">
        <v>977.0</v>
      </c>
      <c r="C73" s="22" t="s">
        <v>2951</v>
      </c>
      <c r="D73" s="23" t="str">
        <f>HYPERLINK("http://ecotaxoserver.obs-vlfr.fr/browsetaxo/?id=82518","82518")</f>
        <v>82518</v>
      </c>
      <c r="E73" s="23" t="str">
        <f>HYPERLINK("http://www.marinespecies.org/aphia.php?p=taxdetails&amp;id=104196","104196")</f>
        <v>104196</v>
      </c>
      <c r="F73" s="22" t="s">
        <v>1363</v>
      </c>
      <c r="G73" s="22" t="s">
        <v>122</v>
      </c>
      <c r="H73" s="24" t="s">
        <v>1927</v>
      </c>
      <c r="I73" s="23" t="str">
        <f>HYPERLINK("http://www.marinespecies.org/aphia.php?p=taxdetails&amp;id=104196","104196")</f>
        <v>104196</v>
      </c>
      <c r="J73" s="22" t="s">
        <v>94</v>
      </c>
    </row>
    <row r="74">
      <c r="A74" s="22" t="s">
        <v>2976</v>
      </c>
      <c r="B74" s="22">
        <v>15.0</v>
      </c>
      <c r="C74" s="22" t="s">
        <v>2951</v>
      </c>
      <c r="D74" s="23" t="str">
        <f>HYPERLINK("http://ecotaxoserver.obs-vlfr.fr/browsetaxo/?id=84518","84518")</f>
        <v>84518</v>
      </c>
      <c r="E74" s="23" t="str">
        <f>HYPERLINK("http://www.marinespecies.org/aphia.php?p=taxdetails&amp;id=236595","236595")</f>
        <v>236595</v>
      </c>
      <c r="F74" s="22" t="s">
        <v>2976</v>
      </c>
      <c r="G74" s="22" t="s">
        <v>1377</v>
      </c>
      <c r="H74" s="24" t="s">
        <v>1927</v>
      </c>
      <c r="I74" s="23" t="str">
        <f>HYPERLINK("http://www.marinespecies.org/aphia.php?p=taxdetails&amp;id=236595","236595")</f>
        <v>236595</v>
      </c>
      <c r="J74" s="22" t="s">
        <v>94</v>
      </c>
    </row>
    <row r="75">
      <c r="A75" s="22" t="s">
        <v>1404</v>
      </c>
      <c r="B75" s="22">
        <v>4.0</v>
      </c>
      <c r="C75" s="22" t="s">
        <v>2951</v>
      </c>
      <c r="D75" s="23" t="str">
        <f>HYPERLINK("http://ecotaxoserver.obs-vlfr.fr/browsetaxo/?id=27307","27307")</f>
        <v>27307</v>
      </c>
      <c r="E75" s="23" t="str">
        <f>HYPERLINK("http://www.marinespecies.org/aphia.php?p=taxdetails&amp;id=115088","115088")</f>
        <v>115088</v>
      </c>
      <c r="F75" s="22" t="s">
        <v>1404</v>
      </c>
      <c r="G75" s="22" t="s">
        <v>1405</v>
      </c>
      <c r="H75" s="24" t="s">
        <v>1927</v>
      </c>
      <c r="I75" s="23" t="str">
        <f>HYPERLINK("http://www.marinespecies.org/aphia.php?p=taxdetails&amp;id=115088","115088")</f>
        <v>115088</v>
      </c>
      <c r="J75" s="22" t="s">
        <v>94</v>
      </c>
    </row>
    <row r="76">
      <c r="A76" s="22" t="s">
        <v>492</v>
      </c>
      <c r="B76" s="22">
        <v>1.0</v>
      </c>
      <c r="C76" s="22" t="s">
        <v>2953</v>
      </c>
      <c r="D76" s="23" t="str">
        <f>HYPERLINK("http://ecotaxoserver.obs-vlfr.fr/browsetaxo/?id=27644","27644")</f>
        <v>27644</v>
      </c>
      <c r="E76" s="23" t="str">
        <f>HYPERLINK("http://www.marinespecies.org/aphia.php?p=taxdetails&amp;id=345869","345869")</f>
        <v>345869</v>
      </c>
      <c r="F76" s="22" t="s">
        <v>492</v>
      </c>
      <c r="G76" s="22" t="s">
        <v>426</v>
      </c>
      <c r="H76" s="24" t="s">
        <v>1927</v>
      </c>
      <c r="I76" s="23" t="str">
        <f>HYPERLINK("http://www.marinespecies.org/aphia.php?p=taxdetails&amp;id=345869","345869")</f>
        <v>345869</v>
      </c>
      <c r="J76" s="22" t="s">
        <v>94</v>
      </c>
    </row>
    <row r="77">
      <c r="A77" s="22" t="s">
        <v>1418</v>
      </c>
      <c r="B77" s="22">
        <v>1.0</v>
      </c>
      <c r="C77" s="22" t="s">
        <v>2951</v>
      </c>
      <c r="D77" s="23" t="str">
        <f>HYPERLINK("http://ecotaxoserver.obs-vlfr.fr/browsetaxo/?id=84562","84562")</f>
        <v>84562</v>
      </c>
      <c r="E77" s="23" t="str">
        <f>HYPERLINK("http://www.marinespecies.org/aphia.php?p=taxdetails&amp;id=101804","101804")</f>
        <v>101804</v>
      </c>
      <c r="F77" s="22" t="s">
        <v>1418</v>
      </c>
      <c r="G77" s="22" t="s">
        <v>1419</v>
      </c>
      <c r="H77" s="24" t="s">
        <v>1927</v>
      </c>
      <c r="I77" s="23" t="str">
        <f>HYPERLINK("http://www.marinespecies.org/aphia.php?p=taxdetails&amp;id=101804","101804")</f>
        <v>101804</v>
      </c>
      <c r="J77" s="22" t="s">
        <v>94</v>
      </c>
    </row>
    <row r="78">
      <c r="A78" s="22" t="s">
        <v>1447</v>
      </c>
      <c r="B78" s="22">
        <v>2.0</v>
      </c>
      <c r="C78" s="22" t="s">
        <v>2951</v>
      </c>
      <c r="D78" s="23" t="str">
        <f>HYPERLINK("http://ecotaxoserver.obs-vlfr.fr/browsetaxo/?id=55706","55706")</f>
        <v>55706</v>
      </c>
      <c r="E78" s="23" t="str">
        <f>HYPERLINK("http://www.marinespecies.org/aphia.php?p=taxdetails&amp;id=149181","149181")</f>
        <v>149181</v>
      </c>
      <c r="F78" s="22" t="s">
        <v>1447</v>
      </c>
      <c r="G78" s="22" t="s">
        <v>944</v>
      </c>
      <c r="H78" s="24" t="s">
        <v>1927</v>
      </c>
      <c r="I78" s="23" t="str">
        <f>HYPERLINK("http://www.marinespecies.org/aphia.php?p=taxdetails&amp;id=149181","149181")</f>
        <v>149181</v>
      </c>
      <c r="J78" s="22" t="s">
        <v>94</v>
      </c>
    </row>
    <row r="79">
      <c r="A79" s="22" t="s">
        <v>1496</v>
      </c>
      <c r="B79" s="22">
        <v>560.0</v>
      </c>
      <c r="C79" s="22" t="s">
        <v>2951</v>
      </c>
      <c r="D79" s="23" t="str">
        <f>HYPERLINK("http://ecotaxoserver.obs-vlfr.fr/browsetaxo/?id=85527","85527")</f>
        <v>85527</v>
      </c>
      <c r="E79" s="23" t="str">
        <f>HYPERLINK("http://www.marinespecies.org/aphia.php?p=taxdetails&amp;id=149167","149167")</f>
        <v>149167</v>
      </c>
      <c r="F79" s="22" t="s">
        <v>1496</v>
      </c>
      <c r="G79" s="22" t="s">
        <v>689</v>
      </c>
      <c r="H79" s="24" t="s">
        <v>1927</v>
      </c>
      <c r="I79" s="23" t="str">
        <f>HYPERLINK("http://www.marinespecies.org/aphia.php?p=taxdetails&amp;id=149167","149167")</f>
        <v>149167</v>
      </c>
      <c r="J79" s="22" t="s">
        <v>94</v>
      </c>
    </row>
    <row r="80">
      <c r="A80" s="22" t="s">
        <v>1508</v>
      </c>
      <c r="B80" s="22">
        <v>5.0</v>
      </c>
      <c r="C80" s="22" t="s">
        <v>2951</v>
      </c>
      <c r="D80" s="23" t="str">
        <f>HYPERLINK("http://ecotaxoserver.obs-vlfr.fr/browsetaxo/?id=58536","58536")</f>
        <v>58536</v>
      </c>
      <c r="E80" s="23" t="str">
        <f>HYPERLINK("http://www.marinespecies.org/aphia.php?p=taxdetails&amp;id=109566","109566")</f>
        <v>109566</v>
      </c>
      <c r="F80" s="22" t="s">
        <v>1508</v>
      </c>
      <c r="G80" s="22" t="s">
        <v>1505</v>
      </c>
      <c r="H80" s="24" t="s">
        <v>1927</v>
      </c>
      <c r="I80" s="23" t="str">
        <f>HYPERLINK("http://www.marinespecies.org/aphia.php?p=taxdetails&amp;id=109566","109566")</f>
        <v>109566</v>
      </c>
      <c r="J80" s="22" t="s">
        <v>94</v>
      </c>
    </row>
    <row r="81">
      <c r="A81" s="22" t="s">
        <v>1550</v>
      </c>
      <c r="B81" s="22">
        <v>26.0</v>
      </c>
      <c r="C81" s="22" t="s">
        <v>2951</v>
      </c>
      <c r="D81" s="23" t="str">
        <f>HYPERLINK("http://ecotaxoserver.obs-vlfr.fr/browsetaxo/?id=55723","55723")</f>
        <v>55723</v>
      </c>
      <c r="E81" s="23" t="str">
        <f>HYPERLINK("http://www.marinespecies.org/aphia.php?p=taxdetails&amp;id=149151","149151")</f>
        <v>149151</v>
      </c>
      <c r="F81" s="22" t="s">
        <v>1550</v>
      </c>
      <c r="G81" s="22" t="s">
        <v>307</v>
      </c>
      <c r="H81" s="24" t="s">
        <v>1927</v>
      </c>
      <c r="I81" s="23" t="str">
        <f>HYPERLINK("http://www.marinespecies.org/aphia.php?p=taxdetails&amp;id=149151","149151")</f>
        <v>149151</v>
      </c>
      <c r="J81" s="22" t="s">
        <v>94</v>
      </c>
    </row>
    <row r="82">
      <c r="A82" s="22" t="s">
        <v>1579</v>
      </c>
      <c r="B82" s="22">
        <v>223.0</v>
      </c>
      <c r="C82" s="22" t="s">
        <v>2951</v>
      </c>
      <c r="D82" s="23" t="str">
        <f>HYPERLINK("http://ecotaxoserver.obs-vlfr.fr/browsetaxo/?id=15343","15343")</f>
        <v>15343</v>
      </c>
      <c r="E82" s="23" t="str">
        <f>HYPERLINK("http://www.marinespecies.org/aphia.php?p=taxdetails&amp;id=134529","134529")</f>
        <v>134529</v>
      </c>
      <c r="F82" s="22" t="s">
        <v>1579</v>
      </c>
      <c r="G82" s="22" t="s">
        <v>958</v>
      </c>
      <c r="H82" s="24" t="s">
        <v>1927</v>
      </c>
      <c r="I82" s="23" t="str">
        <f>HYPERLINK("http://www.marinespecies.org/aphia.php?p=taxdetails&amp;id=134529","134529")</f>
        <v>134529</v>
      </c>
      <c r="J82" s="22" t="s">
        <v>94</v>
      </c>
    </row>
    <row r="83">
      <c r="A83" s="22" t="s">
        <v>1605</v>
      </c>
      <c r="B83" s="22">
        <v>21.0</v>
      </c>
      <c r="C83" s="22" t="s">
        <v>2951</v>
      </c>
      <c r="D83" s="23" t="str">
        <f>HYPERLINK("http://ecotaxoserver.obs-vlfr.fr/browsetaxo/?id=56074","56074")</f>
        <v>56074</v>
      </c>
      <c r="E83" s="23" t="str">
        <f>HYPERLINK("http://www.marinespecies.org/aphia.php?p=taxdetails&amp;id=149069","149069")</f>
        <v>149069</v>
      </c>
      <c r="F83" s="22" t="s">
        <v>1605</v>
      </c>
      <c r="G83" s="22" t="s">
        <v>689</v>
      </c>
      <c r="H83" s="24" t="s">
        <v>1927</v>
      </c>
      <c r="I83" s="23" t="str">
        <f>HYPERLINK("http://www.marinespecies.org/aphia.php?p=taxdetails&amp;id=149069","149069")</f>
        <v>149069</v>
      </c>
      <c r="J83" s="22" t="s">
        <v>94</v>
      </c>
    </row>
    <row r="84">
      <c r="A84" s="22" t="s">
        <v>1616</v>
      </c>
      <c r="B84" s="22">
        <v>364.0</v>
      </c>
      <c r="C84" s="22" t="s">
        <v>2951</v>
      </c>
      <c r="D84" s="23" t="str">
        <f>HYPERLINK("http://ecotaxoserver.obs-vlfr.fr/browsetaxo/?id=78038","78038")</f>
        <v>78038</v>
      </c>
      <c r="E84" s="23" t="str">
        <f>HYPERLINK("http://www.marinespecies.org/aphia.php?p=taxdetails&amp;id=112148","112148")</f>
        <v>112148</v>
      </c>
      <c r="F84" s="22" t="s">
        <v>1616</v>
      </c>
      <c r="G84" s="22" t="s">
        <v>1618</v>
      </c>
      <c r="H84" s="24" t="s">
        <v>1927</v>
      </c>
      <c r="I84" s="23" t="str">
        <f>HYPERLINK("http://www.marinespecies.org/aphia.php?p=taxdetails&amp;id=112148","112148")</f>
        <v>112148</v>
      </c>
      <c r="J84" s="22" t="s">
        <v>94</v>
      </c>
    </row>
    <row r="85">
      <c r="A85" s="22" t="s">
        <v>1619</v>
      </c>
      <c r="B85" s="22">
        <v>2.0</v>
      </c>
      <c r="C85" s="22" t="s">
        <v>2953</v>
      </c>
      <c r="D85" s="23" t="str">
        <f>HYPERLINK("http://ecotaxoserver.obs-vlfr.fr/browsetaxo/?id=12947","12947")</f>
        <v>12947</v>
      </c>
      <c r="E85" s="23" t="str">
        <f>HYPERLINK("http://www.marinespecies.org/aphia.php?p=taxdetails&amp;id=14260","14260")</f>
        <v>14260</v>
      </c>
      <c r="F85" s="22" t="s">
        <v>1619</v>
      </c>
      <c r="G85" s="22" t="s">
        <v>224</v>
      </c>
      <c r="H85" s="24" t="s">
        <v>1927</v>
      </c>
      <c r="I85" s="23" t="str">
        <f>HYPERLINK("http://www.marinespecies.org/aphia.php?p=taxdetails&amp;id=14260","14260")</f>
        <v>14260</v>
      </c>
      <c r="J85" s="22" t="s">
        <v>94</v>
      </c>
    </row>
    <row r="86">
      <c r="A86" s="22" t="s">
        <v>1623</v>
      </c>
      <c r="B86" s="22">
        <v>39.0</v>
      </c>
      <c r="C86" s="22" t="s">
        <v>2951</v>
      </c>
      <c r="D86" s="23" t="str">
        <f>HYPERLINK("http://ecotaxoserver.obs-vlfr.fr/browsetaxo/?id=71621","71621")</f>
        <v>71621</v>
      </c>
      <c r="E86" s="23" t="str">
        <f>HYPERLINK("http://www.marinespecies.org/aphia.php?p=taxdetails&amp;id=105410","105410")</f>
        <v>105410</v>
      </c>
      <c r="F86" s="22" t="s">
        <v>1623</v>
      </c>
      <c r="G86" s="22" t="s">
        <v>863</v>
      </c>
      <c r="H86" s="24" t="s">
        <v>1927</v>
      </c>
      <c r="I86" s="23" t="str">
        <f>HYPERLINK("http://www.marinespecies.org/aphia.php?p=taxdetails&amp;id=105410","105410")</f>
        <v>105410</v>
      </c>
      <c r="J86" s="22" t="s">
        <v>94</v>
      </c>
    </row>
    <row r="87">
      <c r="A87" s="22" t="s">
        <v>863</v>
      </c>
      <c r="B87" s="22">
        <v>6.0</v>
      </c>
      <c r="C87" s="22" t="s">
        <v>2953</v>
      </c>
      <c r="D87" s="23" t="str">
        <f>HYPERLINK("http://ecotaxoserver.obs-vlfr.fr/browsetaxo/?id=87770","87770")</f>
        <v>87770</v>
      </c>
      <c r="E87" s="23" t="str">
        <f>HYPERLINK("http://www.marinespecies.org/aphia.php?p=taxdetails&amp;id=5953","5953")</f>
        <v>5953</v>
      </c>
      <c r="F87" s="22" t="s">
        <v>863</v>
      </c>
      <c r="G87" s="22" t="s">
        <v>1624</v>
      </c>
      <c r="H87" s="24" t="s">
        <v>1927</v>
      </c>
      <c r="I87" s="23" t="str">
        <f>HYPERLINK("http://www.marinespecies.org/aphia.php?p=taxdetails&amp;id=5953","5953")</f>
        <v>5953</v>
      </c>
      <c r="J87" s="22" t="s">
        <v>94</v>
      </c>
    </row>
    <row r="88">
      <c r="A88" s="22" t="s">
        <v>1964</v>
      </c>
      <c r="B88" s="22">
        <v>28.0</v>
      </c>
      <c r="C88" s="22" t="s">
        <v>2951</v>
      </c>
      <c r="D88" s="23" t="str">
        <f>HYPERLINK("http://ecotaxoserver.obs-vlfr.fr/browsetaxo/?id=58495","58495")</f>
        <v>58495</v>
      </c>
      <c r="E88" s="23" t="str">
        <f>HYPERLINK("http://www.marinespecies.org/aphia.php?p=taxdetails&amp;id=109545","109545")</f>
        <v>109545</v>
      </c>
      <c r="F88" s="22" t="s">
        <v>1964</v>
      </c>
      <c r="G88" s="22" t="s">
        <v>796</v>
      </c>
      <c r="H88" s="24" t="s">
        <v>1927</v>
      </c>
      <c r="I88" s="23" t="str">
        <f>HYPERLINK("http://www.marinespecies.org/aphia.php?p=taxdetails&amp;id=109545","109545")</f>
        <v>109545</v>
      </c>
      <c r="J88" s="22" t="s">
        <v>94</v>
      </c>
    </row>
    <row r="89">
      <c r="A89" s="22" t="s">
        <v>1678</v>
      </c>
      <c r="B89" s="22">
        <v>10.0</v>
      </c>
      <c r="C89" s="22" t="s">
        <v>2951</v>
      </c>
      <c r="D89" s="23" t="str">
        <f>HYPERLINK("http://ecotaxoserver.obs-vlfr.fr/browsetaxo/?id=55940","55940")</f>
        <v>55940</v>
      </c>
      <c r="E89" s="23" t="str">
        <f>HYPERLINK("http://www.marinespecies.org/aphia.php?p=taxdetails&amp;id=149073","149073")</f>
        <v>149073</v>
      </c>
      <c r="F89" s="22" t="s">
        <v>1678</v>
      </c>
      <c r="G89" s="22" t="s">
        <v>1679</v>
      </c>
      <c r="H89" s="24" t="s">
        <v>1927</v>
      </c>
      <c r="I89" s="23" t="str">
        <f>HYPERLINK("http://www.marinespecies.org/aphia.php?p=taxdetails&amp;id=149073","149073")</f>
        <v>149073</v>
      </c>
      <c r="J89" s="22" t="s">
        <v>94</v>
      </c>
    </row>
    <row r="90">
      <c r="A90" s="22" t="s">
        <v>2977</v>
      </c>
      <c r="B90" s="22">
        <v>66.0</v>
      </c>
      <c r="C90" s="22" t="s">
        <v>2951</v>
      </c>
      <c r="D90" s="23" t="str">
        <f>HYPERLINK("http://ecotaxoserver.obs-vlfr.fr/browsetaxo/?id=57438","57438")</f>
        <v>57438</v>
      </c>
      <c r="E90" s="23" t="str">
        <f>HYPERLINK("http://www.marinespecies.org/aphia.php?p=taxdetails&amp;id=101185","101185")</f>
        <v>101185</v>
      </c>
      <c r="F90" s="22" t="s">
        <v>2977</v>
      </c>
      <c r="G90" s="22" t="s">
        <v>2978</v>
      </c>
      <c r="H90" s="24" t="s">
        <v>1927</v>
      </c>
      <c r="I90" s="23" t="str">
        <f>HYPERLINK("http://www.marinespecies.org/aphia.php?p=taxdetails&amp;id=101185","101185")</f>
        <v>101185</v>
      </c>
      <c r="J90" s="22" t="s">
        <v>94</v>
      </c>
    </row>
    <row r="91">
      <c r="A91" s="22" t="s">
        <v>1746</v>
      </c>
      <c r="B91" s="22">
        <v>230.0</v>
      </c>
      <c r="C91" s="22" t="s">
        <v>2951</v>
      </c>
      <c r="D91" s="23" t="str">
        <f>HYPERLINK("http://ecotaxoserver.obs-vlfr.fr/browsetaxo/?id=57775","57775")</f>
        <v>57775</v>
      </c>
      <c r="E91" s="23" t="str">
        <f>HYPERLINK("http://www.marinespecies.org/aphia.php?p=taxdetails&amp;id=101195","101195")</f>
        <v>101195</v>
      </c>
      <c r="F91" s="22" t="s">
        <v>1746</v>
      </c>
      <c r="G91" s="22" t="s">
        <v>1747</v>
      </c>
      <c r="H91" s="24" t="s">
        <v>1927</v>
      </c>
      <c r="I91" s="23" t="str">
        <f>HYPERLINK("http://www.marinespecies.org/aphia.php?p=taxdetails&amp;id=101195","101195")</f>
        <v>101195</v>
      </c>
      <c r="J91" s="22" t="s">
        <v>94</v>
      </c>
    </row>
    <row r="92">
      <c r="A92" s="22" t="s">
        <v>597</v>
      </c>
      <c r="B92" s="22">
        <v>1459.0</v>
      </c>
      <c r="C92" s="22" t="s">
        <v>2953</v>
      </c>
      <c r="D92" s="23" t="str">
        <f>HYPERLINK("http://ecotaxoserver.obs-vlfr.fr/browsetaxo/?id=17067","17067")</f>
        <v>17067</v>
      </c>
      <c r="E92" s="23" t="str">
        <f>HYPERLINK("http://www.marinespecies.org/aphia.php?p=taxdetails&amp;id=146199","146199")</f>
        <v>146199</v>
      </c>
      <c r="F92" s="22" t="s">
        <v>597</v>
      </c>
      <c r="G92" s="22" t="s">
        <v>1599</v>
      </c>
      <c r="H92" s="24" t="s">
        <v>1927</v>
      </c>
      <c r="I92" s="23" t="str">
        <f>HYPERLINK("http://www.marinespecies.org/aphia.php?p=taxdetails&amp;id=146199","146199")</f>
        <v>146199</v>
      </c>
      <c r="J92" s="22" t="s">
        <v>94</v>
      </c>
    </row>
    <row r="93">
      <c r="A93" s="22" t="s">
        <v>791</v>
      </c>
      <c r="B93" s="22">
        <v>1936.0</v>
      </c>
      <c r="C93" s="22" t="s">
        <v>2953</v>
      </c>
      <c r="D93" s="23" t="str">
        <f>HYPERLINK("http://ecotaxoserver.obs-vlfr.fr/browsetaxo/?id=71641","71641")</f>
        <v>71641</v>
      </c>
      <c r="E93" s="23" t="str">
        <f>HYPERLINK("http://www.marinespecies.org/aphia.php?p=taxdetails&amp;id=293496","293496")</f>
        <v>293496</v>
      </c>
      <c r="F93" s="22" t="s">
        <v>132</v>
      </c>
      <c r="G93" s="22" t="s">
        <v>132</v>
      </c>
      <c r="H93" s="24" t="s">
        <v>1927</v>
      </c>
      <c r="I93" s="23" t="str">
        <f>HYPERLINK("http://www.marinespecies.org/aphia.php?p=taxdetails&amp;id=293496","293496")</f>
        <v>293496</v>
      </c>
      <c r="J93" s="22" t="s">
        <v>94</v>
      </c>
    </row>
    <row r="94">
      <c r="A94" s="22" t="s">
        <v>1785</v>
      </c>
      <c r="B94" s="22">
        <v>28.0</v>
      </c>
      <c r="C94" s="22" t="s">
        <v>2951</v>
      </c>
      <c r="D94" s="23" t="str">
        <f>HYPERLINK("http://ecotaxoserver.obs-vlfr.fr/browsetaxo/?id=55806","55806")</f>
        <v>55806</v>
      </c>
      <c r="E94" s="23" t="str">
        <f>HYPERLINK("http://www.marinespecies.org/aphia.php?p=taxdetails&amp;id=149092","149092")</f>
        <v>149092</v>
      </c>
      <c r="F94" s="22" t="s">
        <v>1785</v>
      </c>
      <c r="G94" s="22" t="s">
        <v>1120</v>
      </c>
      <c r="H94" s="24" t="s">
        <v>1927</v>
      </c>
      <c r="I94" s="23" t="str">
        <f>HYPERLINK("http://www.marinespecies.org/aphia.php?p=taxdetails&amp;id=149092","149092")</f>
        <v>149092</v>
      </c>
      <c r="J94" s="22" t="s">
        <v>94</v>
      </c>
    </row>
    <row r="95">
      <c r="A95" s="22" t="s">
        <v>1796</v>
      </c>
      <c r="B95" s="22">
        <v>45.0</v>
      </c>
      <c r="C95" s="22" t="s">
        <v>2951</v>
      </c>
      <c r="D95" s="23" t="str">
        <f>HYPERLINK("http://ecotaxoserver.obs-vlfr.fr/browsetaxo/?id=92402","92402")</f>
        <v>92402</v>
      </c>
      <c r="E95" s="23" t="str">
        <f>HYPERLINK("http://www.marinespecies.org/aphia.php?p=taxdetails&amp;id=157081","157081")</f>
        <v>157081</v>
      </c>
      <c r="F95" s="22" t="s">
        <v>128</v>
      </c>
      <c r="G95" s="22" t="s">
        <v>1120</v>
      </c>
      <c r="H95" s="24" t="s">
        <v>1927</v>
      </c>
      <c r="I95" s="23" t="str">
        <f>HYPERLINK("http://www.marinespecies.org/aphia.php?p=taxdetails&amp;id=157081","157081")</f>
        <v>157081</v>
      </c>
      <c r="J95" s="22" t="s">
        <v>94</v>
      </c>
    </row>
    <row r="96">
      <c r="A96" s="22" t="s">
        <v>1825</v>
      </c>
      <c r="B96" s="22">
        <v>94.0</v>
      </c>
      <c r="C96" s="22" t="s">
        <v>2951</v>
      </c>
      <c r="D96" s="23" t="str">
        <f>HYPERLINK("http://ecotaxoserver.obs-vlfr.fr/browsetaxo/?id=60121","60121")</f>
        <v>60121</v>
      </c>
      <c r="E96" s="23" t="str">
        <f>HYPERLINK("http://www.marinespecies.org/aphia.php?p=taxdetails&amp;id=129715","129715")</f>
        <v>129715</v>
      </c>
      <c r="F96" s="22" t="s">
        <v>1825</v>
      </c>
      <c r="G96" s="22" t="s">
        <v>1823</v>
      </c>
      <c r="H96" s="24" t="s">
        <v>1927</v>
      </c>
      <c r="I96" s="23" t="str">
        <f>HYPERLINK("http://www.marinespecies.org/aphia.php?p=taxdetails&amp;id=129715","129715")</f>
        <v>129715</v>
      </c>
      <c r="J96" s="22" t="s">
        <v>94</v>
      </c>
    </row>
    <row r="97">
      <c r="A97" s="22" t="s">
        <v>1841</v>
      </c>
      <c r="B97" s="22">
        <v>2.0</v>
      </c>
      <c r="C97" s="22" t="s">
        <v>2951</v>
      </c>
      <c r="D97" s="23" t="str">
        <f>HYPERLINK("http://ecotaxoserver.obs-vlfr.fr/browsetaxo/?id=11866","11866")</f>
        <v>11866</v>
      </c>
      <c r="E97" s="23" t="str">
        <f>HYPERLINK("http://www.marinespecies.org/aphia.php?p=taxdetails&amp;id=177604","177604")</f>
        <v>177604</v>
      </c>
      <c r="F97" s="22" t="s">
        <v>1841</v>
      </c>
      <c r="G97" s="22" t="s">
        <v>1842</v>
      </c>
      <c r="H97" s="24" t="s">
        <v>1927</v>
      </c>
      <c r="I97" s="23" t="str">
        <f>HYPERLINK("http://www.marinespecies.org/aphia.php?p=taxdetails&amp;id=177604","177604")</f>
        <v>177604</v>
      </c>
      <c r="J97" s="22" t="s">
        <v>94</v>
      </c>
    </row>
    <row r="98">
      <c r="A98" s="22" t="s">
        <v>1845</v>
      </c>
      <c r="B98" s="22">
        <v>692.0</v>
      </c>
      <c r="C98" s="22" t="s">
        <v>2951</v>
      </c>
      <c r="D98" s="23" t="str">
        <f>HYPERLINK("http://ecotaxoserver.obs-vlfr.fr/browsetaxo/?id=70486","70486")</f>
        <v>70486</v>
      </c>
      <c r="E98" s="23" t="str">
        <f>HYPERLINK("http://www.marinespecies.org/aphia.php?p=taxdetails&amp;id=160252","160252")</f>
        <v>160252</v>
      </c>
      <c r="F98" s="22" t="s">
        <v>1845</v>
      </c>
      <c r="G98" s="22" t="s">
        <v>499</v>
      </c>
      <c r="H98" s="24" t="s">
        <v>1927</v>
      </c>
      <c r="I98" s="23" t="str">
        <f>HYPERLINK("http://www.marinespecies.org/aphia.php?p=taxdetails&amp;id=160252","160252")</f>
        <v>160252</v>
      </c>
      <c r="J98" s="22" t="s">
        <v>94</v>
      </c>
    </row>
    <row r="99">
      <c r="A99" s="22" t="s">
        <v>2979</v>
      </c>
      <c r="B99" s="22">
        <v>166.0</v>
      </c>
      <c r="C99" s="22" t="s">
        <v>2951</v>
      </c>
      <c r="D99" s="23" t="str">
        <f>HYPERLINK("http://ecotaxoserver.obs-vlfr.fr/browsetaxo/?id=84705","84705")</f>
        <v>84705</v>
      </c>
      <c r="E99" s="23" t="str">
        <f>HYPERLINK("http://www.marinespecies.org/aphia.php?p=taxdetails&amp;id=101812","101812")</f>
        <v>101812</v>
      </c>
      <c r="F99" s="22" t="s">
        <v>2979</v>
      </c>
      <c r="G99" s="22" t="s">
        <v>2980</v>
      </c>
      <c r="H99" s="24" t="s">
        <v>1927</v>
      </c>
      <c r="I99" s="23" t="str">
        <f>HYPERLINK("http://www.marinespecies.org/aphia.php?p=taxdetails&amp;id=101812","101812")</f>
        <v>101812</v>
      </c>
      <c r="J99" s="22" t="s">
        <v>94</v>
      </c>
    </row>
    <row r="100">
      <c r="A100" s="22" t="s">
        <v>2981</v>
      </c>
      <c r="B100" s="22">
        <v>2.0</v>
      </c>
      <c r="C100" s="22" t="s">
        <v>2951</v>
      </c>
      <c r="D100" s="23" t="str">
        <f>HYPERLINK("http://ecotaxoserver.obs-vlfr.fr/browsetaxo/?id=87847","87847")</f>
        <v>87847</v>
      </c>
      <c r="E100" s="23" t="str">
        <f>HYPERLINK("http://www.marinespecies.org/aphia.php?p=taxdetails&amp;id=117259","117259")</f>
        <v>117259</v>
      </c>
      <c r="F100" s="22" t="s">
        <v>2981</v>
      </c>
      <c r="G100" s="22" t="s">
        <v>2032</v>
      </c>
      <c r="H100" s="24" t="s">
        <v>1927</v>
      </c>
      <c r="I100" s="23" t="str">
        <f>HYPERLINK("http://www.marinespecies.org/aphia.php?p=taxdetails&amp;id=117259","117259")</f>
        <v>117259</v>
      </c>
      <c r="J100" s="22" t="s">
        <v>94</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27.57"/>
    <col customWidth="1" min="7" max="7" width="20.0"/>
    <col customWidth="1" min="9" max="9" width="13.86"/>
    <col customWidth="1" min="10" max="10" width="18.29"/>
    <col customWidth="1" min="12" max="12" width="40.71"/>
    <col customWidth="1" min="13" max="13" width="80.14"/>
    <col customWidth="1" min="14" max="17" width="59.43"/>
  </cols>
  <sheetData>
    <row r="1">
      <c r="A1" s="20" t="s">
        <v>78</v>
      </c>
      <c r="B1" s="20" t="s">
        <v>79</v>
      </c>
      <c r="C1" s="20" t="s">
        <v>2948</v>
      </c>
      <c r="D1" s="20" t="s">
        <v>80</v>
      </c>
      <c r="E1" s="20" t="s">
        <v>81</v>
      </c>
      <c r="F1" s="20" t="s">
        <v>82</v>
      </c>
      <c r="G1" s="20" t="s">
        <v>83</v>
      </c>
      <c r="H1" s="21" t="s">
        <v>84</v>
      </c>
      <c r="I1" s="45" t="s">
        <v>2353</v>
      </c>
      <c r="J1" s="87" t="s">
        <v>2351</v>
      </c>
      <c r="K1" s="20" t="s">
        <v>85</v>
      </c>
      <c r="L1" s="21" t="s">
        <v>2354</v>
      </c>
      <c r="M1" s="88" t="s">
        <v>2982</v>
      </c>
      <c r="N1" s="21"/>
      <c r="O1" s="21"/>
      <c r="P1" s="21"/>
      <c r="Q1" s="21"/>
    </row>
    <row r="2">
      <c r="A2" s="22" t="s">
        <v>99</v>
      </c>
      <c r="B2" s="22">
        <v>1076.0</v>
      </c>
      <c r="C2" s="22" t="s">
        <v>2983</v>
      </c>
      <c r="D2" s="23" t="str">
        <f>HYPERLINK("http://ecotaxoserver.obs-vlfr.fr/browsetaxo/?id=17263","17263")</f>
        <v>17263</v>
      </c>
      <c r="E2" s="23" t="str">
        <f t="shared" ref="E2:E5" si="1">HYPERLINK("http://www.marinespecies.org/aphia.php?p=taxdetails&amp;id=586732","586732")</f>
        <v>586732</v>
      </c>
      <c r="F2" s="22" t="s">
        <v>2358</v>
      </c>
      <c r="G2" s="22" t="s">
        <v>101</v>
      </c>
      <c r="I2" s="51" t="b">
        <v>1</v>
      </c>
      <c r="J2" s="61">
        <v>586732.0</v>
      </c>
      <c r="L2" s="24" t="s">
        <v>2984</v>
      </c>
      <c r="M2" s="24"/>
      <c r="N2" s="24"/>
      <c r="O2" s="24"/>
      <c r="P2" s="24"/>
      <c r="Q2" s="24"/>
    </row>
    <row r="3">
      <c r="A3" s="22" t="s">
        <v>99</v>
      </c>
      <c r="B3" s="22">
        <v>6.0</v>
      </c>
      <c r="C3" s="22" t="s">
        <v>2985</v>
      </c>
      <c r="D3" s="23" t="str">
        <f>HYPERLINK("http://ecotaxoserver.obs-vlfr.fr/browsetaxo/?id=17264","17264")</f>
        <v>17264</v>
      </c>
      <c r="E3" s="23" t="str">
        <f t="shared" si="1"/>
        <v>586732</v>
      </c>
      <c r="F3" s="22" t="s">
        <v>2360</v>
      </c>
      <c r="G3" s="22" t="s">
        <v>101</v>
      </c>
      <c r="I3" s="51" t="b">
        <v>1</v>
      </c>
      <c r="J3" s="61">
        <v>586732.0</v>
      </c>
      <c r="L3" s="24" t="s">
        <v>2986</v>
      </c>
      <c r="M3" s="24"/>
      <c r="N3" s="24"/>
      <c r="O3" s="24"/>
      <c r="P3" s="24"/>
      <c r="Q3" s="24"/>
    </row>
    <row r="4">
      <c r="A4" s="22" t="s">
        <v>99</v>
      </c>
      <c r="B4" s="22">
        <v>152.0</v>
      </c>
      <c r="C4" s="22" t="s">
        <v>2987</v>
      </c>
      <c r="D4" s="23" t="str">
        <f>HYPERLINK("http://ecotaxoserver.obs-vlfr.fr/browsetaxo/?id=27675","27675")</f>
        <v>27675</v>
      </c>
      <c r="E4" s="23" t="str">
        <f t="shared" si="1"/>
        <v>586732</v>
      </c>
      <c r="F4" s="22" t="s">
        <v>2988</v>
      </c>
      <c r="G4" s="22" t="s">
        <v>101</v>
      </c>
      <c r="I4" s="51" t="b">
        <v>1</v>
      </c>
      <c r="J4" s="61">
        <v>586732.0</v>
      </c>
      <c r="L4" s="24" t="s">
        <v>2989</v>
      </c>
      <c r="M4" s="24"/>
      <c r="N4" s="24"/>
      <c r="O4" s="24"/>
      <c r="P4" s="24"/>
      <c r="Q4" s="24"/>
    </row>
    <row r="5">
      <c r="A5" s="22" t="s">
        <v>99</v>
      </c>
      <c r="B5" s="22">
        <v>19.0</v>
      </c>
      <c r="C5" s="22" t="s">
        <v>2990</v>
      </c>
      <c r="D5" s="23" t="str">
        <f>HYPERLINK("http://ecotaxoserver.obs-vlfr.fr/browsetaxo/?id=27676","27676")</f>
        <v>27676</v>
      </c>
      <c r="E5" s="23" t="str">
        <f t="shared" si="1"/>
        <v>586732</v>
      </c>
      <c r="F5" s="22" t="s">
        <v>2991</v>
      </c>
      <c r="G5" s="22" t="s">
        <v>101</v>
      </c>
      <c r="I5" s="51" t="b">
        <v>1</v>
      </c>
      <c r="J5" s="61">
        <v>586732.0</v>
      </c>
      <c r="L5" s="24" t="s">
        <v>2992</v>
      </c>
      <c r="M5" s="24"/>
      <c r="N5" s="24"/>
      <c r="O5" s="24"/>
      <c r="P5" s="24"/>
      <c r="Q5" s="24"/>
    </row>
    <row r="6">
      <c r="A6" s="22" t="s">
        <v>186</v>
      </c>
      <c r="B6" s="22">
        <v>60.0</v>
      </c>
      <c r="C6" s="22" t="s">
        <v>2951</v>
      </c>
      <c r="D6" s="23" t="str">
        <f>HYPERLINK("http://ecotaxoserver.obs-vlfr.fr/browsetaxo/?id=31509","31509")</f>
        <v>31509</v>
      </c>
      <c r="E6" s="23" t="str">
        <f t="shared" ref="E6:E7" si="2">HYPERLINK("http://www.marinespecies.org/aphia.php?p=taxdetails&amp;id=109473","109473")</f>
        <v>109473</v>
      </c>
      <c r="F6" s="22" t="s">
        <v>186</v>
      </c>
      <c r="G6" s="22" t="s">
        <v>188</v>
      </c>
      <c r="H6" s="24" t="s">
        <v>1927</v>
      </c>
      <c r="I6" s="55" t="b">
        <v>0</v>
      </c>
      <c r="J6" s="89"/>
      <c r="K6" s="23" t="str">
        <f t="shared" ref="K6:K7" si="3">HYPERLINK("http://www.marinespecies.org/aphia.php?p=taxdetails&amp;id=109473","109473")</f>
        <v>109473</v>
      </c>
      <c r="L6" s="22" t="s">
        <v>94</v>
      </c>
    </row>
    <row r="7">
      <c r="A7" s="22" t="s">
        <v>186</v>
      </c>
      <c r="B7" s="22">
        <v>87.0</v>
      </c>
      <c r="C7" s="22" t="s">
        <v>2951</v>
      </c>
      <c r="D7" s="23" t="str">
        <f>HYPERLINK("http://ecotaxoserver.obs-vlfr.fr/browsetaxo/?id=78799","78799")</f>
        <v>78799</v>
      </c>
      <c r="E7" s="23" t="str">
        <f t="shared" si="2"/>
        <v>109473</v>
      </c>
      <c r="F7" s="22" t="s">
        <v>2993</v>
      </c>
      <c r="G7" s="22" t="s">
        <v>188</v>
      </c>
      <c r="H7" s="24" t="s">
        <v>1927</v>
      </c>
      <c r="I7" s="55" t="b">
        <v>0</v>
      </c>
      <c r="J7" s="89"/>
      <c r="K7" s="23" t="str">
        <f t="shared" si="3"/>
        <v>109473</v>
      </c>
      <c r="L7" s="22" t="s">
        <v>94</v>
      </c>
    </row>
    <row r="8">
      <c r="A8" s="22" t="s">
        <v>111</v>
      </c>
      <c r="B8" s="22">
        <v>8787.0</v>
      </c>
      <c r="C8" s="22" t="s">
        <v>2953</v>
      </c>
      <c r="D8" s="23" t="str">
        <f>HYPERLINK("http://ecotaxoserver.obs-vlfr.fr/browsetaxo/?id=61992","61992")</f>
        <v>61992</v>
      </c>
      <c r="E8" s="23" t="str">
        <f t="shared" ref="E8:E9" si="4">HYPERLINK("http://www.marinespecies.org/aphia.php?p=taxdetails&amp;id=1100","1100")</f>
        <v>1100</v>
      </c>
      <c r="F8" s="22" t="s">
        <v>111</v>
      </c>
      <c r="G8" s="22" t="s">
        <v>384</v>
      </c>
      <c r="H8" s="24" t="s">
        <v>1927</v>
      </c>
      <c r="I8" s="55" t="b">
        <v>0</v>
      </c>
      <c r="J8" s="89"/>
      <c r="K8" s="23" t="str">
        <f t="shared" ref="K8:K9" si="5">HYPERLINK("http://www.marinespecies.org/aphia.php?p=taxdetails&amp;id=1100","1100")</f>
        <v>1100</v>
      </c>
      <c r="L8" s="22" t="s">
        <v>94</v>
      </c>
    </row>
    <row r="9">
      <c r="A9" s="22" t="s">
        <v>111</v>
      </c>
      <c r="B9" s="22">
        <v>17.0</v>
      </c>
      <c r="C9" s="22" t="s">
        <v>2956</v>
      </c>
      <c r="D9" s="23" t="str">
        <f>HYPERLINK("http://ecotaxoserver.obs-vlfr.fr/browsetaxo/?id=80128","80128")</f>
        <v>80128</v>
      </c>
      <c r="E9" s="23" t="str">
        <f t="shared" si="4"/>
        <v>1100</v>
      </c>
      <c r="F9" s="22" t="s">
        <v>2994</v>
      </c>
      <c r="G9" s="22" t="s">
        <v>384</v>
      </c>
      <c r="H9" s="24" t="s">
        <v>1927</v>
      </c>
      <c r="I9" s="55" t="b">
        <v>0</v>
      </c>
      <c r="J9" s="89"/>
      <c r="K9" s="23" t="str">
        <f t="shared" si="5"/>
        <v>1100</v>
      </c>
      <c r="L9" s="22" t="s">
        <v>94</v>
      </c>
    </row>
    <row r="10">
      <c r="A10" s="22" t="s">
        <v>229</v>
      </c>
      <c r="B10" s="22">
        <v>135.0</v>
      </c>
      <c r="C10" s="22" t="s">
        <v>2953</v>
      </c>
      <c r="D10" s="23" t="str">
        <f>HYPERLINK("http://ecotaxoserver.obs-vlfr.fr/browsetaxo/?id=12867","12867")</f>
        <v>12867</v>
      </c>
      <c r="E10" s="23" t="str">
        <f t="shared" ref="E10:E13" si="6">HYPERLINK("http://www.marinespecies.org/aphia.php?p=taxdetails&amp;id=1267","1267")</f>
        <v>1267</v>
      </c>
      <c r="F10" s="22" t="s">
        <v>229</v>
      </c>
      <c r="G10" s="22" t="s">
        <v>224</v>
      </c>
      <c r="H10" s="24" t="s">
        <v>1927</v>
      </c>
      <c r="I10" s="51" t="b">
        <v>0</v>
      </c>
      <c r="J10" s="90"/>
      <c r="K10" s="23" t="str">
        <f t="shared" ref="K10:K13" si="7">HYPERLINK("http://www.marinespecies.org/aphia.php?p=taxdetails&amp;id=1267","1267")</f>
        <v>1267</v>
      </c>
      <c r="L10" s="22" t="s">
        <v>94</v>
      </c>
    </row>
    <row r="11">
      <c r="A11" s="22" t="s">
        <v>229</v>
      </c>
      <c r="B11" s="22">
        <v>163.0</v>
      </c>
      <c r="C11" s="22" t="s">
        <v>2995</v>
      </c>
      <c r="D11" s="23" t="str">
        <f>HYPERLINK("http://ecotaxoserver.obs-vlfr.fr/browsetaxo/?id=16665","16665")</f>
        <v>16665</v>
      </c>
      <c r="E11" s="23" t="str">
        <f t="shared" si="6"/>
        <v>1267</v>
      </c>
      <c r="F11" s="22" t="s">
        <v>2996</v>
      </c>
      <c r="G11" s="22" t="s">
        <v>224</v>
      </c>
      <c r="H11" s="24" t="s">
        <v>1927</v>
      </c>
      <c r="I11" s="55" t="b">
        <v>0</v>
      </c>
      <c r="J11" s="89"/>
      <c r="K11" s="23" t="str">
        <f t="shared" si="7"/>
        <v>1267</v>
      </c>
      <c r="L11" s="22" t="s">
        <v>94</v>
      </c>
    </row>
    <row r="12">
      <c r="A12" s="22" t="s">
        <v>229</v>
      </c>
      <c r="B12" s="22">
        <v>10.0</v>
      </c>
      <c r="C12" s="22" t="s">
        <v>2997</v>
      </c>
      <c r="D12" s="23" t="str">
        <f>HYPERLINK("http://ecotaxoserver.obs-vlfr.fr/browsetaxo/?id=25974","25974")</f>
        <v>25974</v>
      </c>
      <c r="E12" s="23" t="str">
        <f t="shared" si="6"/>
        <v>1267</v>
      </c>
      <c r="F12" s="22" t="s">
        <v>2998</v>
      </c>
      <c r="G12" s="22" t="s">
        <v>224</v>
      </c>
      <c r="H12" s="24" t="s">
        <v>1927</v>
      </c>
      <c r="I12" s="55" t="b">
        <v>0</v>
      </c>
      <c r="J12" s="89"/>
      <c r="K12" s="23" t="str">
        <f t="shared" si="7"/>
        <v>1267</v>
      </c>
      <c r="L12" s="22" t="s">
        <v>94</v>
      </c>
    </row>
    <row r="13">
      <c r="A13" s="22" t="s">
        <v>229</v>
      </c>
      <c r="B13" s="22">
        <v>65.0</v>
      </c>
      <c r="C13" s="22" t="s">
        <v>2951</v>
      </c>
      <c r="D13" s="23" t="str">
        <f>HYPERLINK("http://ecotaxoserver.obs-vlfr.fr/browsetaxo/?id=25984","25984")</f>
        <v>25984</v>
      </c>
      <c r="E13" s="23" t="str">
        <f t="shared" si="6"/>
        <v>1267</v>
      </c>
      <c r="F13" s="22" t="s">
        <v>229</v>
      </c>
      <c r="G13" s="22" t="s">
        <v>224</v>
      </c>
      <c r="H13" s="24" t="s">
        <v>1927</v>
      </c>
      <c r="I13" s="55" t="b">
        <v>0</v>
      </c>
      <c r="J13" s="89"/>
      <c r="K13" s="23" t="str">
        <f t="shared" si="7"/>
        <v>1267</v>
      </c>
      <c r="L13" s="91"/>
      <c r="M13" s="24" t="s">
        <v>2999</v>
      </c>
    </row>
    <row r="14">
      <c r="A14" s="22" t="s">
        <v>383</v>
      </c>
      <c r="B14" s="22">
        <v>78840.0</v>
      </c>
      <c r="C14" s="22" t="s">
        <v>2953</v>
      </c>
      <c r="D14" s="23" t="str">
        <f>HYPERLINK("http://ecotaxoserver.obs-vlfr.fr/browsetaxo/?id=45073","45073")</f>
        <v>45073</v>
      </c>
      <c r="E14" s="23" t="str">
        <f t="shared" ref="E14:E15" si="8">HYPERLINK("http://www.marinespecies.org/aphia.php?p=taxdetails&amp;id=1080","1080")</f>
        <v>1080</v>
      </c>
      <c r="F14" s="22" t="s">
        <v>383</v>
      </c>
      <c r="G14" s="22" t="s">
        <v>581</v>
      </c>
      <c r="H14" s="24" t="s">
        <v>1927</v>
      </c>
      <c r="I14" s="55" t="b">
        <v>0</v>
      </c>
      <c r="J14" s="89"/>
      <c r="K14" s="23" t="str">
        <f t="shared" ref="K14:K15" si="9">HYPERLINK("http://www.marinespecies.org/aphia.php?p=taxdetails&amp;id=1080","1080")</f>
        <v>1080</v>
      </c>
      <c r="L14" s="22" t="s">
        <v>94</v>
      </c>
    </row>
    <row r="15">
      <c r="A15" s="22" t="s">
        <v>383</v>
      </c>
      <c r="B15" s="22">
        <v>18073.0</v>
      </c>
      <c r="C15" s="22" t="s">
        <v>2956</v>
      </c>
      <c r="D15" s="23" t="str">
        <f>HYPERLINK("http://ecotaxoserver.obs-vlfr.fr/browsetaxo/?id=61997","61997")</f>
        <v>61997</v>
      </c>
      <c r="E15" s="23" t="str">
        <f t="shared" si="8"/>
        <v>1080</v>
      </c>
      <c r="F15" s="22" t="s">
        <v>3000</v>
      </c>
      <c r="G15" s="22" t="s">
        <v>581</v>
      </c>
      <c r="H15" s="24" t="s">
        <v>1927</v>
      </c>
      <c r="I15" s="51" t="b">
        <v>0</v>
      </c>
      <c r="J15" s="90"/>
      <c r="K15" s="23" t="str">
        <f t="shared" si="9"/>
        <v>1080</v>
      </c>
      <c r="L15" s="22" t="s">
        <v>94</v>
      </c>
    </row>
    <row r="16">
      <c r="A16" s="22" t="s">
        <v>1297</v>
      </c>
      <c r="B16" s="22">
        <v>16.0</v>
      </c>
      <c r="C16" s="22" t="s">
        <v>3001</v>
      </c>
      <c r="D16" s="23" t="str">
        <f>HYPERLINK("http://ecotaxoserver.obs-vlfr.fr/browsetaxo/?id=82650","82650")</f>
        <v>82650</v>
      </c>
      <c r="E16" s="23" t="str">
        <f t="shared" ref="E16:E17" si="10">HYPERLINK("http://www.marinespecies.org/aphia.php?p=taxdetails&amp;id=106485","106485")</f>
        <v>106485</v>
      </c>
      <c r="F16" s="22" t="s">
        <v>1297</v>
      </c>
      <c r="G16" s="22" t="s">
        <v>1298</v>
      </c>
      <c r="H16" s="24" t="s">
        <v>1927</v>
      </c>
      <c r="I16" s="55" t="b">
        <v>0</v>
      </c>
      <c r="J16" s="89"/>
      <c r="K16" s="23" t="str">
        <f t="shared" ref="K16:K17" si="11">HYPERLINK("http://www.marinespecies.org/aphia.php?p=taxdetails&amp;id=106485","106485")</f>
        <v>106485</v>
      </c>
      <c r="L16" s="22" t="s">
        <v>94</v>
      </c>
    </row>
    <row r="17">
      <c r="A17" s="22" t="s">
        <v>1297</v>
      </c>
      <c r="B17" s="22">
        <v>396.0</v>
      </c>
      <c r="C17" s="22" t="s">
        <v>2951</v>
      </c>
      <c r="D17" s="23" t="str">
        <f>HYPERLINK("http://ecotaxoserver.obs-vlfr.fr/browsetaxo/?id=82651","82651")</f>
        <v>82651</v>
      </c>
      <c r="E17" s="23" t="str">
        <f t="shared" si="10"/>
        <v>106485</v>
      </c>
      <c r="F17" s="22" t="s">
        <v>1297</v>
      </c>
      <c r="G17" s="22" t="s">
        <v>1298</v>
      </c>
      <c r="H17" s="24" t="s">
        <v>1927</v>
      </c>
      <c r="I17" s="51" t="b">
        <v>0</v>
      </c>
      <c r="J17" s="90"/>
      <c r="K17" s="23" t="str">
        <f t="shared" si="11"/>
        <v>106485</v>
      </c>
      <c r="L17" s="22" t="s">
        <v>94</v>
      </c>
    </row>
    <row r="18">
      <c r="A18" s="22" t="s">
        <v>1522</v>
      </c>
      <c r="B18" s="22">
        <v>1.0</v>
      </c>
      <c r="C18" s="22" t="s">
        <v>2951</v>
      </c>
      <c r="D18" s="23" t="str">
        <f>HYPERLINK("http://ecotaxoserver.obs-vlfr.fr/browsetaxo/?id=58507","58507")</f>
        <v>58507</v>
      </c>
      <c r="E18" s="23" t="str">
        <f t="shared" ref="E18:E19" si="12">HYPERLINK("http://www.marinespecies.org/aphia.php?p=taxdetails&amp;id=109553","109553")</f>
        <v>109553</v>
      </c>
      <c r="F18" s="22" t="s">
        <v>1522</v>
      </c>
      <c r="G18" s="22" t="s">
        <v>760</v>
      </c>
      <c r="H18" s="24" t="s">
        <v>1927</v>
      </c>
      <c r="I18" s="51" t="b">
        <v>0</v>
      </c>
      <c r="J18" s="90"/>
      <c r="K18" s="23" t="str">
        <f t="shared" ref="K18:K19" si="13">HYPERLINK("http://www.marinespecies.org/aphia.php?p=taxdetails&amp;id=109553","109553")</f>
        <v>109553</v>
      </c>
      <c r="L18" s="22" t="s">
        <v>94</v>
      </c>
    </row>
    <row r="19">
      <c r="A19" s="22" t="s">
        <v>1522</v>
      </c>
      <c r="B19" s="22">
        <v>34.0</v>
      </c>
      <c r="C19" s="22" t="s">
        <v>2951</v>
      </c>
      <c r="D19" s="23" t="str">
        <f>HYPERLINK("http://ecotaxoserver.obs-vlfr.fr/browsetaxo/?id=78916","78916")</f>
        <v>78916</v>
      </c>
      <c r="E19" s="23" t="str">
        <f t="shared" si="12"/>
        <v>109553</v>
      </c>
      <c r="F19" s="22" t="s">
        <v>1536</v>
      </c>
      <c r="G19" s="22" t="s">
        <v>760</v>
      </c>
      <c r="H19" s="24" t="s">
        <v>1927</v>
      </c>
      <c r="I19" s="51" t="b">
        <v>0</v>
      </c>
      <c r="J19" s="90"/>
      <c r="K19" s="23" t="str">
        <f t="shared" si="13"/>
        <v>109553</v>
      </c>
      <c r="L19" s="22" t="s">
        <v>94</v>
      </c>
    </row>
    <row r="20">
      <c r="A20" s="22" t="s">
        <v>100</v>
      </c>
      <c r="B20" s="22">
        <v>16220.0</v>
      </c>
      <c r="C20" s="22" t="s">
        <v>2953</v>
      </c>
      <c r="D20" s="23" t="str">
        <f>HYPERLINK("http://ecotaxoserver.obs-vlfr.fr/browsetaxo/?id=85362","85362")</f>
        <v>85362</v>
      </c>
      <c r="E20" s="23" t="str">
        <f t="shared" ref="E20:E21" si="14">HYPERLINK("http://www.marinespecies.org/aphia.php?p=taxdetails&amp;id=582420","582420")</f>
        <v>582420</v>
      </c>
      <c r="F20" s="22" t="s">
        <v>100</v>
      </c>
      <c r="G20" s="22" t="s">
        <v>961</v>
      </c>
      <c r="H20" s="24" t="s">
        <v>1927</v>
      </c>
      <c r="I20" s="51" t="b">
        <v>0</v>
      </c>
      <c r="J20" s="90"/>
      <c r="K20" s="23" t="str">
        <f t="shared" ref="K20:K21" si="15">HYPERLINK("http://www.marinespecies.org/aphia.php?p=taxdetails&amp;id=582420","582420")</f>
        <v>582420</v>
      </c>
      <c r="L20" s="22" t="s">
        <v>94</v>
      </c>
    </row>
    <row r="21">
      <c r="A21" s="22" t="s">
        <v>100</v>
      </c>
      <c r="B21" s="22">
        <v>43.0</v>
      </c>
      <c r="C21" s="22" t="s">
        <v>2956</v>
      </c>
      <c r="D21" s="23" t="str">
        <f>HYPERLINK("http://ecotaxoserver.obs-vlfr.fr/browsetaxo/?id=89120","89120")</f>
        <v>89120</v>
      </c>
      <c r="E21" s="23" t="str">
        <f t="shared" si="14"/>
        <v>582420</v>
      </c>
      <c r="F21" s="22" t="s">
        <v>3002</v>
      </c>
      <c r="G21" s="22" t="s">
        <v>961</v>
      </c>
      <c r="H21" s="24" t="s">
        <v>1927</v>
      </c>
      <c r="I21" s="51" t="b">
        <v>0</v>
      </c>
      <c r="J21" s="90"/>
      <c r="K21" s="23" t="str">
        <f t="shared" si="15"/>
        <v>582420</v>
      </c>
      <c r="L21" s="22" t="s">
        <v>94</v>
      </c>
    </row>
    <row r="22">
      <c r="A22" s="22" t="s">
        <v>1788</v>
      </c>
      <c r="B22" s="22">
        <v>286.0</v>
      </c>
      <c r="C22" s="22" t="s">
        <v>2951</v>
      </c>
      <c r="D22" s="23" t="str">
        <f>HYPERLINK("http://ecotaxoserver.obs-vlfr.fr/browsetaxo/?id=55971","55971")</f>
        <v>55971</v>
      </c>
      <c r="E22" s="23" t="str">
        <f t="shared" ref="E22:E23" si="16">HYPERLINK("http://www.marinespecies.org/aphia.php?p=taxdetails&amp;id=148912","148912")</f>
        <v>148912</v>
      </c>
      <c r="F22" s="22" t="s">
        <v>1788</v>
      </c>
      <c r="G22" s="22" t="s">
        <v>1437</v>
      </c>
      <c r="H22" s="24" t="s">
        <v>1927</v>
      </c>
      <c r="I22" s="51" t="b">
        <v>0</v>
      </c>
      <c r="J22" s="90"/>
      <c r="K22" s="23" t="str">
        <f t="shared" ref="K22:K23" si="17">HYPERLINK("http://www.marinespecies.org/aphia.php?p=taxdetails&amp;id=148912","148912")</f>
        <v>148912</v>
      </c>
      <c r="L22" s="22" t="s">
        <v>94</v>
      </c>
    </row>
    <row r="23">
      <c r="A23" s="25" t="s">
        <v>1788</v>
      </c>
      <c r="B23" s="25">
        <v>19.0</v>
      </c>
      <c r="C23" s="25" t="s">
        <v>2951</v>
      </c>
      <c r="D23" s="26" t="str">
        <f>HYPERLINK("http://ecotaxoserver.obs-vlfr.fr/browsetaxo/?id=85510","85510")</f>
        <v>85510</v>
      </c>
      <c r="E23" s="26" t="str">
        <f t="shared" si="16"/>
        <v>148912</v>
      </c>
      <c r="F23" s="25" t="s">
        <v>1788</v>
      </c>
      <c r="G23" s="25" t="s">
        <v>1437</v>
      </c>
      <c r="H23" s="27" t="s">
        <v>1927</v>
      </c>
      <c r="I23" s="55" t="b">
        <v>0</v>
      </c>
      <c r="J23" s="92"/>
      <c r="K23" s="26" t="str">
        <f t="shared" si="17"/>
        <v>148912</v>
      </c>
      <c r="L23" s="22" t="s">
        <v>94</v>
      </c>
    </row>
    <row r="24">
      <c r="A24" s="22" t="s">
        <v>210</v>
      </c>
      <c r="B24" s="22">
        <v>444.0</v>
      </c>
      <c r="C24" s="22" t="s">
        <v>2953</v>
      </c>
      <c r="D24" s="23" t="str">
        <f>HYPERLINK("http://ecotaxoserver.obs-vlfr.fr/browsetaxo/?id=31217","31217")</f>
        <v>31217</v>
      </c>
      <c r="E24" s="23" t="str">
        <f t="shared" ref="E24:E25" si="18">HYPERLINK("http://www.marinespecies.org/aphia.php?p=taxdetails&amp;id=183533","183533")</f>
        <v>183533</v>
      </c>
      <c r="F24" s="22" t="s">
        <v>209</v>
      </c>
      <c r="G24" s="22" t="s">
        <v>568</v>
      </c>
      <c r="H24" s="24" t="s">
        <v>1927</v>
      </c>
      <c r="I24" s="55" t="b">
        <v>0</v>
      </c>
      <c r="J24" s="89"/>
      <c r="K24" s="23" t="str">
        <f t="shared" ref="K24:K25" si="19">HYPERLINK("http://www.marinespecies.org/aphia.php?p=taxdetails&amp;id=183533","183533")</f>
        <v>183533</v>
      </c>
      <c r="L24" s="22" t="s">
        <v>94</v>
      </c>
    </row>
    <row r="25">
      <c r="A25" s="22" t="s">
        <v>210</v>
      </c>
      <c r="B25" s="22">
        <v>4.0</v>
      </c>
      <c r="C25" s="22" t="s">
        <v>2956</v>
      </c>
      <c r="D25" s="23" t="str">
        <f>HYPERLINK("http://ecotaxoserver.obs-vlfr.fr/browsetaxo/?id=57469","57469")</f>
        <v>57469</v>
      </c>
      <c r="E25" s="23" t="str">
        <f t="shared" si="18"/>
        <v>183533</v>
      </c>
      <c r="F25" s="22" t="s">
        <v>1480</v>
      </c>
      <c r="G25" s="22" t="s">
        <v>568</v>
      </c>
      <c r="H25" s="24" t="s">
        <v>1927</v>
      </c>
      <c r="I25" s="51" t="b">
        <v>0</v>
      </c>
      <c r="J25" s="90"/>
      <c r="K25" s="23" t="str">
        <f t="shared" si="19"/>
        <v>183533</v>
      </c>
      <c r="L25" s="22" t="s">
        <v>94</v>
      </c>
    </row>
    <row r="26">
      <c r="H26" s="24"/>
      <c r="I26" s="50"/>
      <c r="J26" s="93"/>
    </row>
    <row r="27">
      <c r="H27" s="24"/>
      <c r="I27" s="50"/>
      <c r="J27" s="93"/>
    </row>
    <row r="28">
      <c r="H28" s="24"/>
      <c r="I28" s="50"/>
      <c r="J28" s="93"/>
    </row>
    <row r="29">
      <c r="H29" s="24"/>
      <c r="I29" s="28"/>
      <c r="J29" s="28"/>
      <c r="L29" s="24" t="s">
        <v>3003</v>
      </c>
      <c r="M29" s="24"/>
      <c r="N29" s="24"/>
      <c r="O29" s="24"/>
      <c r="P29" s="24"/>
      <c r="Q29" s="24"/>
    </row>
    <row r="30">
      <c r="H30" s="24"/>
      <c r="I30" s="28"/>
      <c r="J30" s="28"/>
    </row>
    <row r="31">
      <c r="H31" s="24"/>
      <c r="I31" s="28"/>
      <c r="J31" s="28"/>
    </row>
    <row r="32">
      <c r="H32" s="24"/>
      <c r="I32" s="50"/>
      <c r="J32" s="93"/>
    </row>
    <row r="33">
      <c r="H33" s="24"/>
      <c r="I33" s="50"/>
      <c r="J33" s="93"/>
    </row>
    <row r="34">
      <c r="H34" s="24"/>
      <c r="I34" s="50"/>
      <c r="J34" s="93"/>
    </row>
    <row r="35">
      <c r="H35" s="24"/>
      <c r="I35" s="50"/>
      <c r="J35" s="93"/>
    </row>
    <row r="36">
      <c r="H36" s="24"/>
      <c r="I36" s="50"/>
      <c r="J36" s="93"/>
    </row>
    <row r="37">
      <c r="H37" s="24"/>
      <c r="I37" s="50"/>
      <c r="J37" s="93"/>
    </row>
    <row r="38">
      <c r="H38" s="24"/>
      <c r="I38" s="50"/>
      <c r="J38" s="93"/>
    </row>
    <row r="39">
      <c r="H39" s="24"/>
      <c r="I39" s="50"/>
      <c r="J39" s="93"/>
    </row>
    <row r="40">
      <c r="H40" s="24"/>
      <c r="I40" s="50"/>
      <c r="J40" s="93"/>
    </row>
    <row r="41">
      <c r="H41" s="24"/>
      <c r="I41" s="50"/>
      <c r="J41" s="93"/>
    </row>
    <row r="42">
      <c r="H42" s="24"/>
      <c r="I42" s="50"/>
      <c r="J42" s="93"/>
    </row>
    <row r="43">
      <c r="H43" s="24"/>
      <c r="I43" s="50"/>
      <c r="J43" s="93"/>
    </row>
    <row r="44">
      <c r="H44" s="24"/>
      <c r="I44" s="50"/>
      <c r="J44" s="93"/>
    </row>
    <row r="45">
      <c r="H45" s="24"/>
      <c r="I45" s="50"/>
      <c r="J45" s="93"/>
    </row>
    <row r="46">
      <c r="H46" s="24"/>
      <c r="I46" s="50"/>
      <c r="J46" s="93"/>
    </row>
    <row r="47">
      <c r="H47" s="24"/>
      <c r="I47" s="28"/>
      <c r="J47" s="28"/>
    </row>
    <row r="48">
      <c r="H48" s="24"/>
      <c r="I48" s="50"/>
      <c r="J48" s="93"/>
    </row>
    <row r="49">
      <c r="H49" s="24"/>
      <c r="I49" s="28"/>
      <c r="J49" s="28"/>
    </row>
    <row r="50">
      <c r="H50" s="24"/>
      <c r="I50" s="50"/>
      <c r="J50" s="93"/>
    </row>
    <row r="51">
      <c r="H51" s="24"/>
      <c r="I51" s="50"/>
      <c r="J51" s="93"/>
    </row>
    <row r="52">
      <c r="H52" s="24"/>
      <c r="I52" s="28"/>
      <c r="J52" s="28"/>
    </row>
    <row r="53">
      <c r="H53" s="24"/>
      <c r="I53" s="50"/>
      <c r="J53" s="93"/>
    </row>
    <row r="54">
      <c r="H54" s="24"/>
      <c r="I54" s="50"/>
      <c r="J54" s="93"/>
    </row>
    <row r="55">
      <c r="H55" s="24"/>
      <c r="I55" s="50"/>
      <c r="J55" s="93"/>
    </row>
    <row r="56">
      <c r="H56" s="24"/>
      <c r="I56" s="28"/>
      <c r="J56" s="28"/>
    </row>
    <row r="57">
      <c r="H57" s="24"/>
      <c r="I57" s="28"/>
      <c r="J57" s="28"/>
    </row>
    <row r="58">
      <c r="H58" s="24"/>
      <c r="I58" s="28"/>
      <c r="J58" s="28"/>
    </row>
    <row r="59">
      <c r="H59" s="24"/>
      <c r="I59" s="28"/>
      <c r="J59" s="28"/>
    </row>
    <row r="60">
      <c r="H60" s="24"/>
      <c r="I60" s="50"/>
      <c r="J60" s="93"/>
    </row>
    <row r="61">
      <c r="H61" s="24"/>
      <c r="I61" s="50"/>
      <c r="J61" s="93"/>
    </row>
    <row r="62">
      <c r="H62" s="24"/>
      <c r="I62" s="50"/>
      <c r="J62" s="93"/>
    </row>
    <row r="63">
      <c r="H63" s="24"/>
      <c r="I63" s="50"/>
      <c r="J63" s="93"/>
    </row>
    <row r="64">
      <c r="H64" s="24"/>
      <c r="I64" s="50"/>
      <c r="J64" s="93"/>
    </row>
    <row r="65">
      <c r="H65" s="24"/>
      <c r="I65" s="50"/>
      <c r="J65" s="93"/>
    </row>
    <row r="66">
      <c r="H66" s="24"/>
      <c r="I66" s="50"/>
      <c r="J66" s="93"/>
    </row>
    <row r="67">
      <c r="H67" s="24"/>
      <c r="I67" s="50"/>
      <c r="J67" s="93"/>
    </row>
    <row r="68">
      <c r="H68" s="24"/>
      <c r="I68" s="50"/>
      <c r="J68" s="93"/>
    </row>
    <row r="69">
      <c r="H69" s="24"/>
      <c r="I69" s="50"/>
      <c r="J69" s="93"/>
    </row>
    <row r="70">
      <c r="H70" s="24"/>
      <c r="I70" s="50"/>
      <c r="J70" s="93"/>
    </row>
    <row r="71">
      <c r="H71" s="24"/>
      <c r="I71" s="50"/>
      <c r="J71" s="93"/>
    </row>
    <row r="72">
      <c r="H72" s="24"/>
      <c r="I72" s="50"/>
      <c r="J72" s="93"/>
    </row>
    <row r="73">
      <c r="H73" s="24"/>
      <c r="I73" s="50"/>
      <c r="J73" s="93"/>
    </row>
    <row r="74">
      <c r="H74" s="24"/>
      <c r="I74" s="50"/>
      <c r="J74" s="93"/>
    </row>
    <row r="75">
      <c r="H75" s="24"/>
      <c r="I75" s="28"/>
      <c r="J75" s="28"/>
    </row>
    <row r="76">
      <c r="H76" s="24"/>
      <c r="I76" s="28"/>
      <c r="J76" s="28"/>
    </row>
    <row r="77">
      <c r="H77" s="24"/>
      <c r="I77" s="50"/>
      <c r="J77" s="93"/>
    </row>
    <row r="78">
      <c r="H78" s="24"/>
      <c r="I78" s="50"/>
      <c r="J78" s="93"/>
    </row>
    <row r="79">
      <c r="H79" s="24"/>
      <c r="I79" s="50"/>
      <c r="J79" s="93"/>
    </row>
    <row r="80">
      <c r="H80" s="24"/>
      <c r="I80" s="50"/>
      <c r="J80" s="93"/>
    </row>
    <row r="81">
      <c r="H81" s="24"/>
      <c r="I81" s="50"/>
      <c r="J81" s="93"/>
    </row>
    <row r="82">
      <c r="H82" s="24"/>
      <c r="I82" s="50"/>
      <c r="J82" s="93"/>
    </row>
    <row r="83">
      <c r="H83" s="24"/>
      <c r="I83" s="50"/>
      <c r="J83" s="93"/>
    </row>
    <row r="84">
      <c r="H84" s="24"/>
      <c r="I84" s="50"/>
      <c r="J84" s="93"/>
    </row>
    <row r="85">
      <c r="H85" s="24"/>
      <c r="I85" s="50"/>
      <c r="J85" s="93"/>
    </row>
    <row r="86">
      <c r="H86" s="24"/>
      <c r="I86" s="50"/>
      <c r="J86" s="93"/>
    </row>
    <row r="87">
      <c r="H87" s="24"/>
      <c r="I87" s="50"/>
      <c r="J87" s="93"/>
    </row>
    <row r="88">
      <c r="H88" s="24"/>
      <c r="I88" s="50"/>
      <c r="J88" s="93"/>
    </row>
    <row r="89">
      <c r="H89" s="24"/>
      <c r="I89" s="50"/>
      <c r="J89" s="93"/>
    </row>
    <row r="90">
      <c r="H90" s="24"/>
      <c r="I90" s="50"/>
      <c r="J90" s="93"/>
    </row>
    <row r="91">
      <c r="H91" s="24"/>
      <c r="I91" s="50"/>
      <c r="J91" s="93"/>
    </row>
    <row r="92">
      <c r="H92" s="24"/>
      <c r="I92" s="50"/>
      <c r="J92" s="93"/>
    </row>
    <row r="93">
      <c r="H93" s="24"/>
      <c r="I93" s="50"/>
      <c r="J93" s="93"/>
    </row>
    <row r="94">
      <c r="H94" s="24"/>
      <c r="I94" s="50"/>
      <c r="J94" s="93"/>
    </row>
    <row r="95">
      <c r="H95" s="24"/>
      <c r="I95" s="50"/>
      <c r="J95" s="93"/>
    </row>
    <row r="96">
      <c r="H96" s="24"/>
      <c r="I96" s="28"/>
      <c r="J96" s="28"/>
    </row>
    <row r="97">
      <c r="H97" s="24"/>
      <c r="I97" s="28"/>
      <c r="J97" s="28"/>
    </row>
    <row r="98">
      <c r="H98" s="24"/>
      <c r="I98" s="28"/>
      <c r="J98" s="28"/>
    </row>
    <row r="99">
      <c r="H99" s="24"/>
      <c r="I99" s="28"/>
      <c r="J99" s="28"/>
    </row>
    <row r="100">
      <c r="H100" s="24"/>
      <c r="I100" s="50"/>
      <c r="J100" s="93"/>
    </row>
    <row r="101">
      <c r="H101" s="24"/>
      <c r="I101" s="50"/>
      <c r="J101" s="93"/>
    </row>
    <row r="102">
      <c r="H102" s="24"/>
      <c r="I102" s="50"/>
      <c r="J102" s="93"/>
    </row>
    <row r="103">
      <c r="H103" s="24"/>
      <c r="I103" s="50"/>
      <c r="J103" s="93"/>
    </row>
    <row r="104">
      <c r="H104" s="24"/>
      <c r="I104" s="50"/>
      <c r="J104" s="93"/>
    </row>
    <row r="105">
      <c r="H105" s="24"/>
      <c r="I105" s="50"/>
      <c r="J105" s="93"/>
    </row>
    <row r="106">
      <c r="H106" s="24"/>
      <c r="I106" s="50"/>
      <c r="J106" s="93"/>
    </row>
    <row r="107">
      <c r="H107" s="24"/>
      <c r="I107" s="28"/>
      <c r="J107" s="28"/>
    </row>
    <row r="108">
      <c r="H108" s="24"/>
      <c r="I108" s="28"/>
      <c r="J108" s="28"/>
    </row>
    <row r="109">
      <c r="H109" s="24"/>
      <c r="I109" s="28"/>
      <c r="J109" s="28"/>
    </row>
    <row r="110">
      <c r="H110" s="24"/>
      <c r="I110" s="28"/>
      <c r="J110" s="28"/>
    </row>
    <row r="111">
      <c r="H111" s="24"/>
      <c r="I111" s="28"/>
      <c r="J111" s="28"/>
    </row>
    <row r="112">
      <c r="H112" s="24"/>
      <c r="I112" s="50"/>
      <c r="J112" s="93"/>
    </row>
    <row r="113">
      <c r="H113" s="24"/>
      <c r="I113" s="50"/>
      <c r="J113" s="93"/>
    </row>
    <row r="114">
      <c r="H114" s="24"/>
      <c r="I114" s="50"/>
      <c r="J114" s="93"/>
    </row>
    <row r="115">
      <c r="H115" s="24"/>
      <c r="I115" s="50"/>
      <c r="J115" s="93"/>
    </row>
    <row r="116">
      <c r="H116" s="24"/>
      <c r="I116" s="50"/>
      <c r="J116" s="93"/>
    </row>
    <row r="117">
      <c r="H117" s="24"/>
      <c r="I117" s="50"/>
      <c r="J117" s="93"/>
    </row>
    <row r="118">
      <c r="H118" s="24"/>
      <c r="I118" s="50"/>
      <c r="J118" s="93"/>
    </row>
    <row r="119">
      <c r="H119" s="24"/>
      <c r="I119" s="28"/>
      <c r="J119" s="28"/>
    </row>
    <row r="120">
      <c r="H120" s="24"/>
      <c r="I120" s="50"/>
      <c r="J120" s="93"/>
    </row>
    <row r="121">
      <c r="H121" s="24"/>
      <c r="I121" s="50"/>
      <c r="J121" s="93"/>
    </row>
    <row r="122">
      <c r="H122" s="24"/>
      <c r="I122" s="50"/>
      <c r="J122" s="93"/>
    </row>
    <row r="123">
      <c r="H123" s="24"/>
      <c r="I123" s="50"/>
      <c r="J123" s="93"/>
    </row>
    <row r="124">
      <c r="H124" s="24"/>
      <c r="I124" s="50"/>
      <c r="J124" s="93"/>
    </row>
    <row r="125">
      <c r="H125" s="24"/>
      <c r="I125" s="50"/>
      <c r="J125" s="93"/>
    </row>
    <row r="126">
      <c r="H126" s="24"/>
      <c r="I126" s="50"/>
      <c r="J126" s="93"/>
    </row>
    <row r="127">
      <c r="H127" s="24"/>
      <c r="I127" s="50"/>
      <c r="J127" s="93"/>
    </row>
    <row r="128">
      <c r="H128" s="24"/>
      <c r="I128" s="50"/>
      <c r="J128" s="93"/>
    </row>
    <row r="129">
      <c r="H129" s="24"/>
      <c r="I129" s="28"/>
      <c r="J129" s="28"/>
    </row>
    <row r="130">
      <c r="H130" s="24"/>
      <c r="I130" s="28"/>
      <c r="J130" s="28"/>
    </row>
    <row r="131">
      <c r="H131" s="24"/>
      <c r="I131" s="28"/>
      <c r="J131" s="28"/>
    </row>
    <row r="132">
      <c r="H132" s="24"/>
      <c r="I132" s="28"/>
      <c r="J132" s="28"/>
    </row>
    <row r="133">
      <c r="H133" s="24"/>
      <c r="I133" s="28"/>
      <c r="J133" s="28"/>
    </row>
    <row r="134">
      <c r="H134" s="24"/>
      <c r="I134" s="28"/>
      <c r="J134" s="28"/>
    </row>
    <row r="135">
      <c r="H135" s="24"/>
      <c r="I135" s="28"/>
      <c r="J135" s="28"/>
    </row>
    <row r="136">
      <c r="H136" s="24"/>
      <c r="I136" s="28"/>
      <c r="J136" s="28"/>
    </row>
    <row r="137">
      <c r="H137" s="24"/>
      <c r="I137" s="28"/>
      <c r="J137" s="28"/>
    </row>
    <row r="138">
      <c r="H138" s="24"/>
      <c r="I138" s="28"/>
      <c r="J138" s="28"/>
    </row>
    <row r="139">
      <c r="H139" s="24"/>
      <c r="I139" s="28"/>
      <c r="J139" s="28"/>
    </row>
    <row r="140">
      <c r="H140" s="24"/>
      <c r="I140" s="28"/>
      <c r="J140" s="28"/>
    </row>
    <row r="141">
      <c r="H141" s="24"/>
      <c r="I141" s="28"/>
      <c r="J141" s="28"/>
    </row>
    <row r="142">
      <c r="H142" s="24"/>
      <c r="I142" s="50"/>
      <c r="J142" s="93"/>
    </row>
    <row r="143">
      <c r="H143" s="24"/>
      <c r="I143" s="50"/>
      <c r="J143" s="93"/>
    </row>
    <row r="144">
      <c r="H144" s="24"/>
      <c r="I144" s="50"/>
      <c r="J144" s="93"/>
    </row>
    <row r="145">
      <c r="H145" s="24"/>
      <c r="I145" s="50"/>
      <c r="J145" s="93"/>
    </row>
    <row r="146">
      <c r="H146" s="24"/>
      <c r="I146" s="50"/>
      <c r="J146" s="93"/>
    </row>
    <row r="147">
      <c r="H147" s="24"/>
      <c r="I147" s="50"/>
      <c r="J147" s="93"/>
    </row>
    <row r="148">
      <c r="H148" s="24"/>
      <c r="I148" s="50"/>
      <c r="J148" s="93"/>
    </row>
    <row r="149">
      <c r="H149" s="24"/>
      <c r="I149" s="50"/>
      <c r="J149" s="93"/>
    </row>
    <row r="150">
      <c r="H150" s="24"/>
      <c r="I150" s="50"/>
      <c r="J150" s="93"/>
    </row>
    <row r="151">
      <c r="H151" s="24"/>
      <c r="I151" s="50"/>
      <c r="J151" s="93"/>
    </row>
    <row r="152">
      <c r="H152" s="24"/>
      <c r="I152" s="50"/>
      <c r="J152" s="93"/>
    </row>
    <row r="153">
      <c r="H153" s="24"/>
      <c r="I153" s="50"/>
      <c r="J153" s="93"/>
    </row>
    <row r="154">
      <c r="H154" s="24"/>
      <c r="I154" s="50"/>
      <c r="J154" s="93"/>
    </row>
    <row r="155">
      <c r="H155" s="24"/>
      <c r="I155" s="50"/>
      <c r="J155" s="93"/>
    </row>
    <row r="156">
      <c r="H156" s="24"/>
      <c r="I156" s="50"/>
      <c r="J156" s="93"/>
    </row>
    <row r="157">
      <c r="H157" s="24"/>
      <c r="I157" s="28"/>
      <c r="J157" s="28"/>
    </row>
    <row r="158">
      <c r="H158" s="24"/>
      <c r="I158" s="50"/>
      <c r="J158" s="93"/>
    </row>
    <row r="159">
      <c r="H159" s="24"/>
      <c r="I159" s="50"/>
      <c r="J159" s="93"/>
    </row>
    <row r="160">
      <c r="H160" s="24"/>
      <c r="I160" s="50"/>
      <c r="J160" s="93"/>
    </row>
    <row r="161">
      <c r="H161" s="24"/>
      <c r="I161" s="50"/>
      <c r="J161" s="93"/>
    </row>
    <row r="162">
      <c r="H162" s="24"/>
      <c r="I162" s="50"/>
      <c r="J162" s="93"/>
    </row>
    <row r="163">
      <c r="H163" s="24"/>
      <c r="I163" s="50"/>
      <c r="J163" s="93"/>
    </row>
    <row r="164">
      <c r="H164" s="24"/>
      <c r="I164" s="50"/>
      <c r="J164" s="93"/>
    </row>
    <row r="165">
      <c r="H165" s="24"/>
      <c r="I165" s="50"/>
      <c r="J165" s="93"/>
    </row>
    <row r="166">
      <c r="H166" s="24"/>
      <c r="I166" s="50"/>
      <c r="J166" s="93"/>
    </row>
    <row r="167">
      <c r="H167" s="24"/>
      <c r="I167" s="50"/>
      <c r="J167" s="93"/>
    </row>
    <row r="168">
      <c r="H168" s="24"/>
      <c r="I168" s="28"/>
      <c r="J168" s="28"/>
    </row>
    <row r="169">
      <c r="H169" s="24"/>
      <c r="I169" s="28"/>
      <c r="J169" s="28"/>
    </row>
    <row r="170">
      <c r="H170" s="24"/>
      <c r="I170" s="28"/>
      <c r="J170" s="28"/>
    </row>
    <row r="171">
      <c r="H171" s="24"/>
      <c r="I171" s="28"/>
      <c r="J171" s="28"/>
    </row>
    <row r="172">
      <c r="H172" s="24"/>
      <c r="I172" s="28"/>
      <c r="J172" s="28"/>
    </row>
    <row r="173">
      <c r="H173" s="24"/>
      <c r="I173" s="28"/>
      <c r="J173" s="28"/>
    </row>
    <row r="174">
      <c r="H174" s="24"/>
      <c r="I174" s="28"/>
      <c r="J174" s="28"/>
    </row>
    <row r="175">
      <c r="H175" s="24"/>
      <c r="I175" s="28"/>
      <c r="J175" s="28"/>
    </row>
    <row r="176">
      <c r="H176" s="24"/>
      <c r="I176" s="50"/>
      <c r="J176" s="93"/>
    </row>
    <row r="177">
      <c r="H177" s="24"/>
      <c r="I177" s="50"/>
      <c r="J177" s="93"/>
    </row>
    <row r="178">
      <c r="H178" s="24"/>
      <c r="I178" s="28"/>
      <c r="J178" s="28"/>
    </row>
    <row r="179">
      <c r="H179" s="24"/>
      <c r="I179" s="28"/>
      <c r="J179" s="28"/>
    </row>
    <row r="180">
      <c r="H180" s="24"/>
      <c r="I180" s="50"/>
      <c r="J180" s="93"/>
    </row>
    <row r="181">
      <c r="H181" s="24"/>
      <c r="I181" s="28"/>
      <c r="J181" s="28"/>
    </row>
    <row r="182">
      <c r="H182" s="24"/>
      <c r="I182" s="28"/>
      <c r="J182" s="28"/>
    </row>
    <row r="183">
      <c r="H183" s="24"/>
      <c r="I183" s="28"/>
      <c r="J183" s="28"/>
    </row>
    <row r="184">
      <c r="H184" s="24"/>
      <c r="I184" s="28"/>
      <c r="J184" s="28"/>
    </row>
    <row r="185">
      <c r="H185" s="24"/>
      <c r="I185" s="28"/>
      <c r="J185" s="28"/>
    </row>
    <row r="186">
      <c r="H186" s="24"/>
      <c r="I186" s="28"/>
      <c r="J186" s="28"/>
    </row>
    <row r="187">
      <c r="H187" s="24"/>
      <c r="I187" s="50"/>
      <c r="J187" s="93"/>
    </row>
    <row r="188">
      <c r="H188" s="24"/>
      <c r="I188" s="50"/>
      <c r="J188" s="93"/>
    </row>
    <row r="189">
      <c r="H189" s="24"/>
      <c r="I189" s="50"/>
      <c r="J189" s="93"/>
    </row>
    <row r="190">
      <c r="H190" s="24"/>
      <c r="I190" s="50"/>
      <c r="J190" s="93"/>
    </row>
    <row r="191">
      <c r="H191" s="24"/>
      <c r="I191" s="50"/>
      <c r="J191" s="93"/>
    </row>
    <row r="192">
      <c r="H192" s="24"/>
      <c r="I192" s="50"/>
      <c r="J192" s="93"/>
    </row>
    <row r="193">
      <c r="H193" s="24"/>
      <c r="I193" s="50"/>
      <c r="J193" s="93"/>
    </row>
    <row r="194">
      <c r="H194" s="24"/>
      <c r="I194" s="50"/>
      <c r="J194" s="93"/>
    </row>
    <row r="195">
      <c r="H195" s="24"/>
      <c r="I195" s="50"/>
      <c r="J195" s="93"/>
    </row>
    <row r="196">
      <c r="H196" s="24"/>
      <c r="I196" s="50"/>
      <c r="J196" s="93"/>
    </row>
    <row r="197">
      <c r="H197" s="24"/>
      <c r="I197" s="50"/>
      <c r="J197" s="93"/>
    </row>
    <row r="198">
      <c r="H198" s="24"/>
      <c r="I198" s="50"/>
      <c r="J198" s="93"/>
    </row>
    <row r="199">
      <c r="H199" s="24"/>
      <c r="I199" s="50"/>
      <c r="J199" s="93"/>
    </row>
    <row r="200">
      <c r="H200" s="24"/>
      <c r="I200" s="50"/>
      <c r="J200" s="93"/>
    </row>
    <row r="201">
      <c r="H201" s="24"/>
      <c r="I201" s="50"/>
      <c r="J201" s="93"/>
    </row>
    <row r="202">
      <c r="H202" s="24"/>
      <c r="I202" s="50"/>
      <c r="J202" s="93"/>
    </row>
    <row r="203">
      <c r="H203" s="24"/>
      <c r="I203" s="50"/>
      <c r="J203" s="93"/>
    </row>
    <row r="204">
      <c r="H204" s="24"/>
      <c r="I204" s="50"/>
      <c r="J204" s="93"/>
    </row>
    <row r="205">
      <c r="H205" s="24"/>
      <c r="I205" s="50"/>
      <c r="J205" s="93"/>
    </row>
    <row r="206">
      <c r="H206" s="24"/>
      <c r="I206" s="50"/>
      <c r="J206" s="93"/>
    </row>
    <row r="207">
      <c r="H207" s="24"/>
      <c r="I207" s="50"/>
      <c r="J207" s="93"/>
    </row>
    <row r="208">
      <c r="H208" s="24"/>
      <c r="I208" s="50"/>
      <c r="J208" s="93"/>
    </row>
    <row r="209">
      <c r="H209" s="24"/>
      <c r="I209" s="50"/>
      <c r="J209" s="93"/>
    </row>
    <row r="210">
      <c r="H210" s="24"/>
      <c r="I210" s="50"/>
      <c r="J210" s="93"/>
    </row>
    <row r="211">
      <c r="H211" s="24"/>
      <c r="I211" s="50"/>
      <c r="J211" s="93"/>
    </row>
    <row r="212">
      <c r="H212" s="24"/>
      <c r="I212" s="50"/>
      <c r="J212" s="93"/>
    </row>
    <row r="213">
      <c r="H213" s="24"/>
      <c r="I213" s="50"/>
      <c r="J213" s="93"/>
    </row>
    <row r="214">
      <c r="H214" s="24"/>
      <c r="I214" s="28"/>
      <c r="J214" s="28"/>
    </row>
    <row r="215">
      <c r="H215" s="24"/>
      <c r="I215" s="28"/>
      <c r="J215" s="28"/>
    </row>
    <row r="216">
      <c r="H216" s="24"/>
      <c r="I216" s="28"/>
      <c r="J216" s="28"/>
    </row>
    <row r="217">
      <c r="H217" s="24"/>
      <c r="I217" s="50"/>
      <c r="J217" s="93"/>
    </row>
    <row r="218">
      <c r="H218" s="24"/>
      <c r="I218" s="50"/>
      <c r="J218" s="93"/>
    </row>
    <row r="219">
      <c r="H219" s="24"/>
      <c r="I219" s="50"/>
      <c r="J219" s="93"/>
    </row>
    <row r="220">
      <c r="H220" s="24"/>
      <c r="I220" s="50"/>
      <c r="J220" s="93"/>
    </row>
    <row r="221">
      <c r="H221" s="24"/>
      <c r="I221" s="50"/>
      <c r="J221" s="93"/>
    </row>
    <row r="222">
      <c r="H222" s="24"/>
      <c r="I222" s="50"/>
      <c r="J222" s="93"/>
    </row>
    <row r="223">
      <c r="H223" s="24"/>
      <c r="I223" s="50"/>
      <c r="J223" s="93"/>
    </row>
    <row r="224">
      <c r="H224" s="24"/>
      <c r="I224" s="50"/>
      <c r="J224" s="93"/>
    </row>
    <row r="225">
      <c r="H225" s="24"/>
      <c r="I225" s="50"/>
      <c r="J225" s="93"/>
    </row>
    <row r="226">
      <c r="H226" s="24"/>
      <c r="I226" s="50"/>
      <c r="J226" s="93"/>
    </row>
    <row r="227">
      <c r="H227" s="24"/>
      <c r="I227" s="50"/>
      <c r="J227" s="93"/>
    </row>
    <row r="228">
      <c r="H228" s="24"/>
      <c r="I228" s="50"/>
      <c r="J228" s="93"/>
    </row>
    <row r="229">
      <c r="H229" s="24"/>
      <c r="I229" s="28"/>
      <c r="J229" s="28"/>
    </row>
    <row r="230">
      <c r="H230" s="24"/>
      <c r="I230" s="28"/>
      <c r="J230" s="28"/>
    </row>
    <row r="231">
      <c r="H231" s="24"/>
      <c r="I231" s="28"/>
      <c r="J231" s="28"/>
    </row>
    <row r="232">
      <c r="H232" s="24"/>
      <c r="I232" s="28"/>
      <c r="J232" s="28"/>
    </row>
    <row r="233">
      <c r="H233" s="24"/>
      <c r="I233" s="28"/>
      <c r="J233" s="28"/>
    </row>
    <row r="234">
      <c r="H234" s="24"/>
      <c r="I234" s="28"/>
      <c r="J234" s="28"/>
    </row>
    <row r="235">
      <c r="H235" s="24"/>
      <c r="I235" s="28"/>
      <c r="J235" s="28"/>
    </row>
    <row r="236">
      <c r="H236" s="24"/>
      <c r="I236" s="28"/>
      <c r="J236" s="28"/>
    </row>
    <row r="237">
      <c r="H237" s="24"/>
      <c r="I237" s="28"/>
      <c r="J237" s="28"/>
    </row>
    <row r="238">
      <c r="H238" s="24"/>
      <c r="I238" s="28"/>
      <c r="J238" s="28"/>
    </row>
    <row r="239">
      <c r="H239" s="24"/>
      <c r="I239" s="28"/>
      <c r="J239" s="28"/>
    </row>
    <row r="240">
      <c r="H240" s="24"/>
      <c r="I240" s="28"/>
      <c r="J240" s="28"/>
    </row>
    <row r="241">
      <c r="H241" s="24"/>
      <c r="I241" s="28"/>
      <c r="J241" s="28"/>
    </row>
    <row r="242">
      <c r="H242" s="24"/>
      <c r="I242" s="28"/>
      <c r="J242" s="28"/>
    </row>
    <row r="243">
      <c r="H243" s="24"/>
      <c r="I243" s="28"/>
      <c r="J243" s="28"/>
    </row>
    <row r="244">
      <c r="H244" s="24"/>
      <c r="I244" s="50"/>
      <c r="J244" s="93"/>
    </row>
    <row r="245">
      <c r="H245" s="24"/>
      <c r="I245" s="28"/>
      <c r="J245" s="28"/>
    </row>
    <row r="246">
      <c r="H246" s="24"/>
      <c r="I246" s="50"/>
      <c r="J246" s="93"/>
    </row>
    <row r="247">
      <c r="H247" s="24"/>
      <c r="I247" s="50"/>
      <c r="J247" s="93"/>
    </row>
    <row r="248">
      <c r="H248" s="24"/>
      <c r="I248" s="50"/>
      <c r="J248" s="93"/>
    </row>
    <row r="249">
      <c r="H249" s="24"/>
      <c r="I249" s="50"/>
      <c r="J249" s="93"/>
    </row>
    <row r="250">
      <c r="H250" s="24"/>
      <c r="I250" s="50"/>
      <c r="J250" s="93"/>
    </row>
    <row r="251">
      <c r="H251" s="24"/>
      <c r="I251" s="50"/>
      <c r="J251" s="93"/>
    </row>
    <row r="252">
      <c r="H252" s="24"/>
      <c r="I252" s="94"/>
      <c r="J252" s="95"/>
    </row>
    <row r="253">
      <c r="H253" s="24"/>
      <c r="I253" s="50"/>
      <c r="J253" s="93"/>
    </row>
    <row r="254">
      <c r="H254" s="24"/>
      <c r="I254" s="28"/>
      <c r="J254" s="28"/>
    </row>
    <row r="255">
      <c r="H255" s="24"/>
      <c r="I255" s="28"/>
      <c r="J255" s="28"/>
    </row>
    <row r="256">
      <c r="H256" s="24"/>
      <c r="I256" s="28"/>
      <c r="J256" s="28"/>
    </row>
    <row r="257">
      <c r="H257" s="24"/>
      <c r="I257" s="28"/>
      <c r="J257" s="28"/>
    </row>
    <row r="258">
      <c r="H258" s="24"/>
      <c r="I258" s="28"/>
      <c r="J258" s="28"/>
    </row>
    <row r="259">
      <c r="H259" s="24"/>
      <c r="I259" s="50"/>
      <c r="J259" s="93"/>
    </row>
    <row r="260">
      <c r="H260" s="24"/>
      <c r="I260" s="28"/>
      <c r="J260" s="28"/>
    </row>
    <row r="261">
      <c r="H261" s="24"/>
      <c r="I261" s="28"/>
      <c r="J261" s="28"/>
    </row>
    <row r="262">
      <c r="H262" s="24"/>
      <c r="I262" s="50"/>
      <c r="J262" s="93"/>
    </row>
    <row r="263">
      <c r="H263" s="24"/>
      <c r="I263" s="28"/>
      <c r="J263" s="28"/>
    </row>
    <row r="264">
      <c r="H264" s="24"/>
      <c r="I264" s="28"/>
      <c r="J264" s="28"/>
    </row>
    <row r="265">
      <c r="H265" s="24"/>
      <c r="I265" s="50"/>
      <c r="J265" s="93"/>
    </row>
    <row r="266">
      <c r="H266" s="24"/>
      <c r="I266" s="28"/>
      <c r="J266" s="28"/>
    </row>
    <row r="267">
      <c r="H267" s="24"/>
      <c r="I267" s="28"/>
      <c r="J267" s="28"/>
    </row>
    <row r="268">
      <c r="H268" s="24"/>
      <c r="I268" s="28"/>
      <c r="J268" s="28"/>
    </row>
    <row r="269">
      <c r="H269" s="24"/>
      <c r="I269" s="28"/>
      <c r="J269" s="28"/>
    </row>
    <row r="270">
      <c r="H270" s="24"/>
      <c r="I270" s="50"/>
      <c r="J270" s="93"/>
    </row>
    <row r="271">
      <c r="H271" s="24"/>
      <c r="I271" s="50"/>
      <c r="J271" s="93"/>
    </row>
    <row r="272">
      <c r="H272" s="24"/>
      <c r="I272" s="28"/>
      <c r="J272" s="28"/>
    </row>
    <row r="273">
      <c r="H273" s="24"/>
      <c r="I273" s="28"/>
      <c r="J273" s="28"/>
    </row>
    <row r="274">
      <c r="H274" s="24"/>
      <c r="I274" s="50"/>
      <c r="J274" s="93"/>
    </row>
    <row r="275">
      <c r="H275" s="24"/>
      <c r="I275" s="50"/>
      <c r="J275" s="93"/>
    </row>
    <row r="276">
      <c r="H276" s="24"/>
      <c r="I276" s="50"/>
      <c r="J276" s="93"/>
    </row>
    <row r="277">
      <c r="H277" s="24"/>
      <c r="I277" s="50"/>
      <c r="J277" s="93"/>
    </row>
    <row r="278">
      <c r="H278" s="24"/>
      <c r="I278" s="50"/>
      <c r="J278" s="93"/>
    </row>
    <row r="279">
      <c r="H279" s="24"/>
      <c r="I279" s="50"/>
      <c r="J279" s="93"/>
    </row>
    <row r="280">
      <c r="H280" s="24"/>
      <c r="I280" s="50"/>
      <c r="J280" s="93"/>
    </row>
    <row r="281">
      <c r="H281" s="24"/>
      <c r="I281" s="50"/>
      <c r="J281" s="93"/>
    </row>
    <row r="282">
      <c r="H282" s="24"/>
      <c r="I282" s="50"/>
      <c r="J282" s="93"/>
    </row>
    <row r="283">
      <c r="H283" s="24"/>
      <c r="I283" s="50"/>
      <c r="J283" s="93"/>
    </row>
    <row r="284">
      <c r="H284" s="24"/>
      <c r="I284" s="50"/>
      <c r="J284" s="93"/>
    </row>
    <row r="285">
      <c r="H285" s="24"/>
      <c r="I285" s="50"/>
      <c r="J285" s="93"/>
    </row>
    <row r="286">
      <c r="H286" s="24"/>
      <c r="I286" s="50"/>
      <c r="J286" s="93"/>
    </row>
    <row r="287">
      <c r="H287" s="24"/>
      <c r="I287" s="50"/>
      <c r="J287" s="93"/>
    </row>
    <row r="288">
      <c r="H288" s="24"/>
      <c r="I288" s="50"/>
      <c r="J288" s="93"/>
    </row>
    <row r="289">
      <c r="H289" s="24"/>
      <c r="I289" s="50"/>
      <c r="J289" s="93"/>
    </row>
    <row r="290">
      <c r="H290" s="24"/>
      <c r="I290" s="28"/>
      <c r="J290" s="28"/>
    </row>
    <row r="291">
      <c r="H291" s="24"/>
      <c r="I291" s="28"/>
      <c r="J291" s="28"/>
    </row>
    <row r="292">
      <c r="H292" s="24"/>
      <c r="I292" s="28"/>
      <c r="J292" s="28"/>
    </row>
    <row r="293">
      <c r="H293" s="24"/>
      <c r="I293" s="28"/>
      <c r="J293" s="28"/>
    </row>
    <row r="294">
      <c r="H294" s="24"/>
      <c r="I294" s="28"/>
      <c r="J294" s="28"/>
    </row>
    <row r="295">
      <c r="H295" s="24"/>
      <c r="I295" s="28"/>
      <c r="J295" s="28"/>
    </row>
    <row r="296">
      <c r="H296" s="24"/>
      <c r="I296" s="28"/>
      <c r="J296" s="28"/>
    </row>
    <row r="297">
      <c r="H297" s="24"/>
      <c r="I297" s="28"/>
      <c r="J297" s="28"/>
    </row>
    <row r="298">
      <c r="H298" s="24"/>
      <c r="I298" s="28"/>
      <c r="J298" s="28"/>
    </row>
    <row r="299">
      <c r="H299" s="24"/>
      <c r="I299" s="50"/>
      <c r="J299" s="93"/>
    </row>
    <row r="300">
      <c r="H300" s="24"/>
      <c r="I300" s="50"/>
      <c r="J300" s="93"/>
    </row>
    <row r="301">
      <c r="H301" s="24"/>
      <c r="I301" s="50"/>
      <c r="J301" s="93"/>
    </row>
    <row r="302">
      <c r="H302" s="24"/>
      <c r="I302" s="50"/>
      <c r="J302" s="93"/>
    </row>
    <row r="303">
      <c r="H303" s="24"/>
      <c r="I303" s="50"/>
      <c r="J303" s="93"/>
    </row>
    <row r="304">
      <c r="H304" s="24"/>
      <c r="I304" s="50"/>
      <c r="J304" s="93"/>
    </row>
    <row r="305">
      <c r="H305" s="24"/>
      <c r="I305" s="50"/>
      <c r="J305" s="93"/>
    </row>
    <row r="306">
      <c r="H306" s="24"/>
      <c r="I306" s="50"/>
      <c r="J306" s="93"/>
    </row>
    <row r="307">
      <c r="H307" s="24"/>
      <c r="I307" s="28"/>
      <c r="J307" s="28"/>
    </row>
    <row r="308">
      <c r="H308" s="24"/>
      <c r="I308" s="50"/>
      <c r="J308" s="93"/>
    </row>
    <row r="309">
      <c r="H309" s="24"/>
      <c r="I309" s="50"/>
      <c r="J309" s="93"/>
    </row>
    <row r="310">
      <c r="H310" s="24"/>
      <c r="I310" s="50"/>
      <c r="J310" s="93"/>
    </row>
    <row r="311">
      <c r="H311" s="24"/>
      <c r="I311" s="50"/>
      <c r="J311" s="93"/>
    </row>
    <row r="312">
      <c r="H312" s="24"/>
      <c r="I312" s="50"/>
      <c r="J312" s="93"/>
    </row>
    <row r="313">
      <c r="H313" s="24"/>
      <c r="I313" s="50"/>
      <c r="J313" s="93"/>
    </row>
    <row r="314">
      <c r="H314" s="24"/>
      <c r="I314" s="50"/>
      <c r="J314" s="93"/>
    </row>
    <row r="315">
      <c r="H315" s="24"/>
      <c r="I315" s="28"/>
      <c r="J315" s="28"/>
    </row>
    <row r="316">
      <c r="H316" s="24"/>
      <c r="I316" s="28"/>
      <c r="J316" s="28"/>
    </row>
    <row r="317">
      <c r="H317" s="24"/>
      <c r="I317" s="50"/>
      <c r="J317" s="93"/>
    </row>
    <row r="318">
      <c r="H318" s="24"/>
      <c r="I318" s="28"/>
      <c r="J318" s="28"/>
    </row>
    <row r="319">
      <c r="H319" s="24"/>
      <c r="I319" s="50"/>
      <c r="J319" s="93"/>
    </row>
    <row r="320">
      <c r="H320" s="24"/>
      <c r="I320" s="28"/>
      <c r="J320" s="28"/>
    </row>
    <row r="321">
      <c r="H321" s="24"/>
      <c r="I321" s="50"/>
      <c r="J321" s="93"/>
    </row>
    <row r="322">
      <c r="H322" s="24"/>
      <c r="I322" s="50"/>
      <c r="J322" s="93"/>
    </row>
    <row r="323">
      <c r="H323" s="24"/>
      <c r="I323" s="28"/>
      <c r="J323" s="28"/>
    </row>
    <row r="324">
      <c r="H324" s="24"/>
      <c r="I324" s="28"/>
      <c r="J324" s="28"/>
    </row>
    <row r="325">
      <c r="H325" s="24"/>
      <c r="I325" s="28"/>
      <c r="J325" s="28"/>
    </row>
    <row r="326">
      <c r="H326" s="24"/>
      <c r="I326" s="28"/>
      <c r="J326" s="28"/>
    </row>
    <row r="327">
      <c r="H327" s="24"/>
      <c r="I327" s="28"/>
      <c r="J327" s="28"/>
    </row>
    <row r="328">
      <c r="H328" s="24"/>
      <c r="I328" s="28"/>
      <c r="J328" s="28"/>
    </row>
    <row r="329">
      <c r="H329" s="24"/>
      <c r="I329" s="28"/>
      <c r="J329" s="28"/>
    </row>
    <row r="330">
      <c r="H330" s="24"/>
      <c r="I330" s="28"/>
      <c r="J330" s="28"/>
    </row>
    <row r="331">
      <c r="H331" s="24"/>
      <c r="I331" s="28"/>
      <c r="J331" s="28"/>
    </row>
    <row r="332">
      <c r="H332" s="24"/>
      <c r="I332" s="28"/>
      <c r="J332" s="28"/>
    </row>
    <row r="333">
      <c r="H333" s="24"/>
      <c r="I333" s="28"/>
      <c r="J333" s="28"/>
    </row>
    <row r="334">
      <c r="H334" s="24"/>
      <c r="I334" s="28"/>
      <c r="J334" s="28"/>
    </row>
    <row r="335">
      <c r="H335" s="24"/>
      <c r="I335" s="28"/>
      <c r="J335" s="28"/>
    </row>
    <row r="336">
      <c r="H336" s="24"/>
      <c r="I336" s="28"/>
      <c r="J336" s="28"/>
    </row>
    <row r="337">
      <c r="H337" s="24"/>
      <c r="I337" s="28"/>
      <c r="J337" s="28"/>
    </row>
    <row r="338">
      <c r="H338" s="24"/>
      <c r="I338" s="50"/>
      <c r="J338" s="93"/>
    </row>
    <row r="339">
      <c r="H339" s="24"/>
      <c r="I339" s="28"/>
      <c r="J339" s="28"/>
    </row>
    <row r="340">
      <c r="H340" s="24"/>
      <c r="I340" s="50"/>
      <c r="J340" s="93"/>
    </row>
    <row r="341">
      <c r="H341" s="24"/>
      <c r="I341" s="50"/>
      <c r="J341" s="93"/>
    </row>
    <row r="342">
      <c r="H342" s="24"/>
      <c r="I342" s="50"/>
      <c r="J342" s="93"/>
    </row>
    <row r="343">
      <c r="H343" s="24"/>
      <c r="I343" s="50"/>
      <c r="J343" s="93"/>
    </row>
    <row r="344">
      <c r="H344" s="24"/>
      <c r="I344" s="50"/>
      <c r="J344" s="93"/>
    </row>
    <row r="345">
      <c r="H345" s="24"/>
      <c r="I345" s="50"/>
      <c r="J345" s="93"/>
    </row>
    <row r="346">
      <c r="H346" s="24"/>
      <c r="I346" s="50"/>
      <c r="J346" s="93"/>
    </row>
    <row r="347">
      <c r="H347" s="24"/>
      <c r="I347" s="50"/>
      <c r="J347" s="93"/>
    </row>
    <row r="348">
      <c r="H348" s="24"/>
      <c r="I348" s="28"/>
      <c r="J348" s="28"/>
    </row>
    <row r="349">
      <c r="H349" s="24"/>
      <c r="I349" s="28"/>
      <c r="J349" s="28"/>
    </row>
    <row r="350">
      <c r="H350" s="24"/>
      <c r="I350" s="50"/>
      <c r="J350" s="93"/>
    </row>
    <row r="351">
      <c r="H351" s="24"/>
      <c r="I351" s="50"/>
      <c r="J351" s="93"/>
    </row>
    <row r="352">
      <c r="H352" s="24"/>
      <c r="I352" s="50"/>
      <c r="J352" s="93"/>
    </row>
    <row r="353">
      <c r="H353" s="24"/>
      <c r="I353" s="50"/>
      <c r="J353" s="93"/>
    </row>
    <row r="354">
      <c r="H354" s="24"/>
      <c r="I354" s="28"/>
      <c r="J354" s="28"/>
    </row>
    <row r="355">
      <c r="H355" s="24"/>
      <c r="I355" s="28"/>
      <c r="J355" s="28"/>
    </row>
    <row r="356">
      <c r="H356" s="24"/>
      <c r="I356" s="50"/>
      <c r="J356" s="93"/>
    </row>
    <row r="357">
      <c r="H357" s="24"/>
      <c r="I357" s="28"/>
      <c r="J357" s="28"/>
    </row>
    <row r="358">
      <c r="H358" s="24"/>
      <c r="I358" s="50"/>
      <c r="J358" s="93"/>
    </row>
    <row r="359">
      <c r="H359" s="24"/>
      <c r="I359" s="50"/>
      <c r="J359" s="93"/>
    </row>
    <row r="360">
      <c r="H360" s="24"/>
      <c r="I360" s="50"/>
      <c r="J360" s="93"/>
    </row>
    <row r="361">
      <c r="H361" s="24"/>
      <c r="I361" s="50"/>
      <c r="J361" s="93"/>
    </row>
    <row r="362">
      <c r="H362" s="24"/>
      <c r="I362" s="50"/>
      <c r="J362" s="93"/>
    </row>
    <row r="363">
      <c r="H363" s="24"/>
      <c r="I363" s="50"/>
      <c r="J363" s="93"/>
    </row>
    <row r="364">
      <c r="H364" s="24"/>
      <c r="I364" s="50"/>
      <c r="J364" s="93"/>
    </row>
    <row r="365">
      <c r="H365" s="24"/>
      <c r="I365" s="50"/>
      <c r="J365" s="93"/>
    </row>
    <row r="366">
      <c r="H366" s="24"/>
      <c r="I366" s="50"/>
      <c r="J366" s="93"/>
    </row>
    <row r="367">
      <c r="H367" s="24"/>
      <c r="I367" s="50"/>
      <c r="J367" s="93"/>
    </row>
    <row r="368">
      <c r="H368" s="24"/>
      <c r="I368" s="28"/>
      <c r="J368" s="28"/>
    </row>
    <row r="369">
      <c r="H369" s="24"/>
      <c r="I369" s="28"/>
      <c r="J369" s="28"/>
    </row>
    <row r="370">
      <c r="H370" s="24"/>
      <c r="I370" s="28"/>
      <c r="J370" s="28"/>
    </row>
    <row r="371">
      <c r="H371" s="24"/>
      <c r="I371" s="50"/>
      <c r="J371" s="93"/>
    </row>
    <row r="372">
      <c r="H372" s="24"/>
      <c r="I372" s="28"/>
      <c r="J372" s="28"/>
    </row>
    <row r="373">
      <c r="H373" s="24"/>
      <c r="I373" s="28"/>
      <c r="J373" s="28"/>
    </row>
    <row r="374">
      <c r="H374" s="24"/>
      <c r="I374" s="50"/>
      <c r="J374" s="93"/>
    </row>
    <row r="375">
      <c r="H375" s="24"/>
      <c r="I375" s="50"/>
      <c r="J375" s="93"/>
    </row>
    <row r="376">
      <c r="H376" s="24"/>
      <c r="I376" s="50"/>
      <c r="J376" s="93"/>
    </row>
    <row r="377">
      <c r="H377" s="24"/>
      <c r="I377" s="50"/>
      <c r="J377" s="93"/>
    </row>
    <row r="378">
      <c r="H378" s="24"/>
      <c r="I378" s="50"/>
      <c r="J378" s="93"/>
    </row>
    <row r="379">
      <c r="H379" s="24"/>
      <c r="I379" s="28"/>
      <c r="J379" s="28"/>
    </row>
    <row r="380">
      <c r="H380" s="24"/>
      <c r="I380" s="50"/>
      <c r="J380" s="93"/>
    </row>
    <row r="381">
      <c r="H381" s="24"/>
      <c r="I381" s="28"/>
      <c r="J381" s="28"/>
    </row>
    <row r="382">
      <c r="H382" s="24"/>
      <c r="I382" s="50"/>
      <c r="J382" s="93"/>
    </row>
    <row r="383">
      <c r="H383" s="24"/>
      <c r="I383" s="50"/>
      <c r="J383" s="93"/>
    </row>
    <row r="384">
      <c r="H384" s="24"/>
      <c r="I384" s="50"/>
      <c r="J384" s="93"/>
    </row>
    <row r="385">
      <c r="H385" s="24"/>
      <c r="I385" s="50"/>
      <c r="J385" s="93"/>
    </row>
    <row r="386">
      <c r="H386" s="24"/>
      <c r="I386" s="28"/>
      <c r="J386" s="28"/>
    </row>
    <row r="387">
      <c r="H387" s="24"/>
      <c r="I387" s="28"/>
      <c r="J387" s="28"/>
    </row>
    <row r="388">
      <c r="H388" s="24"/>
      <c r="I388" s="28"/>
      <c r="J388" s="28"/>
    </row>
    <row r="389">
      <c r="H389" s="24"/>
      <c r="I389" s="28"/>
      <c r="J389" s="28"/>
    </row>
    <row r="390">
      <c r="H390" s="24"/>
      <c r="I390" s="28"/>
      <c r="J390" s="28"/>
    </row>
    <row r="391">
      <c r="H391" s="24"/>
      <c r="I391" s="28"/>
      <c r="J391" s="28"/>
    </row>
    <row r="392">
      <c r="H392" s="24"/>
      <c r="I392" s="28"/>
      <c r="J392" s="28"/>
    </row>
    <row r="393">
      <c r="H393" s="24"/>
      <c r="I393" s="28"/>
      <c r="J393" s="28"/>
    </row>
    <row r="394">
      <c r="H394" s="24"/>
      <c r="I394" s="28"/>
      <c r="J394" s="28"/>
    </row>
    <row r="395">
      <c r="H395" s="24"/>
      <c r="I395" s="28"/>
      <c r="J395" s="28"/>
    </row>
    <row r="396">
      <c r="H396" s="24"/>
      <c r="I396" s="28"/>
      <c r="J396" s="28"/>
    </row>
    <row r="397">
      <c r="H397" s="24"/>
      <c r="I397" s="28"/>
      <c r="J397" s="28"/>
    </row>
    <row r="398">
      <c r="H398" s="24"/>
      <c r="I398" s="28"/>
      <c r="J398" s="28"/>
    </row>
    <row r="399">
      <c r="H399" s="24"/>
      <c r="I399" s="28"/>
      <c r="J399" s="28"/>
    </row>
    <row r="400">
      <c r="H400" s="24"/>
      <c r="I400" s="28"/>
      <c r="J400" s="28"/>
    </row>
    <row r="401">
      <c r="H401" s="24"/>
      <c r="I401" s="28"/>
      <c r="J401" s="28"/>
    </row>
    <row r="402">
      <c r="H402" s="24"/>
      <c r="I402" s="28"/>
      <c r="J402" s="28"/>
    </row>
    <row r="403">
      <c r="H403" s="24"/>
      <c r="I403" s="28"/>
      <c r="J403" s="28"/>
    </row>
    <row r="404">
      <c r="H404" s="24"/>
      <c r="I404" s="28"/>
      <c r="J404" s="28"/>
    </row>
    <row r="405">
      <c r="H405" s="24"/>
      <c r="I405" s="28"/>
      <c r="J405" s="28"/>
    </row>
    <row r="406">
      <c r="H406" s="24"/>
      <c r="I406" s="28"/>
      <c r="J406" s="28"/>
    </row>
    <row r="407">
      <c r="H407" s="24"/>
      <c r="I407" s="28"/>
      <c r="J407" s="28"/>
    </row>
    <row r="408">
      <c r="H408" s="24"/>
      <c r="I408" s="28"/>
      <c r="J408" s="28"/>
    </row>
    <row r="409">
      <c r="H409" s="24"/>
      <c r="I409" s="28"/>
      <c r="J409" s="28"/>
    </row>
    <row r="410">
      <c r="H410" s="24"/>
      <c r="I410" s="28"/>
      <c r="J410" s="28"/>
    </row>
    <row r="411">
      <c r="H411" s="24"/>
      <c r="I411" s="28"/>
      <c r="J411" s="28"/>
    </row>
    <row r="412">
      <c r="H412" s="24"/>
      <c r="I412" s="28"/>
      <c r="J412" s="28"/>
    </row>
    <row r="413">
      <c r="H413" s="24"/>
      <c r="I413" s="28"/>
      <c r="J413" s="28"/>
    </row>
    <row r="414">
      <c r="H414" s="24"/>
      <c r="I414" s="28"/>
      <c r="J414" s="28"/>
    </row>
    <row r="415">
      <c r="H415" s="24"/>
      <c r="I415" s="28"/>
      <c r="J415" s="28"/>
    </row>
    <row r="416">
      <c r="H416" s="24"/>
      <c r="I416" s="28"/>
      <c r="J416" s="28"/>
    </row>
    <row r="417">
      <c r="H417" s="24"/>
      <c r="I417" s="28"/>
      <c r="J417" s="28"/>
    </row>
    <row r="418">
      <c r="H418" s="24"/>
      <c r="I418" s="28"/>
      <c r="J418" s="28"/>
    </row>
    <row r="419">
      <c r="H419" s="24"/>
      <c r="I419" s="28"/>
      <c r="J419" s="28"/>
    </row>
    <row r="420">
      <c r="H420" s="24"/>
      <c r="I420" s="28"/>
      <c r="J420" s="28"/>
    </row>
    <row r="421">
      <c r="H421" s="24"/>
      <c r="I421" s="28"/>
      <c r="J421" s="28"/>
    </row>
    <row r="422">
      <c r="H422" s="24"/>
      <c r="I422" s="28"/>
      <c r="J422" s="28"/>
    </row>
    <row r="423">
      <c r="H423" s="24"/>
      <c r="I423" s="28"/>
      <c r="J423" s="28"/>
    </row>
    <row r="424">
      <c r="H424" s="24"/>
      <c r="I424" s="28"/>
      <c r="J424" s="28"/>
    </row>
    <row r="425">
      <c r="H425" s="24"/>
      <c r="I425" s="28"/>
      <c r="J425" s="28"/>
    </row>
    <row r="426">
      <c r="H426" s="24"/>
      <c r="I426" s="28"/>
      <c r="J426" s="28"/>
    </row>
    <row r="427">
      <c r="H427" s="24"/>
      <c r="I427" s="28"/>
      <c r="J427" s="28"/>
    </row>
    <row r="428">
      <c r="H428" s="24"/>
      <c r="I428" s="28"/>
      <c r="J428" s="28"/>
    </row>
    <row r="429">
      <c r="H429" s="24"/>
      <c r="I429" s="28"/>
      <c r="J429" s="28"/>
    </row>
    <row r="430">
      <c r="H430" s="24"/>
      <c r="I430" s="28"/>
      <c r="J430" s="28"/>
    </row>
    <row r="431">
      <c r="H431" s="24"/>
      <c r="I431" s="28"/>
      <c r="J431" s="28"/>
    </row>
    <row r="432">
      <c r="H432" s="24"/>
      <c r="I432" s="28"/>
      <c r="J432" s="28"/>
    </row>
    <row r="433">
      <c r="H433" s="24"/>
      <c r="I433" s="28"/>
      <c r="J433" s="28"/>
    </row>
    <row r="434">
      <c r="H434" s="24"/>
      <c r="I434" s="28"/>
      <c r="J434" s="28"/>
    </row>
    <row r="435">
      <c r="H435" s="24"/>
      <c r="I435" s="28"/>
      <c r="J435" s="28"/>
    </row>
    <row r="436">
      <c r="H436" s="24"/>
      <c r="I436" s="28"/>
      <c r="J436" s="28"/>
    </row>
    <row r="437">
      <c r="H437" s="24"/>
      <c r="I437" s="28"/>
      <c r="J437" s="28"/>
    </row>
    <row r="438">
      <c r="H438" s="24"/>
      <c r="I438" s="28"/>
      <c r="J438" s="28"/>
    </row>
    <row r="439">
      <c r="H439" s="24"/>
      <c r="I439" s="28"/>
      <c r="J439" s="28"/>
    </row>
    <row r="440">
      <c r="H440" s="24"/>
      <c r="I440" s="28"/>
      <c r="J440" s="28"/>
    </row>
    <row r="441">
      <c r="H441" s="24"/>
      <c r="I441" s="28"/>
      <c r="J441" s="28"/>
    </row>
    <row r="442">
      <c r="H442" s="24"/>
      <c r="I442" s="28"/>
      <c r="J442" s="28"/>
    </row>
    <row r="443">
      <c r="H443" s="24"/>
      <c r="I443" s="28"/>
      <c r="J443" s="28"/>
    </row>
    <row r="444">
      <c r="H444" s="24"/>
      <c r="I444" s="28"/>
      <c r="J444" s="28"/>
    </row>
    <row r="445">
      <c r="H445" s="24"/>
      <c r="I445" s="28"/>
      <c r="J445" s="28"/>
    </row>
    <row r="446">
      <c r="H446" s="24"/>
      <c r="I446" s="28"/>
      <c r="J446" s="28"/>
    </row>
    <row r="447">
      <c r="H447" s="24"/>
      <c r="I447" s="28"/>
      <c r="J447" s="28"/>
    </row>
    <row r="448">
      <c r="H448" s="24"/>
      <c r="I448" s="28"/>
      <c r="J448" s="28"/>
    </row>
    <row r="449">
      <c r="H449" s="24"/>
      <c r="I449" s="28"/>
      <c r="J449" s="28"/>
    </row>
    <row r="450">
      <c r="H450" s="24"/>
      <c r="I450" s="28"/>
      <c r="J450" s="28"/>
    </row>
    <row r="451">
      <c r="H451" s="24"/>
      <c r="I451" s="28"/>
      <c r="J451" s="28"/>
    </row>
    <row r="452">
      <c r="H452" s="24"/>
      <c r="I452" s="28"/>
      <c r="J452" s="28"/>
    </row>
    <row r="453">
      <c r="H453" s="24"/>
      <c r="I453" s="28"/>
      <c r="J453" s="28"/>
    </row>
    <row r="454">
      <c r="H454" s="24"/>
      <c r="I454" s="28"/>
      <c r="J454" s="28"/>
    </row>
    <row r="455">
      <c r="H455" s="24"/>
      <c r="I455" s="28"/>
      <c r="J455" s="28"/>
    </row>
    <row r="456">
      <c r="H456" s="24"/>
      <c r="I456" s="28"/>
      <c r="J456" s="28"/>
    </row>
    <row r="457">
      <c r="H457" s="24"/>
      <c r="I457" s="28"/>
      <c r="J457" s="28"/>
    </row>
    <row r="458">
      <c r="H458" s="24"/>
      <c r="I458" s="28"/>
      <c r="J458" s="28"/>
    </row>
    <row r="459">
      <c r="H459" s="24"/>
      <c r="I459" s="28"/>
      <c r="J459" s="28"/>
    </row>
    <row r="460">
      <c r="H460" s="24"/>
      <c r="I460" s="28"/>
      <c r="J460" s="28"/>
    </row>
    <row r="461">
      <c r="H461" s="24"/>
      <c r="I461" s="28"/>
      <c r="J461" s="28"/>
    </row>
    <row r="462">
      <c r="H462" s="24"/>
      <c r="I462" s="28"/>
      <c r="J462" s="28"/>
    </row>
    <row r="463">
      <c r="H463" s="24"/>
      <c r="I463" s="28"/>
      <c r="J463" s="28"/>
    </row>
    <row r="464">
      <c r="H464" s="24"/>
      <c r="I464" s="28"/>
      <c r="J464" s="28"/>
    </row>
    <row r="465">
      <c r="H465" s="24"/>
      <c r="I465" s="28"/>
      <c r="J465" s="28"/>
    </row>
    <row r="466">
      <c r="H466" s="24"/>
      <c r="I466" s="28"/>
      <c r="J466" s="28"/>
    </row>
    <row r="467">
      <c r="H467" s="24"/>
      <c r="I467" s="28"/>
      <c r="J467" s="28"/>
    </row>
    <row r="468">
      <c r="H468" s="24"/>
      <c r="I468" s="28"/>
      <c r="J468" s="28"/>
    </row>
    <row r="469">
      <c r="H469" s="24"/>
      <c r="I469" s="28"/>
      <c r="J469" s="28"/>
    </row>
    <row r="470">
      <c r="H470" s="24"/>
      <c r="I470" s="28"/>
      <c r="J470" s="28"/>
    </row>
    <row r="471">
      <c r="H471" s="24"/>
      <c r="I471" s="28"/>
      <c r="J471" s="28"/>
    </row>
    <row r="472">
      <c r="H472" s="24"/>
      <c r="I472" s="28"/>
      <c r="J472" s="28"/>
    </row>
    <row r="473">
      <c r="H473" s="24"/>
      <c r="I473" s="28"/>
      <c r="J473" s="28"/>
    </row>
    <row r="474">
      <c r="H474" s="24"/>
      <c r="I474" s="28"/>
      <c r="J474" s="28"/>
    </row>
    <row r="475">
      <c r="H475" s="24"/>
      <c r="I475" s="28"/>
      <c r="J475" s="28"/>
    </row>
    <row r="476">
      <c r="H476" s="24"/>
      <c r="I476" s="28"/>
      <c r="J476" s="28"/>
    </row>
    <row r="477">
      <c r="H477" s="24"/>
      <c r="I477" s="28"/>
      <c r="J477" s="28"/>
    </row>
    <row r="478">
      <c r="H478" s="24"/>
      <c r="I478" s="28"/>
      <c r="J478" s="28"/>
    </row>
    <row r="479">
      <c r="H479" s="24"/>
      <c r="I479" s="28"/>
      <c r="J479" s="28"/>
    </row>
    <row r="480">
      <c r="H480" s="24"/>
      <c r="I480" s="28"/>
      <c r="J480" s="28"/>
    </row>
    <row r="481">
      <c r="H481" s="24"/>
      <c r="I481" s="28"/>
      <c r="J481" s="28"/>
    </row>
    <row r="482">
      <c r="H482" s="24"/>
      <c r="I482" s="28"/>
      <c r="J482" s="28"/>
    </row>
    <row r="483">
      <c r="H483" s="24"/>
      <c r="I483" s="28"/>
      <c r="J483" s="28"/>
    </row>
    <row r="484">
      <c r="H484" s="24"/>
      <c r="I484" s="28"/>
      <c r="J484" s="28"/>
    </row>
    <row r="485">
      <c r="H485" s="24"/>
      <c r="I485" s="28"/>
      <c r="J485" s="28"/>
    </row>
    <row r="486">
      <c r="H486" s="24"/>
      <c r="I486" s="28"/>
      <c r="J486" s="28"/>
    </row>
    <row r="487">
      <c r="H487" s="24"/>
      <c r="I487" s="28"/>
      <c r="J487" s="28"/>
    </row>
    <row r="488">
      <c r="H488" s="24"/>
      <c r="I488" s="28"/>
      <c r="J488" s="28"/>
    </row>
    <row r="489">
      <c r="H489" s="24"/>
      <c r="I489" s="28"/>
      <c r="J489" s="28"/>
    </row>
    <row r="490">
      <c r="H490" s="24"/>
      <c r="I490" s="28"/>
      <c r="J490" s="28"/>
    </row>
    <row r="491">
      <c r="H491" s="24"/>
      <c r="I491" s="28"/>
      <c r="J491" s="28"/>
    </row>
    <row r="492">
      <c r="H492" s="24"/>
      <c r="I492" s="28"/>
      <c r="J492" s="28"/>
    </row>
    <row r="493">
      <c r="H493" s="24"/>
      <c r="I493" s="28"/>
      <c r="J493" s="28"/>
    </row>
    <row r="494">
      <c r="H494" s="24"/>
      <c r="I494" s="28"/>
      <c r="J494" s="28"/>
    </row>
    <row r="495">
      <c r="H495" s="24"/>
      <c r="I495" s="28"/>
      <c r="J495" s="28"/>
    </row>
    <row r="496">
      <c r="H496" s="24"/>
      <c r="I496" s="28"/>
      <c r="J496" s="28"/>
    </row>
    <row r="497">
      <c r="H497" s="24"/>
      <c r="I497" s="28"/>
      <c r="J497" s="28"/>
    </row>
    <row r="498">
      <c r="H498" s="24"/>
      <c r="I498" s="28"/>
      <c r="J498" s="28"/>
    </row>
    <row r="499">
      <c r="H499" s="24"/>
      <c r="I499" s="28"/>
      <c r="J499" s="28"/>
    </row>
    <row r="500">
      <c r="H500" s="24"/>
      <c r="I500" s="28"/>
      <c r="J500" s="28"/>
    </row>
    <row r="501">
      <c r="H501" s="24"/>
      <c r="I501" s="28"/>
      <c r="J501" s="28"/>
    </row>
    <row r="502">
      <c r="H502" s="24"/>
      <c r="I502" s="28"/>
      <c r="J502" s="28"/>
    </row>
    <row r="503">
      <c r="H503" s="24"/>
      <c r="I503" s="28"/>
      <c r="J503" s="28"/>
    </row>
    <row r="504">
      <c r="H504" s="24"/>
      <c r="I504" s="28"/>
      <c r="J504" s="28"/>
    </row>
    <row r="505">
      <c r="H505" s="24"/>
      <c r="I505" s="28"/>
      <c r="J505" s="28"/>
    </row>
    <row r="506">
      <c r="H506" s="24"/>
      <c r="I506" s="28"/>
      <c r="J506" s="28"/>
    </row>
    <row r="507">
      <c r="H507" s="24"/>
      <c r="I507" s="28"/>
      <c r="J507" s="28"/>
    </row>
    <row r="508">
      <c r="H508" s="24"/>
      <c r="I508" s="28"/>
      <c r="J508" s="28"/>
    </row>
    <row r="509">
      <c r="H509" s="24"/>
      <c r="I509" s="28"/>
      <c r="J509" s="28"/>
    </row>
    <row r="510">
      <c r="H510" s="24"/>
      <c r="I510" s="28"/>
      <c r="J510" s="28"/>
    </row>
    <row r="511">
      <c r="H511" s="24"/>
      <c r="I511" s="28"/>
      <c r="J511" s="28"/>
    </row>
    <row r="512">
      <c r="H512" s="24"/>
      <c r="I512" s="28"/>
      <c r="J512" s="28"/>
    </row>
    <row r="513">
      <c r="H513" s="24"/>
      <c r="I513" s="28"/>
      <c r="J513" s="28"/>
    </row>
    <row r="514">
      <c r="H514" s="24"/>
      <c r="I514" s="28"/>
      <c r="J514" s="28"/>
    </row>
    <row r="515">
      <c r="H515" s="24"/>
      <c r="I515" s="28"/>
      <c r="J515" s="28"/>
    </row>
    <row r="516">
      <c r="H516" s="24"/>
      <c r="I516" s="28"/>
      <c r="J516" s="28"/>
    </row>
    <row r="517">
      <c r="H517" s="24"/>
      <c r="I517" s="28"/>
      <c r="J517" s="28"/>
    </row>
    <row r="518">
      <c r="H518" s="24"/>
      <c r="I518" s="28"/>
      <c r="J518" s="28"/>
    </row>
    <row r="519">
      <c r="H519" s="24"/>
      <c r="I519" s="28"/>
      <c r="J519" s="28"/>
    </row>
    <row r="520">
      <c r="H520" s="24"/>
      <c r="I520" s="28"/>
      <c r="J520" s="28"/>
    </row>
    <row r="521">
      <c r="H521" s="24"/>
      <c r="I521" s="28"/>
      <c r="J521" s="28"/>
    </row>
    <row r="522">
      <c r="H522" s="24"/>
      <c r="I522" s="28"/>
      <c r="J522" s="28"/>
    </row>
    <row r="523">
      <c r="H523" s="24"/>
      <c r="I523" s="28"/>
      <c r="J523" s="28"/>
    </row>
    <row r="524">
      <c r="H524" s="24"/>
      <c r="I524" s="28"/>
      <c r="J524" s="28"/>
    </row>
    <row r="525">
      <c r="H525" s="24"/>
      <c r="I525" s="28"/>
      <c r="J525" s="28"/>
    </row>
    <row r="526">
      <c r="H526" s="24"/>
      <c r="I526" s="28"/>
      <c r="J526" s="28"/>
    </row>
    <row r="527">
      <c r="H527" s="24"/>
      <c r="I527" s="28"/>
      <c r="J527" s="28"/>
    </row>
    <row r="528">
      <c r="H528" s="24"/>
      <c r="I528" s="28"/>
      <c r="J528" s="28"/>
    </row>
    <row r="529">
      <c r="H529" s="24"/>
      <c r="I529" s="28"/>
      <c r="J529" s="28"/>
    </row>
    <row r="530">
      <c r="H530" s="24"/>
      <c r="I530" s="28"/>
      <c r="J530" s="28"/>
    </row>
    <row r="531">
      <c r="H531" s="24"/>
      <c r="I531" s="28"/>
      <c r="J531" s="28"/>
    </row>
    <row r="532">
      <c r="H532" s="24"/>
      <c r="I532" s="28"/>
      <c r="J532" s="28"/>
    </row>
    <row r="533">
      <c r="H533" s="24"/>
      <c r="I533" s="28"/>
      <c r="J533" s="28"/>
    </row>
    <row r="534">
      <c r="H534" s="24"/>
      <c r="I534" s="28"/>
      <c r="J534" s="28"/>
    </row>
    <row r="535">
      <c r="H535" s="24"/>
      <c r="I535" s="28"/>
      <c r="J535" s="28"/>
    </row>
    <row r="536">
      <c r="H536" s="24"/>
      <c r="I536" s="28"/>
      <c r="J536" s="28"/>
    </row>
    <row r="537">
      <c r="H537" s="24"/>
      <c r="I537" s="28"/>
      <c r="J537" s="28"/>
    </row>
    <row r="538">
      <c r="H538" s="24"/>
      <c r="I538" s="28"/>
      <c r="J538" s="28"/>
    </row>
    <row r="539">
      <c r="H539" s="24"/>
      <c r="I539" s="28"/>
      <c r="J539" s="28"/>
    </row>
    <row r="540">
      <c r="H540" s="24"/>
      <c r="I540" s="28"/>
      <c r="J540" s="28"/>
    </row>
    <row r="541">
      <c r="H541" s="24"/>
      <c r="I541" s="28"/>
      <c r="J541" s="28"/>
    </row>
    <row r="542">
      <c r="H542" s="24"/>
      <c r="I542" s="28"/>
      <c r="J542" s="28"/>
    </row>
    <row r="543">
      <c r="H543" s="24"/>
      <c r="I543" s="28"/>
      <c r="J543" s="28"/>
    </row>
    <row r="544">
      <c r="H544" s="24"/>
      <c r="I544" s="28"/>
      <c r="J544" s="28"/>
    </row>
    <row r="545">
      <c r="H545" s="24"/>
      <c r="I545" s="28"/>
      <c r="J545" s="28"/>
    </row>
    <row r="546">
      <c r="H546" s="24"/>
      <c r="I546" s="28"/>
      <c r="J546" s="28"/>
    </row>
    <row r="547">
      <c r="H547" s="24"/>
      <c r="I547" s="28"/>
      <c r="J547" s="28"/>
    </row>
    <row r="548">
      <c r="H548" s="24"/>
      <c r="I548" s="28"/>
      <c r="J548" s="28"/>
    </row>
    <row r="549">
      <c r="H549" s="24"/>
      <c r="I549" s="28"/>
      <c r="J549" s="28"/>
    </row>
    <row r="550">
      <c r="H550" s="24"/>
      <c r="I550" s="28"/>
      <c r="J550" s="28"/>
    </row>
    <row r="551">
      <c r="H551" s="24"/>
      <c r="I551" s="28"/>
      <c r="J551" s="28"/>
    </row>
    <row r="552">
      <c r="H552" s="24"/>
      <c r="I552" s="28"/>
      <c r="J552" s="28"/>
    </row>
    <row r="553">
      <c r="H553" s="24"/>
      <c r="I553" s="28"/>
      <c r="J553" s="28"/>
    </row>
    <row r="554">
      <c r="H554" s="24"/>
      <c r="I554" s="28"/>
      <c r="J554" s="28"/>
    </row>
    <row r="555">
      <c r="H555" s="24"/>
      <c r="I555" s="28"/>
      <c r="J555" s="28"/>
    </row>
    <row r="556">
      <c r="H556" s="24"/>
      <c r="I556" s="28"/>
      <c r="J556" s="28"/>
    </row>
    <row r="557">
      <c r="H557" s="24"/>
      <c r="I557" s="28"/>
      <c r="J557" s="28"/>
    </row>
    <row r="558">
      <c r="H558" s="24"/>
      <c r="I558" s="28"/>
      <c r="J558" s="28"/>
    </row>
    <row r="559">
      <c r="H559" s="24"/>
      <c r="I559" s="28"/>
      <c r="J559" s="28"/>
    </row>
    <row r="560">
      <c r="H560" s="24"/>
      <c r="I560" s="28"/>
      <c r="J560" s="28"/>
    </row>
    <row r="561">
      <c r="H561" s="24"/>
      <c r="I561" s="28"/>
      <c r="J561" s="28"/>
    </row>
    <row r="562">
      <c r="H562" s="24"/>
      <c r="I562" s="28"/>
      <c r="J562" s="28"/>
    </row>
    <row r="563">
      <c r="H563" s="24"/>
      <c r="I563" s="28"/>
      <c r="J563" s="28"/>
    </row>
    <row r="564">
      <c r="H564" s="24"/>
      <c r="I564" s="28"/>
      <c r="J564" s="28"/>
    </row>
    <row r="565">
      <c r="H565" s="24"/>
      <c r="I565" s="28"/>
      <c r="J565" s="28"/>
    </row>
    <row r="566">
      <c r="H566" s="24"/>
      <c r="I566" s="28"/>
      <c r="J566" s="28"/>
    </row>
    <row r="567">
      <c r="H567" s="24"/>
      <c r="I567" s="28"/>
      <c r="J567" s="28"/>
    </row>
    <row r="568">
      <c r="H568" s="24"/>
      <c r="I568" s="28"/>
      <c r="J568" s="28"/>
    </row>
    <row r="569">
      <c r="H569" s="24"/>
      <c r="I569" s="28"/>
      <c r="J569" s="28"/>
    </row>
    <row r="570">
      <c r="H570" s="24"/>
      <c r="I570" s="28"/>
      <c r="J570" s="28"/>
    </row>
    <row r="571">
      <c r="H571" s="24"/>
      <c r="I571" s="28"/>
      <c r="J571" s="28"/>
    </row>
    <row r="572">
      <c r="H572" s="24"/>
      <c r="I572" s="28"/>
      <c r="J572" s="28"/>
    </row>
    <row r="573">
      <c r="H573" s="24"/>
      <c r="I573" s="28"/>
      <c r="J573" s="28"/>
    </row>
    <row r="574">
      <c r="H574" s="24"/>
      <c r="I574" s="28"/>
      <c r="J574" s="28"/>
    </row>
    <row r="575">
      <c r="H575" s="24"/>
      <c r="I575" s="28"/>
      <c r="J575" s="28"/>
    </row>
    <row r="576">
      <c r="H576" s="24"/>
      <c r="I576" s="28"/>
      <c r="J576" s="28"/>
    </row>
    <row r="577">
      <c r="H577" s="24"/>
      <c r="I577" s="28"/>
      <c r="J577" s="28"/>
    </row>
    <row r="578">
      <c r="H578" s="24"/>
      <c r="I578" s="28"/>
      <c r="J578" s="28"/>
    </row>
    <row r="579">
      <c r="H579" s="24"/>
      <c r="I579" s="28"/>
      <c r="J579" s="28"/>
    </row>
    <row r="580">
      <c r="H580" s="24"/>
      <c r="I580" s="28"/>
      <c r="J580" s="28"/>
    </row>
    <row r="581">
      <c r="H581" s="24"/>
      <c r="I581" s="28"/>
      <c r="J581" s="28"/>
    </row>
    <row r="582">
      <c r="H582" s="24"/>
      <c r="I582" s="28"/>
      <c r="J582" s="28"/>
    </row>
    <row r="583">
      <c r="H583" s="24"/>
      <c r="I583" s="28"/>
      <c r="J583" s="28"/>
    </row>
    <row r="584">
      <c r="H584" s="24"/>
      <c r="I584" s="28"/>
      <c r="J584" s="28"/>
    </row>
    <row r="585">
      <c r="H585" s="24"/>
      <c r="I585" s="28"/>
      <c r="J585" s="28"/>
    </row>
    <row r="586">
      <c r="H586" s="24"/>
      <c r="I586" s="28"/>
      <c r="J586" s="28"/>
    </row>
    <row r="587">
      <c r="H587" s="24"/>
      <c r="I587" s="28"/>
      <c r="J587" s="28"/>
    </row>
    <row r="588">
      <c r="H588" s="24"/>
      <c r="I588" s="28"/>
      <c r="J588" s="28"/>
    </row>
    <row r="589">
      <c r="H589" s="24"/>
      <c r="I589" s="28"/>
      <c r="J589" s="28"/>
    </row>
    <row r="590">
      <c r="H590" s="24"/>
      <c r="I590" s="28"/>
      <c r="J590" s="28"/>
    </row>
    <row r="591">
      <c r="H591" s="24"/>
      <c r="I591" s="28"/>
      <c r="J591" s="28"/>
    </row>
    <row r="592">
      <c r="H592" s="24"/>
      <c r="I592" s="28"/>
      <c r="J592" s="28"/>
    </row>
    <row r="593">
      <c r="H593" s="24"/>
      <c r="I593" s="28"/>
      <c r="J593" s="28"/>
    </row>
    <row r="594">
      <c r="H594" s="24"/>
      <c r="I594" s="28"/>
      <c r="J594" s="28"/>
    </row>
    <row r="595">
      <c r="H595" s="24"/>
      <c r="I595" s="28"/>
      <c r="J595" s="28"/>
    </row>
    <row r="596">
      <c r="H596" s="24"/>
      <c r="I596" s="28"/>
      <c r="J596" s="28"/>
    </row>
    <row r="597">
      <c r="H597" s="24"/>
      <c r="I597" s="28"/>
      <c r="J597" s="28"/>
    </row>
    <row r="598">
      <c r="H598" s="24"/>
      <c r="I598" s="28"/>
      <c r="J598" s="28"/>
    </row>
    <row r="599">
      <c r="H599" s="24"/>
      <c r="I599" s="28"/>
      <c r="J599" s="28"/>
    </row>
    <row r="600">
      <c r="H600" s="24"/>
      <c r="I600" s="28"/>
      <c r="J600" s="28"/>
    </row>
    <row r="601">
      <c r="H601" s="24"/>
      <c r="I601" s="28"/>
      <c r="J601" s="28"/>
    </row>
    <row r="602">
      <c r="H602" s="24"/>
      <c r="I602" s="28"/>
      <c r="J602" s="28"/>
    </row>
    <row r="603">
      <c r="H603" s="24"/>
      <c r="I603" s="28"/>
      <c r="J603" s="28"/>
    </row>
    <row r="604">
      <c r="H604" s="24"/>
      <c r="I604" s="28"/>
      <c r="J604" s="28"/>
    </row>
    <row r="605">
      <c r="H605" s="24"/>
      <c r="I605" s="28"/>
      <c r="J605" s="28"/>
    </row>
    <row r="606">
      <c r="H606" s="24"/>
      <c r="I606" s="28"/>
      <c r="J606" s="28"/>
    </row>
    <row r="607">
      <c r="H607" s="24"/>
      <c r="I607" s="28"/>
      <c r="J607" s="28"/>
    </row>
    <row r="608">
      <c r="H608" s="24"/>
      <c r="I608" s="28"/>
      <c r="J608" s="28"/>
    </row>
    <row r="609">
      <c r="H609" s="24"/>
      <c r="I609" s="28"/>
      <c r="J609" s="28"/>
    </row>
    <row r="610">
      <c r="H610" s="24"/>
      <c r="I610" s="28"/>
      <c r="J610" s="28"/>
    </row>
    <row r="611">
      <c r="H611" s="24"/>
      <c r="I611" s="28"/>
      <c r="J611" s="28"/>
    </row>
    <row r="612">
      <c r="H612" s="24"/>
      <c r="I612" s="28"/>
      <c r="J612" s="28"/>
    </row>
    <row r="613">
      <c r="H613" s="24"/>
      <c r="I613" s="28"/>
      <c r="J613" s="28"/>
    </row>
    <row r="614">
      <c r="H614" s="24"/>
      <c r="I614" s="28"/>
      <c r="J614" s="28"/>
    </row>
    <row r="615">
      <c r="H615" s="24"/>
      <c r="I615" s="28"/>
      <c r="J615" s="28"/>
    </row>
    <row r="616">
      <c r="H616" s="24"/>
      <c r="I616" s="28"/>
      <c r="J616" s="28"/>
    </row>
    <row r="617">
      <c r="H617" s="24"/>
      <c r="I617" s="28"/>
      <c r="J617" s="28"/>
    </row>
    <row r="618">
      <c r="H618" s="24"/>
      <c r="I618" s="28"/>
      <c r="J618" s="28"/>
    </row>
    <row r="619">
      <c r="H619" s="24"/>
      <c r="I619" s="28"/>
      <c r="J619" s="28"/>
    </row>
    <row r="620">
      <c r="H620" s="24"/>
      <c r="I620" s="28"/>
      <c r="J620" s="28"/>
    </row>
    <row r="621">
      <c r="H621" s="24"/>
      <c r="I621" s="28"/>
      <c r="J621" s="28"/>
    </row>
    <row r="622">
      <c r="H622" s="24"/>
      <c r="I622" s="28"/>
      <c r="J622" s="28"/>
    </row>
    <row r="623">
      <c r="H623" s="24"/>
      <c r="I623" s="28"/>
      <c r="J623" s="28"/>
    </row>
    <row r="624">
      <c r="H624" s="24"/>
      <c r="I624" s="28"/>
      <c r="J624" s="28"/>
    </row>
    <row r="625">
      <c r="H625" s="24"/>
      <c r="I625" s="28"/>
      <c r="J625" s="28"/>
    </row>
    <row r="626">
      <c r="H626" s="24"/>
      <c r="I626" s="28"/>
      <c r="J626" s="28"/>
    </row>
    <row r="627">
      <c r="H627" s="24"/>
      <c r="I627" s="28"/>
      <c r="J627" s="28"/>
    </row>
    <row r="628">
      <c r="H628" s="24"/>
      <c r="I628" s="28"/>
      <c r="J628" s="28"/>
    </row>
    <row r="629">
      <c r="H629" s="24"/>
      <c r="I629" s="28"/>
      <c r="J629" s="28"/>
    </row>
    <row r="630">
      <c r="H630" s="24"/>
      <c r="I630" s="28"/>
      <c r="J630" s="28"/>
    </row>
    <row r="631">
      <c r="H631" s="24"/>
      <c r="I631" s="28"/>
      <c r="J631" s="28"/>
    </row>
    <row r="632">
      <c r="H632" s="24"/>
      <c r="I632" s="28"/>
      <c r="J632" s="28"/>
    </row>
    <row r="633">
      <c r="H633" s="24"/>
      <c r="I633" s="28"/>
      <c r="J633" s="28"/>
    </row>
    <row r="634">
      <c r="H634" s="24"/>
      <c r="I634" s="28"/>
      <c r="J634" s="28"/>
    </row>
    <row r="635">
      <c r="H635" s="24"/>
      <c r="I635" s="28"/>
      <c r="J635" s="28"/>
    </row>
    <row r="636">
      <c r="H636" s="24"/>
      <c r="I636" s="28"/>
      <c r="J636" s="28"/>
    </row>
    <row r="637">
      <c r="H637" s="24"/>
      <c r="I637" s="28"/>
      <c r="J637" s="28"/>
    </row>
    <row r="638">
      <c r="H638" s="24"/>
      <c r="I638" s="28"/>
      <c r="J638" s="28"/>
    </row>
    <row r="639">
      <c r="H639" s="24"/>
      <c r="I639" s="28"/>
      <c r="J639" s="28"/>
    </row>
    <row r="640">
      <c r="H640" s="24"/>
      <c r="I640" s="28"/>
      <c r="J640" s="28"/>
    </row>
    <row r="641">
      <c r="H641" s="24"/>
      <c r="I641" s="28"/>
      <c r="J641" s="28"/>
    </row>
    <row r="642">
      <c r="H642" s="24"/>
      <c r="I642" s="28"/>
      <c r="J642" s="28"/>
    </row>
    <row r="643">
      <c r="H643" s="24"/>
      <c r="I643" s="28"/>
      <c r="J643" s="28"/>
    </row>
    <row r="644">
      <c r="H644" s="24"/>
      <c r="I644" s="28"/>
      <c r="J644" s="28"/>
    </row>
    <row r="645">
      <c r="H645" s="24"/>
      <c r="I645" s="28"/>
      <c r="J645" s="28"/>
    </row>
    <row r="646">
      <c r="H646" s="24"/>
      <c r="I646" s="28"/>
      <c r="J646" s="28"/>
    </row>
    <row r="647">
      <c r="H647" s="24"/>
      <c r="I647" s="28"/>
      <c r="J647" s="28"/>
    </row>
    <row r="648">
      <c r="H648" s="24"/>
      <c r="I648" s="28"/>
      <c r="J648" s="28"/>
    </row>
    <row r="649">
      <c r="H649" s="24"/>
      <c r="I649" s="28"/>
      <c r="J649" s="28"/>
    </row>
    <row r="650">
      <c r="H650" s="24"/>
      <c r="I650" s="28"/>
      <c r="J650" s="28"/>
    </row>
    <row r="651">
      <c r="H651" s="24"/>
      <c r="I651" s="28"/>
      <c r="J651" s="28"/>
    </row>
    <row r="652">
      <c r="H652" s="24"/>
      <c r="I652" s="28"/>
      <c r="J652" s="28"/>
    </row>
    <row r="653">
      <c r="H653" s="24"/>
      <c r="I653" s="28"/>
      <c r="J653" s="28"/>
    </row>
    <row r="654">
      <c r="H654" s="24"/>
      <c r="I654" s="28"/>
      <c r="J654" s="28"/>
    </row>
    <row r="655">
      <c r="H655" s="24"/>
      <c r="I655" s="28"/>
      <c r="J655" s="28"/>
    </row>
    <row r="656">
      <c r="H656" s="24"/>
      <c r="I656" s="28"/>
      <c r="J656" s="28"/>
    </row>
    <row r="657">
      <c r="H657" s="24"/>
      <c r="I657" s="28"/>
      <c r="J657" s="28"/>
    </row>
    <row r="658">
      <c r="H658" s="24"/>
      <c r="I658" s="28"/>
      <c r="J658" s="28"/>
    </row>
    <row r="659">
      <c r="H659" s="24"/>
      <c r="I659" s="28"/>
      <c r="J659" s="28"/>
    </row>
    <row r="660">
      <c r="H660" s="24"/>
      <c r="I660" s="28"/>
      <c r="J660" s="28"/>
    </row>
    <row r="661">
      <c r="H661" s="24"/>
      <c r="I661" s="28"/>
      <c r="J661" s="28"/>
    </row>
    <row r="662">
      <c r="H662" s="24"/>
      <c r="I662" s="28"/>
      <c r="J662" s="28"/>
    </row>
    <row r="663">
      <c r="H663" s="24"/>
      <c r="I663" s="28"/>
      <c r="J663" s="28"/>
    </row>
    <row r="664">
      <c r="H664" s="24"/>
      <c r="I664" s="28"/>
      <c r="J664" s="28"/>
    </row>
    <row r="665">
      <c r="H665" s="24"/>
      <c r="I665" s="28"/>
      <c r="J665" s="28"/>
    </row>
    <row r="666">
      <c r="H666" s="24"/>
      <c r="I666" s="28"/>
      <c r="J666" s="28"/>
    </row>
    <row r="667">
      <c r="H667" s="24"/>
      <c r="I667" s="28"/>
      <c r="J667" s="28"/>
    </row>
    <row r="668">
      <c r="H668" s="24"/>
      <c r="I668" s="28"/>
      <c r="J668" s="28"/>
    </row>
    <row r="669">
      <c r="H669" s="24"/>
      <c r="I669" s="28"/>
      <c r="J669" s="28"/>
    </row>
    <row r="670">
      <c r="H670" s="24"/>
      <c r="I670" s="28"/>
      <c r="J670" s="28"/>
    </row>
    <row r="671">
      <c r="H671" s="24"/>
      <c r="I671" s="28"/>
      <c r="J671" s="28"/>
    </row>
    <row r="672">
      <c r="H672" s="24"/>
      <c r="I672" s="28"/>
      <c r="J672" s="28"/>
    </row>
    <row r="673">
      <c r="H673" s="24"/>
      <c r="I673" s="28"/>
      <c r="J673" s="28"/>
    </row>
    <row r="674">
      <c r="H674" s="24"/>
      <c r="I674" s="28"/>
      <c r="J674" s="28"/>
    </row>
    <row r="675">
      <c r="H675" s="24"/>
      <c r="I675" s="28"/>
      <c r="J675" s="28"/>
    </row>
    <row r="676">
      <c r="H676" s="24"/>
      <c r="I676" s="28"/>
      <c r="J676" s="28"/>
    </row>
    <row r="677">
      <c r="H677" s="24"/>
      <c r="I677" s="28"/>
      <c r="J677" s="28"/>
    </row>
    <row r="678">
      <c r="H678" s="24"/>
      <c r="I678" s="28"/>
      <c r="J678" s="28"/>
    </row>
    <row r="679">
      <c r="H679" s="24"/>
      <c r="I679" s="28"/>
      <c r="J679" s="28"/>
    </row>
    <row r="680">
      <c r="H680" s="24"/>
      <c r="I680" s="28"/>
      <c r="J680" s="28"/>
    </row>
    <row r="681">
      <c r="H681" s="24"/>
      <c r="I681" s="28"/>
      <c r="J681" s="28"/>
    </row>
    <row r="682">
      <c r="H682" s="24"/>
      <c r="I682" s="28"/>
      <c r="J682" s="28"/>
    </row>
    <row r="683">
      <c r="H683" s="24"/>
      <c r="I683" s="28"/>
      <c r="J683" s="28"/>
    </row>
    <row r="684">
      <c r="H684" s="24"/>
      <c r="I684" s="28"/>
      <c r="J684" s="28"/>
    </row>
    <row r="685">
      <c r="H685" s="24"/>
      <c r="I685" s="28"/>
      <c r="J685" s="28"/>
    </row>
    <row r="686">
      <c r="H686" s="24"/>
      <c r="I686" s="28"/>
      <c r="J686" s="28"/>
    </row>
    <row r="687">
      <c r="H687" s="24"/>
      <c r="I687" s="28"/>
      <c r="J687" s="28"/>
    </row>
    <row r="688">
      <c r="H688" s="24"/>
      <c r="I688" s="28"/>
      <c r="J688" s="28"/>
    </row>
    <row r="689">
      <c r="H689" s="24"/>
      <c r="I689" s="28"/>
      <c r="J689" s="28"/>
    </row>
    <row r="690">
      <c r="H690" s="24"/>
      <c r="I690" s="28"/>
      <c r="J690" s="28"/>
    </row>
    <row r="691">
      <c r="H691" s="24"/>
      <c r="I691" s="28"/>
      <c r="J691" s="28"/>
    </row>
    <row r="692">
      <c r="H692" s="24"/>
      <c r="I692" s="28"/>
      <c r="J692" s="28"/>
    </row>
    <row r="693">
      <c r="H693" s="24"/>
      <c r="I693" s="28"/>
      <c r="J693" s="28"/>
    </row>
    <row r="694">
      <c r="H694" s="24"/>
      <c r="I694" s="28"/>
      <c r="J694" s="28"/>
    </row>
    <row r="695">
      <c r="H695" s="24"/>
      <c r="I695" s="28"/>
      <c r="J695" s="28"/>
    </row>
    <row r="696">
      <c r="H696" s="24"/>
      <c r="I696" s="28"/>
      <c r="J696" s="28"/>
    </row>
    <row r="697">
      <c r="H697" s="24"/>
      <c r="I697" s="28"/>
      <c r="J697" s="28"/>
    </row>
    <row r="698">
      <c r="H698" s="24"/>
      <c r="I698" s="28"/>
      <c r="J698" s="28"/>
    </row>
    <row r="699">
      <c r="H699" s="24"/>
      <c r="I699" s="28"/>
      <c r="J699" s="28"/>
    </row>
    <row r="700">
      <c r="H700" s="24"/>
      <c r="I700" s="28"/>
      <c r="J700" s="28"/>
    </row>
    <row r="701">
      <c r="H701" s="24"/>
      <c r="I701" s="28"/>
      <c r="J701" s="28"/>
    </row>
    <row r="702">
      <c r="H702" s="24"/>
      <c r="I702" s="28"/>
      <c r="J702" s="28"/>
    </row>
    <row r="703">
      <c r="H703" s="24"/>
      <c r="I703" s="28"/>
      <c r="J703" s="28"/>
    </row>
    <row r="704">
      <c r="H704" s="24"/>
      <c r="I704" s="28"/>
      <c r="J704" s="28"/>
    </row>
    <row r="705">
      <c r="H705" s="24"/>
      <c r="I705" s="28"/>
      <c r="J705" s="28"/>
    </row>
    <row r="706">
      <c r="H706" s="24"/>
      <c r="I706" s="28"/>
      <c r="J706" s="28"/>
    </row>
    <row r="707">
      <c r="H707" s="24"/>
      <c r="I707" s="28"/>
      <c r="J707" s="28"/>
    </row>
    <row r="708">
      <c r="H708" s="24"/>
      <c r="I708" s="28"/>
      <c r="J708" s="28"/>
    </row>
    <row r="709">
      <c r="H709" s="24"/>
      <c r="I709" s="28"/>
      <c r="J709" s="28"/>
    </row>
    <row r="710">
      <c r="H710" s="24"/>
      <c r="I710" s="28"/>
      <c r="J710" s="28"/>
    </row>
    <row r="711">
      <c r="H711" s="24"/>
      <c r="I711" s="28"/>
      <c r="J711" s="28"/>
    </row>
    <row r="712">
      <c r="H712" s="24"/>
      <c r="I712" s="28"/>
      <c r="J712" s="28"/>
    </row>
    <row r="713">
      <c r="H713" s="24"/>
      <c r="I713" s="28"/>
      <c r="J713" s="28"/>
    </row>
    <row r="714">
      <c r="H714" s="24"/>
      <c r="I714" s="28"/>
      <c r="J714" s="28"/>
    </row>
    <row r="715">
      <c r="H715" s="24"/>
      <c r="I715" s="28"/>
      <c r="J715" s="28"/>
    </row>
    <row r="716">
      <c r="H716" s="24"/>
      <c r="I716" s="28"/>
      <c r="J716" s="28"/>
    </row>
    <row r="717">
      <c r="H717" s="24"/>
      <c r="I717" s="28"/>
      <c r="J717" s="28"/>
    </row>
    <row r="718">
      <c r="H718" s="24"/>
      <c r="I718" s="28"/>
      <c r="J718" s="28"/>
    </row>
    <row r="719">
      <c r="H719" s="24"/>
      <c r="I719" s="28"/>
      <c r="J719" s="28"/>
    </row>
    <row r="720">
      <c r="H720" s="24"/>
      <c r="I720" s="28"/>
      <c r="J720" s="28"/>
    </row>
    <row r="721">
      <c r="H721" s="24"/>
      <c r="I721" s="28"/>
      <c r="J721" s="28"/>
    </row>
    <row r="722">
      <c r="H722" s="24"/>
      <c r="I722" s="28"/>
      <c r="J722" s="28"/>
    </row>
    <row r="723">
      <c r="H723" s="24"/>
      <c r="I723" s="28"/>
      <c r="J723" s="28"/>
    </row>
    <row r="724">
      <c r="H724" s="24"/>
      <c r="I724" s="28"/>
      <c r="J724" s="28"/>
    </row>
    <row r="725">
      <c r="H725" s="24"/>
      <c r="I725" s="28"/>
      <c r="J725" s="28"/>
    </row>
    <row r="726">
      <c r="H726" s="24"/>
      <c r="I726" s="28"/>
      <c r="J726" s="28"/>
    </row>
    <row r="727">
      <c r="H727" s="24"/>
      <c r="I727" s="28"/>
      <c r="J727" s="28"/>
    </row>
    <row r="728">
      <c r="H728" s="24"/>
      <c r="I728" s="28"/>
      <c r="J728" s="28"/>
    </row>
    <row r="729">
      <c r="H729" s="24"/>
      <c r="I729" s="28"/>
      <c r="J729" s="28"/>
    </row>
    <row r="730">
      <c r="H730" s="24"/>
      <c r="I730" s="28"/>
      <c r="J730" s="28"/>
    </row>
    <row r="731">
      <c r="H731" s="24"/>
      <c r="I731" s="28"/>
      <c r="J731" s="28"/>
    </row>
    <row r="732">
      <c r="H732" s="24"/>
      <c r="I732" s="28"/>
      <c r="J732" s="28"/>
    </row>
    <row r="733">
      <c r="H733" s="24"/>
      <c r="I733" s="28"/>
      <c r="J733" s="28"/>
    </row>
    <row r="734">
      <c r="H734" s="24"/>
      <c r="I734" s="28"/>
      <c r="J734" s="28"/>
    </row>
    <row r="735">
      <c r="H735" s="24"/>
      <c r="I735" s="28"/>
      <c r="J735" s="28"/>
    </row>
    <row r="736">
      <c r="H736" s="24"/>
      <c r="I736" s="28"/>
      <c r="J736" s="28"/>
    </row>
    <row r="737">
      <c r="H737" s="24"/>
      <c r="I737" s="28"/>
      <c r="J737" s="28"/>
    </row>
    <row r="738">
      <c r="H738" s="24"/>
      <c r="I738" s="28"/>
      <c r="J738" s="28"/>
    </row>
    <row r="739">
      <c r="H739" s="24"/>
      <c r="I739" s="28"/>
      <c r="J739" s="28"/>
    </row>
    <row r="740">
      <c r="H740" s="24"/>
      <c r="I740" s="28"/>
      <c r="J740" s="28"/>
    </row>
    <row r="741">
      <c r="H741" s="24"/>
      <c r="I741" s="28"/>
      <c r="J741" s="28"/>
    </row>
    <row r="742">
      <c r="H742" s="24"/>
      <c r="I742" s="28"/>
      <c r="J742" s="28"/>
    </row>
    <row r="743">
      <c r="H743" s="24"/>
      <c r="I743" s="28"/>
      <c r="J743" s="28"/>
    </row>
    <row r="744">
      <c r="H744" s="24"/>
      <c r="I744" s="28"/>
      <c r="J744" s="28"/>
    </row>
    <row r="745">
      <c r="H745" s="24"/>
      <c r="I745" s="28"/>
      <c r="J745" s="28"/>
    </row>
    <row r="746">
      <c r="H746" s="24"/>
      <c r="I746" s="28"/>
      <c r="J746" s="28"/>
    </row>
    <row r="747">
      <c r="H747" s="24"/>
      <c r="I747" s="28"/>
      <c r="J747" s="28"/>
    </row>
    <row r="748">
      <c r="H748" s="24"/>
      <c r="I748" s="28"/>
      <c r="J748" s="28"/>
    </row>
    <row r="749">
      <c r="H749" s="24"/>
      <c r="I749" s="28"/>
      <c r="J749" s="28"/>
    </row>
    <row r="750">
      <c r="H750" s="24"/>
      <c r="I750" s="28"/>
      <c r="J750" s="28"/>
    </row>
    <row r="751">
      <c r="H751" s="24"/>
      <c r="I751" s="28"/>
      <c r="J751" s="28"/>
    </row>
    <row r="752">
      <c r="H752" s="24"/>
      <c r="I752" s="28"/>
      <c r="J752" s="28"/>
    </row>
    <row r="753">
      <c r="H753" s="24"/>
      <c r="I753" s="28"/>
      <c r="J753" s="28"/>
    </row>
    <row r="754">
      <c r="H754" s="24"/>
      <c r="I754" s="28"/>
      <c r="J754" s="28"/>
    </row>
    <row r="755">
      <c r="H755" s="24"/>
      <c r="I755" s="28"/>
      <c r="J755" s="28"/>
    </row>
    <row r="756">
      <c r="H756" s="24"/>
      <c r="I756" s="28"/>
      <c r="J756" s="28"/>
    </row>
    <row r="757">
      <c r="H757" s="24"/>
      <c r="I757" s="28"/>
      <c r="J757" s="28"/>
    </row>
    <row r="758">
      <c r="H758" s="24"/>
      <c r="I758" s="28"/>
      <c r="J758" s="28"/>
    </row>
    <row r="759">
      <c r="H759" s="24"/>
      <c r="I759" s="28"/>
      <c r="J759" s="28"/>
    </row>
    <row r="760">
      <c r="H760" s="24"/>
      <c r="I760" s="28"/>
      <c r="J760" s="28"/>
    </row>
    <row r="761">
      <c r="H761" s="24"/>
      <c r="I761" s="28"/>
      <c r="J761" s="28"/>
    </row>
    <row r="762">
      <c r="H762" s="24"/>
      <c r="I762" s="28"/>
      <c r="J762" s="28"/>
    </row>
    <row r="763">
      <c r="H763" s="24"/>
      <c r="I763" s="28"/>
      <c r="J763" s="28"/>
    </row>
    <row r="764">
      <c r="H764" s="24"/>
      <c r="I764" s="28"/>
      <c r="J764" s="28"/>
    </row>
    <row r="765">
      <c r="H765" s="24"/>
      <c r="I765" s="28"/>
      <c r="J765" s="28"/>
    </row>
    <row r="766">
      <c r="H766" s="24"/>
      <c r="I766" s="28"/>
      <c r="J766" s="28"/>
    </row>
    <row r="767">
      <c r="H767" s="24"/>
      <c r="I767" s="28"/>
      <c r="J767" s="28"/>
    </row>
    <row r="768">
      <c r="H768" s="24"/>
      <c r="I768" s="28"/>
      <c r="J768" s="28"/>
    </row>
    <row r="769">
      <c r="H769" s="24"/>
      <c r="I769" s="28"/>
      <c r="J769" s="28"/>
    </row>
    <row r="770">
      <c r="H770" s="24"/>
      <c r="I770" s="28"/>
      <c r="J770" s="28"/>
    </row>
    <row r="771">
      <c r="H771" s="24"/>
      <c r="I771" s="28"/>
      <c r="J771" s="28"/>
    </row>
    <row r="772">
      <c r="H772" s="24"/>
      <c r="I772" s="28"/>
      <c r="J772" s="28"/>
    </row>
    <row r="773">
      <c r="H773" s="24"/>
      <c r="I773" s="28"/>
      <c r="J773" s="28"/>
    </row>
    <row r="774">
      <c r="H774" s="24"/>
      <c r="I774" s="28"/>
      <c r="J774" s="28"/>
    </row>
    <row r="775">
      <c r="H775" s="24"/>
      <c r="I775" s="28"/>
      <c r="J775" s="28"/>
    </row>
    <row r="776">
      <c r="H776" s="24"/>
      <c r="I776" s="28"/>
      <c r="J776" s="28"/>
    </row>
    <row r="777">
      <c r="H777" s="24"/>
      <c r="I777" s="28"/>
      <c r="J777" s="28"/>
    </row>
    <row r="778">
      <c r="H778" s="24"/>
      <c r="I778" s="28"/>
      <c r="J778" s="28"/>
    </row>
    <row r="779">
      <c r="H779" s="24"/>
      <c r="I779" s="28"/>
      <c r="J779" s="28"/>
    </row>
    <row r="780">
      <c r="H780" s="24"/>
      <c r="I780" s="28"/>
      <c r="J780" s="28"/>
    </row>
    <row r="781">
      <c r="H781" s="24"/>
      <c r="I781" s="28"/>
      <c r="J781" s="28"/>
    </row>
    <row r="782">
      <c r="H782" s="24"/>
      <c r="I782" s="28"/>
      <c r="J782" s="28"/>
    </row>
    <row r="783">
      <c r="H783" s="24"/>
      <c r="I783" s="28"/>
      <c r="J783" s="28"/>
    </row>
    <row r="784">
      <c r="H784" s="24"/>
      <c r="I784" s="28"/>
      <c r="J784" s="28"/>
    </row>
    <row r="785">
      <c r="H785" s="24"/>
      <c r="I785" s="28"/>
      <c r="J785" s="28"/>
    </row>
    <row r="786">
      <c r="H786" s="24"/>
      <c r="I786" s="28"/>
      <c r="J786" s="28"/>
    </row>
    <row r="787">
      <c r="H787" s="24"/>
      <c r="I787" s="28"/>
      <c r="J787" s="28"/>
    </row>
    <row r="788">
      <c r="H788" s="24"/>
      <c r="I788" s="28"/>
      <c r="J788" s="28"/>
    </row>
    <row r="789">
      <c r="H789" s="24"/>
      <c r="I789" s="28"/>
      <c r="J789" s="28"/>
    </row>
    <row r="790">
      <c r="H790" s="24"/>
      <c r="I790" s="28"/>
      <c r="J790" s="28"/>
    </row>
    <row r="791">
      <c r="H791" s="24"/>
      <c r="I791" s="28"/>
      <c r="J791" s="28"/>
    </row>
    <row r="792">
      <c r="H792" s="24"/>
      <c r="I792" s="28"/>
      <c r="J792" s="28"/>
    </row>
    <row r="793">
      <c r="H793" s="24"/>
      <c r="I793" s="28"/>
      <c r="J793" s="28"/>
    </row>
    <row r="794">
      <c r="H794" s="24"/>
      <c r="I794" s="28"/>
      <c r="J794" s="28"/>
    </row>
    <row r="795">
      <c r="H795" s="24"/>
      <c r="I795" s="28"/>
      <c r="J795" s="28"/>
    </row>
    <row r="796">
      <c r="H796" s="24"/>
      <c r="I796" s="28"/>
      <c r="J796" s="28"/>
    </row>
    <row r="797">
      <c r="H797" s="24"/>
      <c r="I797" s="28"/>
      <c r="J797" s="28"/>
    </row>
    <row r="798">
      <c r="H798" s="24"/>
      <c r="I798" s="28"/>
      <c r="J798" s="28"/>
    </row>
    <row r="799">
      <c r="H799" s="24"/>
      <c r="I799" s="28"/>
      <c r="J799" s="28"/>
    </row>
    <row r="800">
      <c r="H800" s="24"/>
      <c r="I800" s="28"/>
      <c r="J800" s="28"/>
    </row>
    <row r="801">
      <c r="H801" s="24"/>
      <c r="I801" s="28"/>
      <c r="J801" s="28"/>
    </row>
    <row r="802">
      <c r="H802" s="24"/>
      <c r="I802" s="28"/>
      <c r="J802" s="28"/>
    </row>
    <row r="803">
      <c r="H803" s="24"/>
      <c r="I803" s="28"/>
      <c r="J803" s="28"/>
    </row>
    <row r="804">
      <c r="H804" s="24"/>
      <c r="I804" s="28"/>
      <c r="J804" s="28"/>
    </row>
    <row r="805">
      <c r="H805" s="24"/>
      <c r="I805" s="28"/>
      <c r="J805" s="28"/>
    </row>
    <row r="806">
      <c r="H806" s="24"/>
      <c r="I806" s="28"/>
      <c r="J806" s="28"/>
    </row>
    <row r="807">
      <c r="H807" s="24"/>
      <c r="I807" s="28"/>
      <c r="J807" s="28"/>
    </row>
    <row r="808">
      <c r="H808" s="24"/>
      <c r="I808" s="28"/>
      <c r="J808" s="28"/>
    </row>
    <row r="809">
      <c r="H809" s="24"/>
      <c r="I809" s="28"/>
      <c r="J809" s="28"/>
    </row>
    <row r="810">
      <c r="H810" s="24"/>
      <c r="I810" s="28"/>
      <c r="J810" s="28"/>
    </row>
    <row r="811">
      <c r="H811" s="24"/>
      <c r="I811" s="28"/>
      <c r="J811" s="28"/>
    </row>
    <row r="812">
      <c r="H812" s="24"/>
      <c r="I812" s="28"/>
      <c r="J812" s="28"/>
    </row>
    <row r="813">
      <c r="H813" s="24"/>
      <c r="I813" s="28"/>
      <c r="J813" s="28"/>
    </row>
    <row r="814">
      <c r="H814" s="24"/>
      <c r="I814" s="28"/>
      <c r="J814" s="28"/>
    </row>
    <row r="815">
      <c r="H815" s="24"/>
      <c r="I815" s="28"/>
      <c r="J815" s="28"/>
    </row>
    <row r="816">
      <c r="H816" s="24"/>
      <c r="I816" s="28"/>
      <c r="J816" s="28"/>
    </row>
    <row r="817">
      <c r="H817" s="24"/>
      <c r="I817" s="28"/>
      <c r="J817" s="28"/>
    </row>
    <row r="818">
      <c r="H818" s="24"/>
      <c r="I818" s="28"/>
      <c r="J818" s="28"/>
    </row>
    <row r="819">
      <c r="H819" s="24"/>
      <c r="I819" s="28"/>
      <c r="J819" s="28"/>
    </row>
    <row r="820">
      <c r="H820" s="24"/>
      <c r="I820" s="28"/>
      <c r="J820" s="28"/>
    </row>
    <row r="821">
      <c r="H821" s="24"/>
      <c r="I821" s="28"/>
      <c r="J821" s="28"/>
    </row>
    <row r="822">
      <c r="H822" s="24"/>
      <c r="I822" s="28"/>
      <c r="J822" s="28"/>
    </row>
    <row r="823">
      <c r="H823" s="24"/>
      <c r="I823" s="28"/>
      <c r="J823" s="28"/>
    </row>
    <row r="824">
      <c r="H824" s="24"/>
      <c r="I824" s="28"/>
      <c r="J824" s="28"/>
    </row>
    <row r="825">
      <c r="H825" s="24"/>
      <c r="I825" s="28"/>
      <c r="J825" s="28"/>
    </row>
    <row r="826">
      <c r="H826" s="24"/>
      <c r="I826" s="28"/>
      <c r="J826" s="28"/>
    </row>
    <row r="827">
      <c r="H827" s="24"/>
      <c r="I827" s="28"/>
      <c r="J827" s="28"/>
    </row>
    <row r="828">
      <c r="H828" s="24"/>
      <c r="I828" s="28"/>
      <c r="J828" s="28"/>
    </row>
    <row r="829">
      <c r="H829" s="24"/>
      <c r="I829" s="28"/>
      <c r="J829" s="28"/>
    </row>
    <row r="830">
      <c r="H830" s="24"/>
      <c r="I830" s="28"/>
      <c r="J830" s="28"/>
    </row>
    <row r="831">
      <c r="H831" s="24"/>
      <c r="I831" s="28"/>
      <c r="J831" s="28"/>
    </row>
    <row r="832">
      <c r="H832" s="24"/>
      <c r="I832" s="28"/>
      <c r="J832" s="28"/>
    </row>
    <row r="833">
      <c r="H833" s="24"/>
      <c r="I833" s="28"/>
      <c r="J833" s="28"/>
    </row>
    <row r="834">
      <c r="H834" s="24"/>
      <c r="I834" s="28"/>
      <c r="J834" s="28"/>
    </row>
    <row r="835">
      <c r="H835" s="24"/>
      <c r="I835" s="28"/>
      <c r="J835" s="28"/>
    </row>
    <row r="836">
      <c r="H836" s="24"/>
      <c r="I836" s="28"/>
      <c r="J836" s="28"/>
    </row>
    <row r="837">
      <c r="H837" s="24"/>
      <c r="I837" s="28"/>
      <c r="J837" s="28"/>
    </row>
    <row r="838">
      <c r="H838" s="24"/>
      <c r="I838" s="28"/>
      <c r="J838" s="28"/>
    </row>
    <row r="839">
      <c r="H839" s="24"/>
      <c r="I839" s="28"/>
      <c r="J839" s="28"/>
    </row>
    <row r="840">
      <c r="H840" s="24"/>
      <c r="I840" s="28"/>
      <c r="J840" s="28"/>
    </row>
    <row r="841">
      <c r="H841" s="24"/>
      <c r="I841" s="28"/>
      <c r="J841" s="28"/>
    </row>
    <row r="842">
      <c r="H842" s="24"/>
      <c r="I842" s="28"/>
      <c r="J842" s="28"/>
    </row>
    <row r="843">
      <c r="H843" s="24"/>
      <c r="I843" s="28"/>
      <c r="J843" s="28"/>
    </row>
    <row r="844">
      <c r="H844" s="24"/>
      <c r="I844" s="28"/>
      <c r="J844" s="28"/>
    </row>
    <row r="845">
      <c r="H845" s="24"/>
      <c r="I845" s="28"/>
      <c r="J845" s="28"/>
    </row>
    <row r="846">
      <c r="H846" s="24"/>
      <c r="I846" s="28"/>
      <c r="J846" s="28"/>
    </row>
    <row r="847">
      <c r="H847" s="24"/>
      <c r="I847" s="28"/>
      <c r="J847" s="28"/>
    </row>
    <row r="848">
      <c r="H848" s="24"/>
      <c r="I848" s="28"/>
      <c r="J848" s="28"/>
    </row>
    <row r="849">
      <c r="H849" s="24"/>
      <c r="I849" s="28"/>
      <c r="J849" s="28"/>
    </row>
    <row r="850">
      <c r="H850" s="24"/>
      <c r="I850" s="28"/>
      <c r="J850" s="28"/>
    </row>
    <row r="851">
      <c r="H851" s="24"/>
      <c r="I851" s="28"/>
      <c r="J851" s="28"/>
    </row>
    <row r="852">
      <c r="H852" s="24"/>
      <c r="I852" s="28"/>
      <c r="J852" s="28"/>
    </row>
    <row r="853">
      <c r="H853" s="24"/>
      <c r="I853" s="28"/>
      <c r="J853" s="28"/>
    </row>
    <row r="854">
      <c r="H854" s="24"/>
      <c r="I854" s="28"/>
      <c r="J854" s="28"/>
    </row>
    <row r="855">
      <c r="H855" s="24"/>
      <c r="I855" s="28"/>
      <c r="J855" s="28"/>
    </row>
    <row r="856">
      <c r="H856" s="24"/>
      <c r="I856" s="28"/>
      <c r="J856" s="28"/>
    </row>
    <row r="857">
      <c r="H857" s="24"/>
      <c r="I857" s="28"/>
      <c r="J857" s="28"/>
    </row>
    <row r="858">
      <c r="H858" s="24"/>
      <c r="I858" s="28"/>
      <c r="J858" s="28"/>
    </row>
    <row r="859">
      <c r="H859" s="24"/>
      <c r="I859" s="28"/>
      <c r="J859" s="28"/>
    </row>
    <row r="860">
      <c r="H860" s="24"/>
      <c r="I860" s="28"/>
      <c r="J860" s="28"/>
    </row>
    <row r="861">
      <c r="H861" s="24"/>
      <c r="I861" s="28"/>
      <c r="J861" s="28"/>
    </row>
    <row r="862">
      <c r="H862" s="24"/>
      <c r="I862" s="28"/>
      <c r="J862" s="28"/>
    </row>
    <row r="863">
      <c r="H863" s="24"/>
      <c r="I863" s="28"/>
      <c r="J863" s="28"/>
    </row>
    <row r="864">
      <c r="H864" s="24"/>
      <c r="I864" s="28"/>
      <c r="J864" s="28"/>
    </row>
    <row r="865">
      <c r="H865" s="24"/>
      <c r="I865" s="28"/>
      <c r="J865" s="28"/>
    </row>
    <row r="866">
      <c r="H866" s="24"/>
      <c r="I866" s="28"/>
      <c r="J866" s="28"/>
    </row>
    <row r="867">
      <c r="H867" s="24"/>
      <c r="I867" s="28"/>
      <c r="J867" s="28"/>
    </row>
    <row r="868">
      <c r="H868" s="24"/>
      <c r="I868" s="28"/>
      <c r="J868" s="28"/>
    </row>
    <row r="869">
      <c r="H869" s="24"/>
      <c r="I869" s="28"/>
      <c r="J869" s="28"/>
    </row>
    <row r="870">
      <c r="H870" s="24"/>
      <c r="I870" s="28"/>
      <c r="J870" s="28"/>
    </row>
    <row r="871">
      <c r="H871" s="24"/>
      <c r="I871" s="28"/>
      <c r="J871" s="28"/>
    </row>
    <row r="872">
      <c r="H872" s="24"/>
      <c r="I872" s="28"/>
      <c r="J872" s="28"/>
    </row>
    <row r="873">
      <c r="H873" s="24"/>
      <c r="I873" s="28"/>
      <c r="J873" s="28"/>
    </row>
    <row r="874">
      <c r="H874" s="24"/>
      <c r="I874" s="28"/>
      <c r="J874" s="28"/>
    </row>
    <row r="875">
      <c r="H875" s="24"/>
      <c r="I875" s="28"/>
      <c r="J875" s="28"/>
    </row>
    <row r="876">
      <c r="H876" s="24"/>
      <c r="I876" s="28"/>
      <c r="J876" s="28"/>
    </row>
    <row r="877">
      <c r="H877" s="24"/>
      <c r="I877" s="28"/>
      <c r="J877" s="28"/>
    </row>
    <row r="878">
      <c r="H878" s="24"/>
      <c r="I878" s="28"/>
      <c r="J878" s="28"/>
    </row>
    <row r="879">
      <c r="H879" s="24"/>
      <c r="I879" s="28"/>
      <c r="J879" s="28"/>
    </row>
    <row r="880">
      <c r="H880" s="24"/>
      <c r="I880" s="28"/>
      <c r="J880" s="28"/>
    </row>
    <row r="881">
      <c r="H881" s="24"/>
      <c r="I881" s="28"/>
      <c r="J881" s="28"/>
    </row>
    <row r="882">
      <c r="H882" s="24"/>
      <c r="I882" s="28"/>
      <c r="J882" s="28"/>
    </row>
    <row r="883">
      <c r="H883" s="24"/>
      <c r="I883" s="28"/>
      <c r="J883" s="28"/>
    </row>
    <row r="884">
      <c r="H884" s="24"/>
      <c r="I884" s="28"/>
      <c r="J884" s="28"/>
    </row>
    <row r="885">
      <c r="H885" s="24"/>
      <c r="I885" s="28"/>
      <c r="J885" s="28"/>
    </row>
    <row r="886">
      <c r="H886" s="24"/>
      <c r="I886" s="28"/>
      <c r="J886" s="28"/>
    </row>
    <row r="887">
      <c r="H887" s="24"/>
      <c r="I887" s="28"/>
      <c r="J887" s="28"/>
    </row>
    <row r="888">
      <c r="H888" s="24"/>
      <c r="I888" s="28"/>
      <c r="J888" s="28"/>
    </row>
    <row r="889">
      <c r="H889" s="24"/>
      <c r="I889" s="28"/>
      <c r="J889" s="28"/>
    </row>
    <row r="890">
      <c r="H890" s="24"/>
      <c r="I890" s="28"/>
      <c r="J890" s="28"/>
    </row>
    <row r="891">
      <c r="H891" s="24"/>
      <c r="I891" s="28"/>
      <c r="J891" s="28"/>
    </row>
    <row r="892">
      <c r="H892" s="24"/>
      <c r="I892" s="28"/>
      <c r="J892" s="28"/>
    </row>
    <row r="893">
      <c r="H893" s="24"/>
      <c r="I893" s="28"/>
      <c r="J893" s="28"/>
    </row>
    <row r="894">
      <c r="H894" s="24"/>
      <c r="I894" s="28"/>
      <c r="J894" s="28"/>
    </row>
    <row r="895">
      <c r="H895" s="24"/>
      <c r="I895" s="28"/>
      <c r="J895" s="28"/>
    </row>
    <row r="896">
      <c r="H896" s="24"/>
      <c r="I896" s="28"/>
      <c r="J896" s="28"/>
    </row>
    <row r="897">
      <c r="H897" s="24"/>
      <c r="I897" s="28"/>
      <c r="J897" s="28"/>
    </row>
    <row r="898">
      <c r="H898" s="24"/>
      <c r="I898" s="28"/>
      <c r="J898" s="28"/>
    </row>
    <row r="899">
      <c r="H899" s="24"/>
      <c r="I899" s="28"/>
      <c r="J899" s="28"/>
    </row>
    <row r="900">
      <c r="H900" s="24"/>
      <c r="I900" s="28"/>
      <c r="J900" s="28"/>
    </row>
    <row r="901">
      <c r="H901" s="24"/>
      <c r="I901" s="28"/>
      <c r="J901" s="28"/>
    </row>
    <row r="902">
      <c r="H902" s="24"/>
      <c r="I902" s="28"/>
      <c r="J902" s="28"/>
    </row>
    <row r="903">
      <c r="H903" s="24"/>
      <c r="I903" s="28"/>
      <c r="J903" s="28"/>
    </row>
    <row r="904">
      <c r="H904" s="24"/>
      <c r="I904" s="28"/>
      <c r="J904" s="28"/>
    </row>
    <row r="905">
      <c r="H905" s="24"/>
      <c r="I905" s="28"/>
      <c r="J905" s="28"/>
    </row>
    <row r="906">
      <c r="H906" s="24"/>
      <c r="I906" s="28"/>
      <c r="J906" s="28"/>
    </row>
    <row r="907">
      <c r="H907" s="24"/>
      <c r="I907" s="28"/>
      <c r="J907" s="28"/>
    </row>
    <row r="908">
      <c r="H908" s="24"/>
      <c r="I908" s="28"/>
      <c r="J908" s="28"/>
    </row>
    <row r="909">
      <c r="H909" s="24"/>
      <c r="I909" s="28"/>
      <c r="J909" s="28"/>
    </row>
    <row r="910">
      <c r="H910" s="24"/>
      <c r="I910" s="28"/>
      <c r="J910" s="28"/>
    </row>
    <row r="911">
      <c r="H911" s="24"/>
      <c r="I911" s="28"/>
      <c r="J911" s="28"/>
    </row>
    <row r="912">
      <c r="H912" s="24"/>
      <c r="I912" s="28"/>
      <c r="J912" s="28"/>
    </row>
    <row r="913">
      <c r="H913" s="24"/>
      <c r="I913" s="28"/>
      <c r="J913" s="28"/>
    </row>
    <row r="914">
      <c r="H914" s="24"/>
      <c r="I914" s="28"/>
      <c r="J914" s="28"/>
    </row>
    <row r="915">
      <c r="H915" s="24"/>
      <c r="I915" s="28"/>
      <c r="J915" s="28"/>
    </row>
    <row r="916">
      <c r="H916" s="24"/>
      <c r="I916" s="28"/>
      <c r="J916" s="28"/>
    </row>
    <row r="917">
      <c r="H917" s="24"/>
      <c r="I917" s="28"/>
      <c r="J917" s="28"/>
    </row>
    <row r="918">
      <c r="H918" s="24"/>
      <c r="I918" s="28"/>
      <c r="J918" s="28"/>
    </row>
    <row r="919">
      <c r="H919" s="24"/>
      <c r="I919" s="28"/>
      <c r="J919" s="28"/>
    </row>
    <row r="920">
      <c r="H920" s="24"/>
      <c r="I920" s="28"/>
      <c r="J920" s="28"/>
    </row>
    <row r="921">
      <c r="H921" s="24"/>
      <c r="I921" s="28"/>
      <c r="J921" s="28"/>
    </row>
    <row r="922">
      <c r="H922" s="24"/>
      <c r="I922" s="28"/>
      <c r="J922" s="28"/>
    </row>
    <row r="923">
      <c r="H923" s="24"/>
      <c r="I923" s="28"/>
      <c r="J923" s="28"/>
    </row>
    <row r="924">
      <c r="H924" s="24"/>
      <c r="I924" s="28"/>
      <c r="J924" s="28"/>
    </row>
    <row r="925">
      <c r="H925" s="24"/>
      <c r="I925" s="28"/>
      <c r="J925" s="28"/>
    </row>
    <row r="926">
      <c r="H926" s="24"/>
      <c r="I926" s="28"/>
      <c r="J926" s="28"/>
    </row>
    <row r="927">
      <c r="H927" s="24"/>
      <c r="I927" s="28"/>
      <c r="J927" s="28"/>
    </row>
    <row r="928">
      <c r="H928" s="24"/>
      <c r="I928" s="28"/>
      <c r="J928" s="28"/>
    </row>
    <row r="929">
      <c r="H929" s="24"/>
      <c r="I929" s="28"/>
      <c r="J929" s="28"/>
    </row>
    <row r="930">
      <c r="H930" s="24"/>
      <c r="I930" s="28"/>
      <c r="J930" s="28"/>
    </row>
    <row r="931">
      <c r="H931" s="24"/>
      <c r="I931" s="28"/>
      <c r="J931" s="28"/>
    </row>
    <row r="932">
      <c r="H932" s="24"/>
      <c r="I932" s="28"/>
      <c r="J932" s="28"/>
    </row>
    <row r="933">
      <c r="H933" s="24"/>
      <c r="I933" s="28"/>
      <c r="J933" s="28"/>
    </row>
    <row r="934">
      <c r="H934" s="24"/>
      <c r="I934" s="28"/>
      <c r="J934" s="28"/>
    </row>
    <row r="935">
      <c r="H935" s="24"/>
      <c r="I935" s="28"/>
      <c r="J935" s="28"/>
    </row>
    <row r="936">
      <c r="H936" s="24"/>
      <c r="I936" s="28"/>
      <c r="J936" s="28"/>
    </row>
    <row r="937">
      <c r="H937" s="24"/>
      <c r="I937" s="28"/>
      <c r="J937" s="28"/>
    </row>
    <row r="938">
      <c r="H938" s="24"/>
      <c r="I938" s="28"/>
      <c r="J938" s="28"/>
    </row>
    <row r="939">
      <c r="H939" s="24"/>
      <c r="I939" s="28"/>
      <c r="J939" s="28"/>
    </row>
    <row r="940">
      <c r="H940" s="24"/>
      <c r="I940" s="28"/>
      <c r="J940" s="28"/>
    </row>
    <row r="941">
      <c r="H941" s="24"/>
      <c r="I941" s="28"/>
      <c r="J941" s="28"/>
    </row>
    <row r="942">
      <c r="H942" s="24"/>
      <c r="I942" s="28"/>
      <c r="J942" s="28"/>
    </row>
    <row r="943">
      <c r="H943" s="24"/>
      <c r="I943" s="28"/>
      <c r="J943" s="28"/>
    </row>
    <row r="944">
      <c r="H944" s="24"/>
      <c r="I944" s="28"/>
      <c r="J944" s="28"/>
    </row>
    <row r="945">
      <c r="H945" s="24"/>
      <c r="I945" s="28"/>
      <c r="J945" s="28"/>
    </row>
    <row r="946">
      <c r="H946" s="24"/>
      <c r="I946" s="28"/>
      <c r="J946" s="28"/>
    </row>
    <row r="947">
      <c r="H947" s="24"/>
      <c r="I947" s="28"/>
      <c r="J947" s="28"/>
    </row>
    <row r="948">
      <c r="H948" s="24"/>
      <c r="I948" s="28"/>
      <c r="J948" s="28"/>
    </row>
    <row r="949">
      <c r="H949" s="24"/>
      <c r="I949" s="28"/>
      <c r="J949" s="28"/>
    </row>
    <row r="950">
      <c r="H950" s="24"/>
      <c r="I950" s="28"/>
      <c r="J950" s="28"/>
    </row>
    <row r="951">
      <c r="H951" s="24"/>
      <c r="I951" s="28"/>
      <c r="J951" s="28"/>
    </row>
    <row r="952">
      <c r="H952" s="24"/>
      <c r="I952" s="28"/>
      <c r="J952" s="28"/>
    </row>
    <row r="953">
      <c r="H953" s="24"/>
      <c r="I953" s="28"/>
      <c r="J953" s="28"/>
    </row>
    <row r="954">
      <c r="H954" s="24"/>
      <c r="I954" s="28"/>
      <c r="J954" s="28"/>
    </row>
    <row r="955">
      <c r="H955" s="24"/>
      <c r="I955" s="28"/>
      <c r="J955" s="28"/>
    </row>
    <row r="956">
      <c r="H956" s="24"/>
      <c r="I956" s="28"/>
      <c r="J956" s="28"/>
    </row>
    <row r="957">
      <c r="H957" s="24"/>
      <c r="I957" s="28"/>
      <c r="J957" s="28"/>
    </row>
    <row r="958">
      <c r="H958" s="24"/>
      <c r="I958" s="28"/>
      <c r="J958" s="28"/>
    </row>
    <row r="959">
      <c r="H959" s="24"/>
      <c r="I959" s="28"/>
      <c r="J959" s="28"/>
    </row>
    <row r="960">
      <c r="H960" s="24"/>
      <c r="I960" s="28"/>
      <c r="J960" s="28"/>
    </row>
    <row r="961">
      <c r="H961" s="24"/>
      <c r="I961" s="28"/>
      <c r="J961" s="28"/>
    </row>
    <row r="962">
      <c r="H962" s="24"/>
      <c r="I962" s="28"/>
      <c r="J962" s="28"/>
    </row>
    <row r="963">
      <c r="H963" s="24"/>
      <c r="I963" s="28"/>
      <c r="J963" s="28"/>
    </row>
    <row r="964">
      <c r="H964" s="24"/>
      <c r="I964" s="28"/>
      <c r="J964" s="28"/>
    </row>
    <row r="965">
      <c r="H965" s="24"/>
      <c r="I965" s="28"/>
      <c r="J965" s="28"/>
    </row>
    <row r="966">
      <c r="H966" s="24"/>
      <c r="I966" s="28"/>
      <c r="J966" s="28"/>
    </row>
    <row r="967">
      <c r="H967" s="24"/>
      <c r="I967" s="28"/>
      <c r="J967" s="28"/>
    </row>
    <row r="968">
      <c r="H968" s="24"/>
      <c r="I968" s="28"/>
      <c r="J968" s="28"/>
    </row>
    <row r="969">
      <c r="H969" s="24"/>
      <c r="I969" s="28"/>
      <c r="J969" s="28"/>
    </row>
    <row r="970">
      <c r="H970" s="24"/>
      <c r="I970" s="28"/>
      <c r="J970" s="28"/>
    </row>
    <row r="971">
      <c r="H971" s="24"/>
      <c r="I971" s="28"/>
      <c r="J971" s="28"/>
    </row>
    <row r="972">
      <c r="H972" s="24"/>
      <c r="I972" s="28"/>
      <c r="J972" s="28"/>
    </row>
    <row r="973">
      <c r="H973" s="24"/>
      <c r="I973" s="28"/>
      <c r="J973" s="28"/>
    </row>
    <row r="974">
      <c r="H974" s="24"/>
      <c r="I974" s="28"/>
      <c r="J974" s="28"/>
    </row>
    <row r="975">
      <c r="H975" s="24"/>
      <c r="I975" s="28"/>
      <c r="J975" s="28"/>
    </row>
    <row r="976">
      <c r="H976" s="24"/>
      <c r="I976" s="28"/>
      <c r="J976" s="28"/>
    </row>
    <row r="977">
      <c r="H977" s="24"/>
      <c r="I977" s="28"/>
      <c r="J977" s="28"/>
    </row>
    <row r="978">
      <c r="H978" s="24"/>
      <c r="I978" s="28"/>
      <c r="J978" s="28"/>
    </row>
    <row r="979">
      <c r="H979" s="24"/>
      <c r="I979" s="28"/>
      <c r="J979" s="28"/>
    </row>
    <row r="980">
      <c r="H980" s="24"/>
      <c r="I980" s="28"/>
      <c r="J980" s="28"/>
    </row>
    <row r="981">
      <c r="H981" s="24"/>
      <c r="I981" s="28"/>
      <c r="J981" s="28"/>
    </row>
    <row r="982">
      <c r="H982" s="24"/>
      <c r="I982" s="28"/>
      <c r="J982" s="28"/>
    </row>
    <row r="983">
      <c r="H983" s="24"/>
      <c r="I983" s="28"/>
      <c r="J983" s="28"/>
    </row>
    <row r="984">
      <c r="H984" s="24"/>
      <c r="I984" s="28"/>
      <c r="J984" s="28"/>
    </row>
    <row r="985">
      <c r="H985" s="24"/>
      <c r="I985" s="28"/>
      <c r="J985" s="28"/>
    </row>
    <row r="986">
      <c r="H986" s="24"/>
      <c r="I986" s="28"/>
      <c r="J986" s="28"/>
    </row>
    <row r="987">
      <c r="H987" s="24"/>
      <c r="I987" s="28"/>
      <c r="J987" s="28"/>
    </row>
    <row r="988">
      <c r="H988" s="24"/>
      <c r="I988" s="28"/>
      <c r="J988" s="28"/>
    </row>
    <row r="989">
      <c r="H989" s="24"/>
      <c r="I989" s="28"/>
      <c r="J989" s="28"/>
    </row>
    <row r="990">
      <c r="H990" s="24"/>
      <c r="I990" s="28"/>
      <c r="J990" s="28"/>
    </row>
    <row r="991">
      <c r="H991" s="24"/>
      <c r="I991" s="28"/>
      <c r="J991" s="28"/>
    </row>
    <row r="992">
      <c r="H992" s="24"/>
      <c r="I992" s="28"/>
      <c r="J992" s="28"/>
    </row>
    <row r="993">
      <c r="H993" s="24"/>
      <c r="I993" s="28"/>
      <c r="J993" s="28"/>
    </row>
    <row r="994">
      <c r="H994" s="24"/>
      <c r="I994" s="28"/>
      <c r="J994" s="28"/>
    </row>
    <row r="995">
      <c r="H995" s="24"/>
      <c r="I995" s="28"/>
      <c r="J995" s="28"/>
    </row>
    <row r="996">
      <c r="H996" s="24"/>
      <c r="I996" s="28"/>
      <c r="J996" s="28"/>
    </row>
    <row r="997">
      <c r="H997" s="24"/>
      <c r="I997" s="28"/>
      <c r="J997" s="28"/>
    </row>
    <row r="998">
      <c r="H998" s="24"/>
      <c r="I998" s="28"/>
      <c r="J998" s="28"/>
    </row>
    <row r="999">
      <c r="H999" s="24"/>
      <c r="I999" s="28"/>
      <c r="J999" s="28"/>
    </row>
    <row r="1000">
      <c r="H1000" s="24"/>
      <c r="I1000" s="28"/>
      <c r="J1000" s="28"/>
    </row>
    <row r="1001">
      <c r="H1001" s="24"/>
      <c r="I1001" s="28"/>
      <c r="J1001" s="28"/>
    </row>
    <row r="1002">
      <c r="H1002" s="24"/>
      <c r="I1002" s="28"/>
      <c r="J1002" s="28"/>
    </row>
    <row r="1003">
      <c r="H1003" s="24"/>
      <c r="I1003" s="28"/>
      <c r="J1003" s="28"/>
    </row>
    <row r="1004">
      <c r="H1004" s="24"/>
      <c r="I1004" s="28"/>
      <c r="J1004" s="28"/>
    </row>
    <row r="1005">
      <c r="H1005" s="24"/>
      <c r="I1005" s="28"/>
      <c r="J1005" s="28"/>
    </row>
    <row r="1006">
      <c r="H1006" s="24"/>
      <c r="I1006" s="28"/>
      <c r="J1006" s="28"/>
    </row>
    <row r="1007">
      <c r="H1007" s="24"/>
    </row>
    <row r="1008">
      <c r="H1008" s="24"/>
    </row>
    <row r="1009">
      <c r="H1009" s="24"/>
    </row>
    <row r="1010">
      <c r="H1010" s="24"/>
    </row>
    <row r="1011">
      <c r="H1011" s="24"/>
    </row>
    <row r="1012">
      <c r="H1012" s="24"/>
    </row>
    <row r="1013">
      <c r="H1013" s="24"/>
    </row>
    <row r="1014">
      <c r="H1014" s="24"/>
    </row>
    <row r="1015">
      <c r="H1015" s="24"/>
    </row>
    <row r="1016">
      <c r="H1016" s="24"/>
    </row>
    <row r="1017">
      <c r="H1017" s="24"/>
    </row>
    <row r="1018">
      <c r="H1018" s="24"/>
    </row>
    <row r="1019">
      <c r="H1019" s="24"/>
    </row>
    <row r="1020">
      <c r="H1020" s="24"/>
    </row>
    <row r="1021">
      <c r="H1021" s="24"/>
    </row>
    <row r="1022">
      <c r="H1022" s="24"/>
    </row>
    <row r="1023">
      <c r="H1023" s="24"/>
    </row>
    <row r="1024">
      <c r="H1024" s="24"/>
    </row>
    <row r="1025">
      <c r="H1025" s="24"/>
    </row>
  </sheetData>
  <mergeCells count="1">
    <mergeCell ref="M13:Q13"/>
  </mergeCells>
  <drawing r:id="rId2"/>
  <legacyDrawing r:id="rId3"/>
  <tableParts count="1">
    <tablePart r:id="rId5"/>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23.43"/>
    <col customWidth="1" min="7" max="7" width="22.57"/>
    <col customWidth="1" min="10" max="10" width="30.43"/>
  </cols>
  <sheetData>
    <row r="1">
      <c r="A1" s="20" t="s">
        <v>78</v>
      </c>
      <c r="B1" s="20" t="s">
        <v>79</v>
      </c>
      <c r="C1" s="20" t="s">
        <v>2948</v>
      </c>
      <c r="D1" s="20" t="s">
        <v>80</v>
      </c>
      <c r="E1" s="20" t="s">
        <v>81</v>
      </c>
      <c r="F1" s="20" t="s">
        <v>82</v>
      </c>
      <c r="G1" s="20" t="s">
        <v>83</v>
      </c>
      <c r="H1" s="21" t="s">
        <v>84</v>
      </c>
      <c r="I1" s="20" t="s">
        <v>85</v>
      </c>
      <c r="J1" s="20" t="s">
        <v>86</v>
      </c>
    </row>
    <row r="2">
      <c r="A2" s="22" t="s">
        <v>131</v>
      </c>
      <c r="B2" s="22">
        <v>6.0</v>
      </c>
      <c r="C2" s="22" t="s">
        <v>2951</v>
      </c>
      <c r="D2" s="23" t="str">
        <f t="shared" ref="D2:D3" si="1">HYPERLINK("http://ecotaxoserver.obs-vlfr.fr/browsetaxo/?id=56017","56017")</f>
        <v>56017</v>
      </c>
      <c r="E2" s="23" t="str">
        <f>HYPERLINK("http://www.marinespecies.org/aphia.php?p=taxdetails&amp;id=148944","148944")</f>
        <v>148944</v>
      </c>
      <c r="F2" s="22" t="s">
        <v>131</v>
      </c>
      <c r="G2" s="22" t="s">
        <v>305</v>
      </c>
      <c r="H2" s="24" t="s">
        <v>1927</v>
      </c>
      <c r="I2" s="23" t="str">
        <f>HYPERLINK("http://www.marinespecies.org/aphia.php?p=taxdetails&amp;id=148944","148944")</f>
        <v>148944</v>
      </c>
      <c r="J2" s="24" t="s">
        <v>3004</v>
      </c>
    </row>
    <row r="3">
      <c r="A3" s="22" t="s">
        <v>131</v>
      </c>
      <c r="B3" s="22">
        <v>6.0</v>
      </c>
      <c r="C3" s="22" t="s">
        <v>2951</v>
      </c>
      <c r="D3" s="23" t="str">
        <f t="shared" si="1"/>
        <v>56017</v>
      </c>
      <c r="E3" s="23" t="str">
        <f>HYPERLINK("http://www.marinespecies.org/aphia.php?p=taxdetails&amp;id=196347","196347")</f>
        <v>196347</v>
      </c>
      <c r="F3" s="22" t="s">
        <v>131</v>
      </c>
      <c r="G3" s="22" t="s">
        <v>1970</v>
      </c>
      <c r="H3" s="24" t="s">
        <v>1927</v>
      </c>
      <c r="I3" s="36"/>
      <c r="J3" s="24" t="s">
        <v>1969</v>
      </c>
    </row>
    <row r="4">
      <c r="A4" s="22" t="s">
        <v>1978</v>
      </c>
      <c r="B4" s="22">
        <v>1688.0</v>
      </c>
      <c r="C4" s="22" t="s">
        <v>2951</v>
      </c>
      <c r="D4" s="23" t="str">
        <f t="shared" ref="D4:D5" si="2">HYPERLINK("http://ecotaxoserver.obs-vlfr.fr/browsetaxo/?id=67152","67152")</f>
        <v>67152</v>
      </c>
      <c r="E4" s="23" t="str">
        <f>HYPERLINK("http://www.marinespecies.org/aphia.php?p=taxdetails&amp;id=235815","235815")</f>
        <v>235815</v>
      </c>
      <c r="F4" s="22" t="s">
        <v>1978</v>
      </c>
      <c r="G4" s="22" t="s">
        <v>1979</v>
      </c>
      <c r="H4" s="24" t="s">
        <v>1927</v>
      </c>
      <c r="I4" s="23" t="str">
        <f>HYPERLINK("http://www.marinespecies.org/aphia.php?p=taxdetails&amp;id=235815","235815")</f>
        <v>235815</v>
      </c>
      <c r="J4" s="24" t="s">
        <v>3004</v>
      </c>
    </row>
    <row r="5">
      <c r="A5" s="22" t="s">
        <v>1978</v>
      </c>
      <c r="B5" s="22">
        <v>1688.0</v>
      </c>
      <c r="C5" s="22" t="s">
        <v>2951</v>
      </c>
      <c r="D5" s="23" t="str">
        <f t="shared" si="2"/>
        <v>67152</v>
      </c>
      <c r="E5" s="23" t="str">
        <f>HYPERLINK("http://www.marinespecies.org/aphia.php?p=taxdetails&amp;id=291403","291403")</f>
        <v>291403</v>
      </c>
      <c r="F5" s="22" t="s">
        <v>1978</v>
      </c>
      <c r="G5" s="22" t="s">
        <v>1981</v>
      </c>
      <c r="H5" s="24" t="s">
        <v>1927</v>
      </c>
      <c r="I5" s="36"/>
      <c r="J5" s="24" t="s">
        <v>1980</v>
      </c>
    </row>
    <row r="6">
      <c r="A6" s="22" t="s">
        <v>3005</v>
      </c>
      <c r="B6" s="22">
        <v>11.0</v>
      </c>
      <c r="C6" s="22" t="s">
        <v>2951</v>
      </c>
      <c r="D6" s="23" t="str">
        <f t="shared" ref="D6:D7" si="3">HYPERLINK("http://ecotaxoserver.obs-vlfr.fr/browsetaxo/?id=55555","55555")</f>
        <v>55555</v>
      </c>
      <c r="E6" s="23" t="str">
        <f>HYPERLINK("http://www.marinespecies.org/aphia.php?p=taxdetails&amp;id=149553","149553")</f>
        <v>149553</v>
      </c>
      <c r="F6" s="22" t="s">
        <v>3005</v>
      </c>
      <c r="G6" s="22" t="s">
        <v>3006</v>
      </c>
      <c r="H6" s="24" t="s">
        <v>1927</v>
      </c>
      <c r="I6" s="23" t="str">
        <f>HYPERLINK("http://www.marinespecies.org/aphia.php?p=taxdetails&amp;id=149553","149553")</f>
        <v>149553</v>
      </c>
      <c r="J6" s="24" t="s">
        <v>3004</v>
      </c>
    </row>
    <row r="7">
      <c r="A7" s="22" t="s">
        <v>3005</v>
      </c>
      <c r="B7" s="22">
        <v>11.0</v>
      </c>
      <c r="C7" s="22" t="s">
        <v>2951</v>
      </c>
      <c r="D7" s="23" t="str">
        <f t="shared" si="3"/>
        <v>55555</v>
      </c>
      <c r="E7" s="23" t="str">
        <f>HYPERLINK("http://www.marinespecies.org/aphia.php?p=taxdetails&amp;id=956074","956074")</f>
        <v>956074</v>
      </c>
      <c r="F7" s="22" t="s">
        <v>3005</v>
      </c>
      <c r="G7" s="22" t="s">
        <v>315</v>
      </c>
      <c r="H7" s="24" t="s">
        <v>1927</v>
      </c>
      <c r="I7" s="36"/>
      <c r="J7" s="24" t="s">
        <v>3007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8.57"/>
    <col customWidth="1" min="7" max="7" width="20.43"/>
    <col customWidth="1" min="10" max="10" width="76.71"/>
  </cols>
  <sheetData>
    <row r="1">
      <c r="A1" s="20" t="s">
        <v>78</v>
      </c>
      <c r="B1" s="20" t="s">
        <v>79</v>
      </c>
      <c r="C1" s="20" t="s">
        <v>2948</v>
      </c>
      <c r="D1" s="20" t="s">
        <v>80</v>
      </c>
      <c r="E1" s="20" t="s">
        <v>81</v>
      </c>
      <c r="F1" s="20" t="s">
        <v>82</v>
      </c>
      <c r="G1" s="20" t="s">
        <v>83</v>
      </c>
      <c r="H1" s="21" t="s">
        <v>84</v>
      </c>
      <c r="I1" s="20" t="s">
        <v>85</v>
      </c>
      <c r="J1" s="20" t="s">
        <v>86</v>
      </c>
    </row>
    <row r="2">
      <c r="A2" s="22" t="s">
        <v>880</v>
      </c>
      <c r="B2" s="22">
        <v>214.0</v>
      </c>
      <c r="C2" s="22" t="s">
        <v>2953</v>
      </c>
      <c r="D2" s="23" t="str">
        <f t="shared" ref="D2:D3" si="1">HYPERLINK("http://ecotaxoserver.obs-vlfr.fr/browsetaxo/?id=25931","25931")</f>
        <v>25931</v>
      </c>
      <c r="E2" s="23" t="str">
        <f>HYPERLINK("http://www.marinespecies.org/aphia.php?p=taxdetails&amp;id=103357","103357")</f>
        <v>103357</v>
      </c>
      <c r="F2" s="22" t="s">
        <v>880</v>
      </c>
      <c r="G2" s="22" t="s">
        <v>1971</v>
      </c>
      <c r="H2" s="24" t="s">
        <v>1927</v>
      </c>
      <c r="J2" s="24" t="s">
        <v>3008</v>
      </c>
    </row>
    <row r="3">
      <c r="A3" s="22" t="s">
        <v>880</v>
      </c>
      <c r="B3" s="22">
        <v>214.0</v>
      </c>
      <c r="C3" s="22" t="s">
        <v>2953</v>
      </c>
      <c r="D3" s="23" t="str">
        <f t="shared" si="1"/>
        <v>25931</v>
      </c>
      <c r="E3" s="23" t="str">
        <f>HYPERLINK("http://www.marinespecies.org/aphia.php?p=taxdetails&amp;id=146421","146421")</f>
        <v>146421</v>
      </c>
      <c r="F3" s="22" t="s">
        <v>880</v>
      </c>
      <c r="G3" s="22" t="s">
        <v>254</v>
      </c>
      <c r="H3" s="24" t="s">
        <v>1927</v>
      </c>
      <c r="I3" s="23" t="str">
        <f>HYPERLINK("http://www.marinespecies.org/aphia.php?p=taxdetails&amp;id=146421","146421")</f>
        <v>146421</v>
      </c>
      <c r="J3" s="24" t="s">
        <v>3008</v>
      </c>
    </row>
    <row r="4">
      <c r="A4" s="22" t="s">
        <v>880</v>
      </c>
      <c r="B4" s="22">
        <v>2.0</v>
      </c>
      <c r="C4" s="22" t="s">
        <v>2956</v>
      </c>
      <c r="D4" s="23" t="str">
        <f t="shared" ref="D4:D5" si="2">HYPERLINK("http://ecotaxoserver.obs-vlfr.fr/browsetaxo/?id=56310","56310")</f>
        <v>56310</v>
      </c>
      <c r="E4" s="23" t="str">
        <f>HYPERLINK("http://www.marinespecies.org/aphia.php?p=taxdetails&amp;id=103357","103357")</f>
        <v>103357</v>
      </c>
      <c r="F4" s="22" t="s">
        <v>3009</v>
      </c>
      <c r="G4" s="22" t="s">
        <v>1971</v>
      </c>
      <c r="H4" s="24" t="s">
        <v>1927</v>
      </c>
      <c r="J4" s="24" t="s">
        <v>3010</v>
      </c>
    </row>
    <row r="5">
      <c r="A5" s="22" t="s">
        <v>880</v>
      </c>
      <c r="B5" s="22">
        <v>2.0</v>
      </c>
      <c r="C5" s="22" t="s">
        <v>2956</v>
      </c>
      <c r="D5" s="23" t="str">
        <f t="shared" si="2"/>
        <v>56310</v>
      </c>
      <c r="E5" s="23" t="str">
        <f>HYPERLINK("http://www.marinespecies.org/aphia.php?p=taxdetails&amp;id=146421","146421")</f>
        <v>146421</v>
      </c>
      <c r="F5" s="22" t="s">
        <v>3009</v>
      </c>
      <c r="G5" s="22" t="s">
        <v>254</v>
      </c>
      <c r="H5" s="24" t="s">
        <v>1927</v>
      </c>
      <c r="I5" s="23" t="str">
        <f>HYPERLINK("http://www.marinespecies.org/aphia.php?p=taxdetails&amp;id=146421","146421")</f>
        <v>146421</v>
      </c>
      <c r="J5" s="24" t="s">
        <v>3010</v>
      </c>
    </row>
    <row r="6">
      <c r="A6" s="22" t="s">
        <v>2001</v>
      </c>
      <c r="B6" s="22">
        <v>258.0</v>
      </c>
      <c r="C6" s="22" t="s">
        <v>2953</v>
      </c>
      <c r="D6" s="23" t="str">
        <f t="shared" ref="D6:D9" si="3">HYPERLINK("http://ecotaxoserver.obs-vlfr.fr/browsetaxo/?id=12871","12871")</f>
        <v>12871</v>
      </c>
      <c r="E6" s="23" t="str">
        <f>HYPERLINK("http://www.marinespecies.org/aphia.php?p=taxdetails&amp;id=1248","1248")</f>
        <v>1248</v>
      </c>
      <c r="F6" s="22" t="s">
        <v>2001</v>
      </c>
      <c r="G6" s="22" t="s">
        <v>224</v>
      </c>
      <c r="H6" s="24" t="s">
        <v>1927</v>
      </c>
      <c r="I6" s="23" t="str">
        <f>HYPERLINK("http://www.marinespecies.org/aphia.php?p=taxdetails&amp;id=1248","1248")</f>
        <v>1248</v>
      </c>
      <c r="J6" s="24" t="s">
        <v>3011</v>
      </c>
    </row>
    <row r="7">
      <c r="A7" s="22" t="s">
        <v>2001</v>
      </c>
      <c r="B7" s="22">
        <v>258.0</v>
      </c>
      <c r="C7" s="22" t="s">
        <v>2953</v>
      </c>
      <c r="D7" s="23" t="str">
        <f t="shared" si="3"/>
        <v>12871</v>
      </c>
      <c r="E7" s="23" t="str">
        <f>HYPERLINK("http://www.marinespecies.org/aphia.php?p=taxdetails&amp;id=163921","163921")</f>
        <v>163921</v>
      </c>
      <c r="F7" s="22" t="s">
        <v>2001</v>
      </c>
      <c r="G7" s="22" t="s">
        <v>258</v>
      </c>
      <c r="H7" s="24" t="s">
        <v>1927</v>
      </c>
      <c r="J7" s="24" t="s">
        <v>3011</v>
      </c>
    </row>
    <row r="8">
      <c r="A8" s="22" t="s">
        <v>2001</v>
      </c>
      <c r="B8" s="22">
        <v>258.0</v>
      </c>
      <c r="C8" s="22" t="s">
        <v>2953</v>
      </c>
      <c r="D8" s="23" t="str">
        <f t="shared" si="3"/>
        <v>12871</v>
      </c>
      <c r="E8" s="23" t="str">
        <f>HYPERLINK("http://www.marinespecies.org/aphia.php?p=taxdetails&amp;id=956054","956054")</f>
        <v>956054</v>
      </c>
      <c r="F8" s="22" t="s">
        <v>2001</v>
      </c>
      <c r="G8" s="22" t="s">
        <v>258</v>
      </c>
      <c r="H8" s="24" t="s">
        <v>1927</v>
      </c>
      <c r="J8" s="24" t="s">
        <v>3011</v>
      </c>
    </row>
    <row r="9">
      <c r="A9" s="22" t="s">
        <v>2001</v>
      </c>
      <c r="B9" s="22">
        <v>258.0</v>
      </c>
      <c r="C9" s="22" t="s">
        <v>2953</v>
      </c>
      <c r="D9" s="23" t="str">
        <f t="shared" si="3"/>
        <v>12871</v>
      </c>
      <c r="E9" s="23" t="str">
        <f>HYPERLINK("http://www.marinespecies.org/aphia.php?p=taxdetails&amp;id=956065","956065")</f>
        <v>956065</v>
      </c>
      <c r="F9" s="22" t="s">
        <v>2001</v>
      </c>
      <c r="G9" s="22" t="s">
        <v>315</v>
      </c>
      <c r="H9" s="24" t="s">
        <v>1927</v>
      </c>
      <c r="J9" s="24" t="s">
        <v>3011</v>
      </c>
    </row>
    <row r="10">
      <c r="A10" s="22" t="s">
        <v>2001</v>
      </c>
      <c r="B10" s="22">
        <v>638.0</v>
      </c>
      <c r="C10" s="22" t="s">
        <v>2951</v>
      </c>
      <c r="D10" s="23" t="str">
        <f t="shared" ref="D10:D13" si="4">HYPERLINK("http://ecotaxoserver.obs-vlfr.fr/browsetaxo/?id=51494","51494")</f>
        <v>51494</v>
      </c>
      <c r="E10" s="23" t="str">
        <f>HYPERLINK("http://www.marinespecies.org/aphia.php?p=taxdetails&amp;id=1248","1248")</f>
        <v>1248</v>
      </c>
      <c r="F10" s="22" t="s">
        <v>2001</v>
      </c>
      <c r="G10" s="22" t="s">
        <v>224</v>
      </c>
      <c r="H10" s="24" t="s">
        <v>1927</v>
      </c>
      <c r="I10" s="23" t="str">
        <f>HYPERLINK("http://www.marinespecies.org/aphia.php?p=taxdetails&amp;id=1248","1248")</f>
        <v>1248</v>
      </c>
      <c r="J10" s="24" t="s">
        <v>3012</v>
      </c>
    </row>
    <row r="11">
      <c r="A11" s="22" t="s">
        <v>2001</v>
      </c>
      <c r="B11" s="22">
        <v>638.0</v>
      </c>
      <c r="C11" s="22" t="s">
        <v>2951</v>
      </c>
      <c r="D11" s="23" t="str">
        <f t="shared" si="4"/>
        <v>51494</v>
      </c>
      <c r="E11" s="23" t="str">
        <f>HYPERLINK("http://www.marinespecies.org/aphia.php?p=taxdetails&amp;id=163921","163921")</f>
        <v>163921</v>
      </c>
      <c r="F11" s="22" t="s">
        <v>2001</v>
      </c>
      <c r="G11" s="22" t="s">
        <v>258</v>
      </c>
      <c r="H11" s="24" t="s">
        <v>1927</v>
      </c>
      <c r="J11" s="24" t="s">
        <v>3012</v>
      </c>
    </row>
    <row r="12">
      <c r="A12" s="22" t="s">
        <v>2001</v>
      </c>
      <c r="B12" s="22">
        <v>638.0</v>
      </c>
      <c r="C12" s="22" t="s">
        <v>2951</v>
      </c>
      <c r="D12" s="23" t="str">
        <f t="shared" si="4"/>
        <v>51494</v>
      </c>
      <c r="E12" s="23" t="str">
        <f>HYPERLINK("http://www.marinespecies.org/aphia.php?p=taxdetails&amp;id=956054","956054")</f>
        <v>956054</v>
      </c>
      <c r="F12" s="22" t="s">
        <v>2001</v>
      </c>
      <c r="G12" s="22" t="s">
        <v>258</v>
      </c>
      <c r="H12" s="24" t="s">
        <v>1927</v>
      </c>
      <c r="J12" s="24" t="s">
        <v>3012</v>
      </c>
    </row>
    <row r="13">
      <c r="A13" s="22" t="s">
        <v>2001</v>
      </c>
      <c r="B13" s="22">
        <v>638.0</v>
      </c>
      <c r="C13" s="22" t="s">
        <v>2951</v>
      </c>
      <c r="D13" s="23" t="str">
        <f t="shared" si="4"/>
        <v>51494</v>
      </c>
      <c r="E13" s="23" t="str">
        <f>HYPERLINK("http://www.marinespecies.org/aphia.php?p=taxdetails&amp;id=956065","956065")</f>
        <v>956065</v>
      </c>
      <c r="F13" s="22" t="s">
        <v>2001</v>
      </c>
      <c r="G13" s="22" t="s">
        <v>315</v>
      </c>
      <c r="H13" s="24" t="s">
        <v>1927</v>
      </c>
      <c r="J13" s="24" t="s">
        <v>3012</v>
      </c>
    </row>
    <row r="14">
      <c r="H14" s="24"/>
    </row>
    <row r="15">
      <c r="H15" s="24"/>
    </row>
    <row r="16">
      <c r="H16" s="24"/>
      <c r="J16" s="24" t="s">
        <v>3013</v>
      </c>
    </row>
    <row r="17">
      <c r="H17" s="24"/>
    </row>
    <row r="18">
      <c r="H18" s="24"/>
    </row>
    <row r="19">
      <c r="H19" s="24"/>
    </row>
    <row r="20">
      <c r="H20" s="24"/>
    </row>
    <row r="21">
      <c r="H21" s="24"/>
    </row>
    <row r="22">
      <c r="H22" s="24"/>
    </row>
    <row r="23">
      <c r="H23" s="24"/>
    </row>
    <row r="24">
      <c r="H24" s="24"/>
    </row>
    <row r="25">
      <c r="H25" s="24"/>
    </row>
    <row r="26">
      <c r="H26" s="24"/>
    </row>
    <row r="27">
      <c r="H27" s="24"/>
    </row>
    <row r="28">
      <c r="H28" s="24"/>
    </row>
    <row r="29">
      <c r="H29" s="24"/>
    </row>
    <row r="30">
      <c r="H30" s="24"/>
    </row>
    <row r="31">
      <c r="H31" s="24"/>
    </row>
    <row r="32">
      <c r="H32" s="24"/>
    </row>
    <row r="33">
      <c r="H33" s="24"/>
    </row>
    <row r="34">
      <c r="H34" s="24"/>
    </row>
    <row r="35">
      <c r="H35" s="24"/>
    </row>
    <row r="36">
      <c r="H36" s="24"/>
    </row>
    <row r="37">
      <c r="H37" s="24"/>
    </row>
    <row r="38">
      <c r="H38" s="24"/>
    </row>
    <row r="39">
      <c r="H39" s="24"/>
    </row>
    <row r="40">
      <c r="H40" s="24"/>
    </row>
    <row r="41">
      <c r="H41" s="24"/>
    </row>
    <row r="42">
      <c r="H42" s="24"/>
    </row>
    <row r="43">
      <c r="H43" s="24"/>
    </row>
    <row r="44">
      <c r="H44" s="24"/>
    </row>
    <row r="45">
      <c r="H45" s="24"/>
    </row>
    <row r="46">
      <c r="H46" s="24"/>
    </row>
    <row r="47">
      <c r="H47" s="24"/>
    </row>
    <row r="48">
      <c r="H48" s="24"/>
    </row>
    <row r="49">
      <c r="H49" s="24"/>
    </row>
    <row r="50">
      <c r="H50" s="24"/>
    </row>
    <row r="51">
      <c r="H51" s="24"/>
    </row>
    <row r="52">
      <c r="H52" s="24"/>
    </row>
    <row r="53">
      <c r="H53" s="24"/>
    </row>
    <row r="54">
      <c r="H54" s="24"/>
    </row>
    <row r="55">
      <c r="H55" s="24"/>
    </row>
    <row r="56">
      <c r="H56" s="24"/>
    </row>
    <row r="57">
      <c r="H57" s="24"/>
    </row>
    <row r="58">
      <c r="H58" s="24"/>
    </row>
    <row r="59">
      <c r="H59" s="24"/>
    </row>
    <row r="60">
      <c r="H60" s="24"/>
    </row>
    <row r="61">
      <c r="H61" s="24"/>
    </row>
    <row r="62">
      <c r="H62" s="24"/>
    </row>
    <row r="63">
      <c r="H63" s="24"/>
    </row>
    <row r="64">
      <c r="H64" s="24"/>
    </row>
    <row r="65">
      <c r="H65" s="24"/>
    </row>
    <row r="66">
      <c r="H66" s="24"/>
    </row>
    <row r="67">
      <c r="H67" s="24"/>
    </row>
    <row r="68">
      <c r="H68" s="24"/>
    </row>
    <row r="69">
      <c r="H69" s="24"/>
    </row>
    <row r="70">
      <c r="H70" s="24"/>
    </row>
    <row r="71">
      <c r="H71" s="24"/>
    </row>
    <row r="72">
      <c r="H72" s="24"/>
    </row>
    <row r="73">
      <c r="H73" s="24"/>
    </row>
    <row r="74">
      <c r="H74" s="24"/>
    </row>
    <row r="75">
      <c r="H75" s="24"/>
    </row>
    <row r="76">
      <c r="H76" s="24"/>
    </row>
    <row r="77">
      <c r="H77" s="24"/>
    </row>
    <row r="78">
      <c r="H78" s="24"/>
    </row>
    <row r="79">
      <c r="H79" s="24"/>
    </row>
    <row r="80">
      <c r="H80" s="24"/>
    </row>
    <row r="81">
      <c r="H81" s="24"/>
    </row>
    <row r="82">
      <c r="H82" s="24"/>
    </row>
    <row r="83">
      <c r="H83" s="24"/>
    </row>
    <row r="84">
      <c r="H84" s="24"/>
    </row>
    <row r="85">
      <c r="H85" s="24"/>
    </row>
    <row r="86">
      <c r="H86" s="24"/>
    </row>
    <row r="87">
      <c r="H87" s="24"/>
    </row>
    <row r="88">
      <c r="H88" s="24"/>
    </row>
    <row r="89">
      <c r="H89" s="24"/>
    </row>
    <row r="90">
      <c r="H90" s="24"/>
    </row>
    <row r="91">
      <c r="H91" s="24"/>
    </row>
    <row r="92">
      <c r="H92" s="24"/>
    </row>
    <row r="93">
      <c r="H93" s="24"/>
    </row>
    <row r="94">
      <c r="H94" s="24"/>
    </row>
    <row r="95">
      <c r="H95" s="24"/>
    </row>
    <row r="96">
      <c r="H96" s="24"/>
    </row>
    <row r="97">
      <c r="H97" s="24"/>
    </row>
    <row r="98">
      <c r="H98" s="24"/>
    </row>
    <row r="99">
      <c r="H99" s="24"/>
    </row>
    <row r="100">
      <c r="H100" s="24"/>
    </row>
    <row r="101">
      <c r="H101" s="24"/>
    </row>
    <row r="102">
      <c r="H102" s="24"/>
    </row>
    <row r="103">
      <c r="H103" s="24"/>
    </row>
    <row r="104">
      <c r="H104" s="24"/>
    </row>
    <row r="105">
      <c r="H105" s="24"/>
    </row>
    <row r="106">
      <c r="H106" s="24"/>
    </row>
    <row r="107">
      <c r="H107" s="24"/>
    </row>
    <row r="108">
      <c r="H108" s="24"/>
    </row>
    <row r="109">
      <c r="H109" s="24"/>
    </row>
    <row r="110">
      <c r="H110" s="24"/>
    </row>
    <row r="111">
      <c r="H111" s="24"/>
    </row>
    <row r="112">
      <c r="H112" s="24"/>
    </row>
    <row r="113">
      <c r="H113" s="24"/>
    </row>
    <row r="114">
      <c r="H114" s="24"/>
    </row>
    <row r="115">
      <c r="H115" s="24"/>
    </row>
    <row r="116">
      <c r="H116" s="24"/>
    </row>
    <row r="117">
      <c r="H117" s="24"/>
    </row>
    <row r="118">
      <c r="H118" s="24"/>
    </row>
    <row r="119">
      <c r="H119" s="24"/>
    </row>
    <row r="120">
      <c r="H120" s="24"/>
    </row>
    <row r="121">
      <c r="H121" s="24"/>
    </row>
    <row r="122">
      <c r="H122" s="24"/>
    </row>
    <row r="123">
      <c r="H123" s="24"/>
    </row>
    <row r="124">
      <c r="H124" s="24"/>
    </row>
    <row r="125">
      <c r="H125" s="24"/>
    </row>
    <row r="126">
      <c r="H126" s="24"/>
    </row>
    <row r="127">
      <c r="H127" s="24"/>
    </row>
    <row r="128">
      <c r="H128" s="24"/>
    </row>
    <row r="129">
      <c r="H129" s="24"/>
    </row>
    <row r="130">
      <c r="H130" s="24"/>
    </row>
    <row r="131">
      <c r="H131" s="24"/>
    </row>
    <row r="132">
      <c r="H132" s="24"/>
    </row>
    <row r="133">
      <c r="H133" s="24"/>
    </row>
    <row r="134">
      <c r="H134" s="24"/>
    </row>
    <row r="135">
      <c r="H135" s="24"/>
    </row>
    <row r="136">
      <c r="H136" s="24"/>
    </row>
    <row r="137">
      <c r="H137" s="24"/>
    </row>
    <row r="138">
      <c r="H138" s="24"/>
    </row>
    <row r="139">
      <c r="H139" s="24"/>
    </row>
    <row r="140">
      <c r="H140" s="24"/>
    </row>
    <row r="141">
      <c r="H141" s="24"/>
    </row>
    <row r="142">
      <c r="H142" s="24"/>
    </row>
    <row r="143">
      <c r="H143" s="24"/>
    </row>
    <row r="144">
      <c r="H144" s="24"/>
    </row>
    <row r="145">
      <c r="H145" s="24"/>
    </row>
    <row r="146">
      <c r="H146" s="24"/>
    </row>
    <row r="147">
      <c r="H147" s="24"/>
    </row>
    <row r="148">
      <c r="H148" s="24"/>
    </row>
    <row r="149">
      <c r="H149" s="24"/>
    </row>
    <row r="150">
      <c r="H150" s="24"/>
    </row>
    <row r="151">
      <c r="H151" s="24"/>
    </row>
    <row r="152">
      <c r="H152" s="24"/>
    </row>
    <row r="153">
      <c r="H153" s="24"/>
    </row>
    <row r="154">
      <c r="H154" s="24"/>
    </row>
    <row r="155">
      <c r="H155" s="24"/>
    </row>
    <row r="156">
      <c r="H156" s="24"/>
    </row>
    <row r="157">
      <c r="H157" s="24"/>
    </row>
    <row r="158">
      <c r="H158" s="24"/>
    </row>
    <row r="159">
      <c r="H159" s="24"/>
    </row>
    <row r="160">
      <c r="H160" s="24"/>
    </row>
    <row r="161">
      <c r="H161" s="24"/>
    </row>
    <row r="162">
      <c r="H162" s="24"/>
    </row>
    <row r="163">
      <c r="H163" s="24"/>
    </row>
    <row r="164">
      <c r="H164" s="24"/>
    </row>
    <row r="165">
      <c r="H165" s="24"/>
    </row>
    <row r="166">
      <c r="H166" s="24"/>
    </row>
    <row r="167">
      <c r="H167" s="24"/>
    </row>
    <row r="168">
      <c r="H168" s="24"/>
    </row>
    <row r="169">
      <c r="H169" s="24"/>
    </row>
    <row r="170">
      <c r="H170" s="24"/>
    </row>
    <row r="171">
      <c r="H171" s="24"/>
    </row>
    <row r="172">
      <c r="H172" s="24"/>
    </row>
    <row r="173">
      <c r="H173" s="24"/>
    </row>
    <row r="174">
      <c r="H174" s="24"/>
    </row>
    <row r="175">
      <c r="H175" s="24"/>
    </row>
    <row r="176">
      <c r="H176" s="24"/>
    </row>
    <row r="177">
      <c r="H177" s="24"/>
    </row>
    <row r="178">
      <c r="H178" s="24"/>
    </row>
    <row r="179">
      <c r="H179" s="24"/>
    </row>
    <row r="180">
      <c r="H180" s="24"/>
    </row>
    <row r="181">
      <c r="H181" s="24"/>
    </row>
    <row r="182">
      <c r="H182" s="24"/>
    </row>
    <row r="183">
      <c r="H183" s="24"/>
    </row>
    <row r="184">
      <c r="H184" s="24"/>
    </row>
    <row r="185">
      <c r="H185" s="24"/>
    </row>
    <row r="186">
      <c r="H186" s="24"/>
    </row>
    <row r="187">
      <c r="H187" s="24"/>
    </row>
    <row r="188">
      <c r="H188" s="24"/>
    </row>
    <row r="189">
      <c r="H189" s="24"/>
    </row>
    <row r="190">
      <c r="H190" s="24"/>
    </row>
    <row r="191">
      <c r="H191" s="24"/>
    </row>
    <row r="192">
      <c r="H192" s="24"/>
    </row>
    <row r="193">
      <c r="H193" s="24"/>
    </row>
    <row r="194">
      <c r="H194" s="24"/>
    </row>
    <row r="195">
      <c r="H195" s="24"/>
    </row>
    <row r="196">
      <c r="H196" s="24"/>
    </row>
    <row r="197">
      <c r="H197" s="24"/>
    </row>
    <row r="198">
      <c r="H198" s="24"/>
    </row>
    <row r="199">
      <c r="H199" s="24"/>
    </row>
    <row r="200">
      <c r="H200" s="24"/>
    </row>
    <row r="201">
      <c r="H201" s="24"/>
    </row>
    <row r="202">
      <c r="H202" s="24"/>
    </row>
    <row r="203">
      <c r="H203" s="24"/>
    </row>
    <row r="204">
      <c r="H204" s="24"/>
    </row>
    <row r="205">
      <c r="H205" s="24"/>
    </row>
    <row r="206">
      <c r="H206" s="24"/>
    </row>
    <row r="207">
      <c r="H207" s="24"/>
    </row>
    <row r="208">
      <c r="H208" s="24"/>
    </row>
    <row r="209">
      <c r="H209" s="24"/>
    </row>
    <row r="210">
      <c r="H210" s="24"/>
    </row>
    <row r="211">
      <c r="H211" s="24"/>
    </row>
    <row r="212">
      <c r="H212" s="24"/>
    </row>
    <row r="213">
      <c r="H213" s="24"/>
    </row>
    <row r="214">
      <c r="H214" s="24"/>
    </row>
    <row r="215">
      <c r="H215" s="24"/>
    </row>
    <row r="216">
      <c r="H216" s="24"/>
    </row>
    <row r="217">
      <c r="H217" s="24"/>
    </row>
    <row r="218">
      <c r="H218" s="24"/>
    </row>
    <row r="219">
      <c r="H219" s="24"/>
    </row>
    <row r="220">
      <c r="H220" s="24"/>
    </row>
    <row r="221">
      <c r="H221" s="24"/>
    </row>
    <row r="222">
      <c r="H222" s="24"/>
    </row>
    <row r="223">
      <c r="H223" s="24"/>
    </row>
    <row r="224">
      <c r="H224" s="24"/>
    </row>
    <row r="225">
      <c r="H225" s="24"/>
    </row>
    <row r="226">
      <c r="H226" s="24"/>
    </row>
    <row r="227">
      <c r="H227" s="24"/>
    </row>
    <row r="228">
      <c r="H228" s="24"/>
    </row>
    <row r="229">
      <c r="H229" s="24"/>
    </row>
    <row r="230">
      <c r="H230" s="24"/>
    </row>
    <row r="231">
      <c r="H231" s="24"/>
    </row>
    <row r="232">
      <c r="H232" s="24"/>
    </row>
    <row r="233">
      <c r="H233" s="24"/>
    </row>
    <row r="234">
      <c r="H234" s="24"/>
    </row>
    <row r="235">
      <c r="H235" s="24"/>
    </row>
    <row r="236">
      <c r="H236" s="24"/>
    </row>
    <row r="237">
      <c r="H237" s="24"/>
    </row>
    <row r="238">
      <c r="H238" s="24"/>
    </row>
    <row r="239">
      <c r="H239" s="24"/>
    </row>
    <row r="240">
      <c r="H240" s="24"/>
    </row>
    <row r="241">
      <c r="H241" s="24"/>
    </row>
    <row r="242">
      <c r="H242" s="24"/>
    </row>
    <row r="243">
      <c r="H243" s="24"/>
    </row>
    <row r="244">
      <c r="H244" s="24"/>
    </row>
    <row r="245">
      <c r="H245" s="24"/>
    </row>
    <row r="246">
      <c r="H246" s="24"/>
    </row>
    <row r="247">
      <c r="H247" s="24"/>
    </row>
    <row r="248">
      <c r="H248" s="24"/>
    </row>
    <row r="249">
      <c r="H249" s="24"/>
    </row>
    <row r="250">
      <c r="H250" s="24"/>
    </row>
    <row r="251">
      <c r="H251" s="24"/>
    </row>
    <row r="252">
      <c r="H252" s="24"/>
    </row>
    <row r="253">
      <c r="H253" s="24"/>
    </row>
    <row r="254">
      <c r="H254" s="24"/>
    </row>
    <row r="255">
      <c r="H255" s="24"/>
    </row>
    <row r="256">
      <c r="H256" s="24"/>
    </row>
    <row r="257">
      <c r="H257" s="24"/>
    </row>
    <row r="258">
      <c r="H258" s="24"/>
    </row>
    <row r="259">
      <c r="H259" s="24"/>
    </row>
    <row r="260">
      <c r="H260" s="24"/>
    </row>
    <row r="261">
      <c r="H261" s="24"/>
    </row>
    <row r="262">
      <c r="H262" s="24"/>
    </row>
    <row r="263">
      <c r="H263" s="24"/>
    </row>
    <row r="264">
      <c r="H264" s="24"/>
    </row>
    <row r="265">
      <c r="H265" s="24"/>
    </row>
    <row r="266">
      <c r="H266" s="24"/>
    </row>
    <row r="267">
      <c r="H267" s="24"/>
    </row>
    <row r="268">
      <c r="H268" s="24"/>
    </row>
    <row r="269">
      <c r="H269" s="24"/>
    </row>
    <row r="270">
      <c r="H270" s="24"/>
    </row>
    <row r="271">
      <c r="H271" s="24"/>
    </row>
    <row r="272">
      <c r="H272" s="24"/>
    </row>
    <row r="273">
      <c r="H273" s="24"/>
    </row>
    <row r="274">
      <c r="H274" s="24"/>
    </row>
    <row r="275">
      <c r="H275" s="24"/>
    </row>
    <row r="276">
      <c r="H276" s="24"/>
    </row>
    <row r="277">
      <c r="H277" s="24"/>
    </row>
    <row r="278">
      <c r="H278" s="24"/>
    </row>
    <row r="279">
      <c r="H279" s="24"/>
    </row>
    <row r="280">
      <c r="H280" s="24"/>
    </row>
    <row r="281">
      <c r="H281" s="24"/>
    </row>
    <row r="282">
      <c r="H282" s="24"/>
    </row>
    <row r="283">
      <c r="H283" s="24"/>
    </row>
    <row r="284">
      <c r="H284" s="24"/>
    </row>
    <row r="285">
      <c r="H285" s="24"/>
    </row>
    <row r="286">
      <c r="H286" s="24"/>
    </row>
    <row r="287">
      <c r="H287" s="24"/>
    </row>
    <row r="288">
      <c r="H288" s="24"/>
    </row>
    <row r="289">
      <c r="H289" s="24"/>
    </row>
    <row r="290">
      <c r="H290" s="24"/>
    </row>
    <row r="291">
      <c r="H291" s="24"/>
    </row>
    <row r="292">
      <c r="H292" s="24"/>
    </row>
    <row r="293">
      <c r="H293" s="24"/>
    </row>
    <row r="294">
      <c r="H294" s="24"/>
    </row>
    <row r="295">
      <c r="H295" s="24"/>
    </row>
    <row r="296">
      <c r="H296" s="24"/>
    </row>
    <row r="297">
      <c r="H297" s="24"/>
    </row>
    <row r="298">
      <c r="H298" s="24"/>
    </row>
    <row r="299">
      <c r="H299" s="24"/>
    </row>
    <row r="300">
      <c r="H300" s="24"/>
    </row>
    <row r="301">
      <c r="H301" s="24"/>
    </row>
    <row r="302">
      <c r="H302" s="24"/>
    </row>
    <row r="303">
      <c r="H303" s="24"/>
    </row>
    <row r="304">
      <c r="H304" s="24"/>
    </row>
    <row r="305">
      <c r="H305" s="24"/>
    </row>
    <row r="306">
      <c r="H306" s="24"/>
    </row>
    <row r="307">
      <c r="H307" s="24"/>
    </row>
    <row r="308">
      <c r="H308" s="24"/>
    </row>
    <row r="309">
      <c r="H309" s="24"/>
    </row>
    <row r="310">
      <c r="H310" s="24"/>
    </row>
    <row r="311">
      <c r="H311" s="24"/>
    </row>
    <row r="312">
      <c r="H312" s="24"/>
    </row>
    <row r="313">
      <c r="H313" s="24"/>
    </row>
    <row r="314">
      <c r="H314" s="24"/>
    </row>
    <row r="315">
      <c r="H315" s="24"/>
    </row>
    <row r="316">
      <c r="H316" s="24"/>
    </row>
    <row r="317">
      <c r="H317" s="24"/>
    </row>
    <row r="318">
      <c r="H318" s="24"/>
    </row>
    <row r="319">
      <c r="H319" s="24"/>
    </row>
    <row r="320">
      <c r="H320" s="24"/>
    </row>
    <row r="321">
      <c r="H321" s="24"/>
    </row>
    <row r="322">
      <c r="H322" s="24"/>
    </row>
    <row r="323">
      <c r="H323" s="24"/>
    </row>
    <row r="324">
      <c r="H324" s="24"/>
    </row>
    <row r="325">
      <c r="H325" s="24"/>
    </row>
    <row r="326">
      <c r="H326" s="24"/>
    </row>
    <row r="327">
      <c r="H327" s="24"/>
    </row>
    <row r="328">
      <c r="H328" s="24"/>
    </row>
    <row r="329">
      <c r="H329" s="24"/>
    </row>
    <row r="330">
      <c r="H330" s="24"/>
    </row>
    <row r="331">
      <c r="H331" s="24"/>
    </row>
    <row r="332">
      <c r="H332" s="24"/>
    </row>
    <row r="333">
      <c r="H333" s="24"/>
    </row>
    <row r="334">
      <c r="H334" s="24"/>
    </row>
    <row r="335">
      <c r="H335" s="24"/>
    </row>
    <row r="336">
      <c r="H336" s="24"/>
    </row>
    <row r="337">
      <c r="H337" s="24"/>
    </row>
    <row r="338">
      <c r="H338" s="24"/>
    </row>
    <row r="339">
      <c r="H339" s="24"/>
    </row>
    <row r="340">
      <c r="H340" s="24"/>
    </row>
    <row r="341">
      <c r="H341" s="24"/>
    </row>
    <row r="342">
      <c r="H342" s="24"/>
    </row>
    <row r="343">
      <c r="H343" s="24"/>
    </row>
    <row r="344">
      <c r="H344" s="24"/>
    </row>
    <row r="345">
      <c r="H345" s="24"/>
    </row>
    <row r="346">
      <c r="H346" s="24"/>
    </row>
    <row r="347">
      <c r="H347" s="24"/>
    </row>
    <row r="348">
      <c r="H348" s="24"/>
    </row>
    <row r="349">
      <c r="H349" s="24"/>
    </row>
    <row r="350">
      <c r="H350" s="24"/>
    </row>
    <row r="351">
      <c r="H351" s="24"/>
    </row>
    <row r="352">
      <c r="H352" s="24"/>
    </row>
    <row r="353">
      <c r="H353" s="24"/>
    </row>
    <row r="354">
      <c r="H354" s="24"/>
    </row>
    <row r="355">
      <c r="H355" s="24"/>
    </row>
    <row r="356">
      <c r="H356" s="24"/>
    </row>
    <row r="357">
      <c r="H357" s="24"/>
    </row>
    <row r="358">
      <c r="H358" s="24"/>
    </row>
    <row r="359">
      <c r="H359" s="24"/>
    </row>
    <row r="360">
      <c r="H360" s="24"/>
    </row>
    <row r="361">
      <c r="H361" s="24"/>
    </row>
    <row r="362">
      <c r="H362" s="24"/>
    </row>
    <row r="363">
      <c r="H363" s="24"/>
    </row>
    <row r="364">
      <c r="H364" s="24"/>
    </row>
    <row r="365">
      <c r="H365" s="24"/>
    </row>
    <row r="366">
      <c r="H366" s="24"/>
    </row>
    <row r="367">
      <c r="H367" s="24"/>
    </row>
    <row r="368">
      <c r="H368" s="24"/>
    </row>
    <row r="369">
      <c r="H369" s="24"/>
    </row>
    <row r="370">
      <c r="H370" s="24"/>
    </row>
    <row r="371">
      <c r="H371" s="24"/>
    </row>
    <row r="372">
      <c r="H372" s="24"/>
    </row>
    <row r="373">
      <c r="H373" s="24"/>
    </row>
    <row r="374">
      <c r="H374" s="24"/>
    </row>
    <row r="375">
      <c r="H375" s="24"/>
    </row>
    <row r="376">
      <c r="H376" s="24"/>
    </row>
    <row r="377">
      <c r="H377" s="24"/>
    </row>
    <row r="378">
      <c r="H378" s="24"/>
    </row>
    <row r="379">
      <c r="H379" s="24"/>
    </row>
    <row r="380">
      <c r="H380" s="24"/>
    </row>
    <row r="381">
      <c r="H381" s="24"/>
    </row>
    <row r="382">
      <c r="H382" s="24"/>
    </row>
    <row r="383">
      <c r="H383" s="24"/>
    </row>
    <row r="384">
      <c r="H384" s="24"/>
    </row>
    <row r="385">
      <c r="H385" s="24"/>
    </row>
    <row r="386">
      <c r="H386" s="24"/>
    </row>
    <row r="387">
      <c r="H387" s="24"/>
    </row>
    <row r="388">
      <c r="H388" s="24"/>
    </row>
    <row r="389">
      <c r="H389" s="24"/>
    </row>
    <row r="390">
      <c r="H390" s="24"/>
    </row>
    <row r="391">
      <c r="H391" s="24"/>
    </row>
    <row r="392">
      <c r="H392" s="24"/>
    </row>
    <row r="393">
      <c r="H393" s="24"/>
    </row>
    <row r="394">
      <c r="H394" s="24"/>
    </row>
    <row r="395">
      <c r="H395" s="24"/>
    </row>
    <row r="396">
      <c r="H396" s="24"/>
    </row>
    <row r="397">
      <c r="H397" s="24"/>
    </row>
    <row r="398">
      <c r="H398" s="24"/>
    </row>
    <row r="399">
      <c r="H399" s="24"/>
    </row>
    <row r="400">
      <c r="H400" s="24"/>
    </row>
    <row r="401">
      <c r="H401" s="24"/>
    </row>
    <row r="402">
      <c r="H402" s="24"/>
    </row>
    <row r="403">
      <c r="H403" s="24"/>
    </row>
    <row r="404">
      <c r="H404" s="24"/>
    </row>
    <row r="405">
      <c r="H405" s="24"/>
    </row>
    <row r="406">
      <c r="H406" s="24"/>
    </row>
    <row r="407">
      <c r="H407" s="24"/>
    </row>
    <row r="408">
      <c r="H408" s="24"/>
    </row>
    <row r="409">
      <c r="H409" s="24"/>
    </row>
    <row r="410">
      <c r="H410" s="24"/>
    </row>
    <row r="411">
      <c r="H411" s="24"/>
    </row>
    <row r="412">
      <c r="H412" s="24"/>
    </row>
    <row r="413">
      <c r="H413" s="24"/>
    </row>
    <row r="414">
      <c r="H414" s="24"/>
    </row>
    <row r="415">
      <c r="H415" s="24"/>
    </row>
    <row r="416">
      <c r="H416" s="24"/>
    </row>
    <row r="417">
      <c r="H417" s="24"/>
    </row>
    <row r="418">
      <c r="H418" s="24"/>
    </row>
    <row r="419">
      <c r="H419" s="24"/>
    </row>
    <row r="420">
      <c r="H420" s="24"/>
    </row>
    <row r="421">
      <c r="H421" s="24"/>
    </row>
    <row r="422">
      <c r="H422" s="24"/>
    </row>
    <row r="423">
      <c r="H423" s="24"/>
    </row>
    <row r="424">
      <c r="H424" s="24"/>
    </row>
    <row r="425">
      <c r="H425" s="24"/>
    </row>
    <row r="426">
      <c r="H426" s="24"/>
    </row>
    <row r="427">
      <c r="H427" s="24"/>
    </row>
    <row r="428">
      <c r="H428" s="24"/>
    </row>
    <row r="429">
      <c r="H429" s="24"/>
    </row>
    <row r="430">
      <c r="H430" s="24"/>
    </row>
    <row r="431">
      <c r="H431" s="24"/>
    </row>
    <row r="432">
      <c r="H432" s="24"/>
    </row>
    <row r="433">
      <c r="H433" s="24"/>
    </row>
    <row r="434">
      <c r="H434" s="24"/>
    </row>
    <row r="435">
      <c r="H435" s="24"/>
    </row>
    <row r="436">
      <c r="H436" s="24"/>
    </row>
    <row r="437">
      <c r="H437" s="24"/>
    </row>
    <row r="438">
      <c r="H438" s="24"/>
    </row>
    <row r="439">
      <c r="H439" s="24"/>
    </row>
    <row r="440">
      <c r="H440" s="24"/>
    </row>
    <row r="441">
      <c r="H441" s="24"/>
    </row>
    <row r="442">
      <c r="H442" s="24"/>
    </row>
    <row r="443">
      <c r="H443" s="24"/>
    </row>
    <row r="444">
      <c r="H444" s="24"/>
    </row>
    <row r="445">
      <c r="H445" s="24"/>
    </row>
    <row r="446">
      <c r="H446" s="24"/>
    </row>
    <row r="447">
      <c r="H447" s="24"/>
    </row>
    <row r="448">
      <c r="H448" s="24"/>
    </row>
    <row r="449">
      <c r="H449" s="24"/>
    </row>
    <row r="450">
      <c r="H450" s="24"/>
    </row>
    <row r="451">
      <c r="H451" s="24"/>
    </row>
    <row r="452">
      <c r="H452" s="24"/>
    </row>
    <row r="453">
      <c r="H453" s="24"/>
    </row>
    <row r="454">
      <c r="H454" s="24"/>
    </row>
    <row r="455">
      <c r="H455" s="24"/>
    </row>
    <row r="456">
      <c r="H456" s="24"/>
    </row>
    <row r="457">
      <c r="H457" s="24"/>
    </row>
    <row r="458">
      <c r="H458" s="24"/>
    </row>
    <row r="459">
      <c r="H459" s="24"/>
    </row>
    <row r="460">
      <c r="H460" s="24"/>
    </row>
    <row r="461">
      <c r="H461" s="24"/>
    </row>
    <row r="462">
      <c r="H462" s="24"/>
    </row>
    <row r="463">
      <c r="H463" s="24"/>
    </row>
    <row r="464">
      <c r="H464" s="24"/>
    </row>
    <row r="465">
      <c r="H465" s="24"/>
    </row>
    <row r="466">
      <c r="H466" s="24"/>
    </row>
    <row r="467">
      <c r="H467" s="24"/>
    </row>
    <row r="468">
      <c r="H468" s="24"/>
    </row>
    <row r="469">
      <c r="H469" s="24"/>
    </row>
    <row r="470">
      <c r="H470" s="24"/>
    </row>
    <row r="471">
      <c r="H471" s="24"/>
    </row>
    <row r="472">
      <c r="H472" s="24"/>
    </row>
    <row r="473">
      <c r="H473" s="24"/>
    </row>
    <row r="474">
      <c r="H474" s="24"/>
    </row>
    <row r="475">
      <c r="H475" s="24"/>
    </row>
    <row r="476">
      <c r="H476" s="24"/>
    </row>
    <row r="477">
      <c r="H477" s="24"/>
    </row>
    <row r="478">
      <c r="H478" s="24"/>
    </row>
    <row r="479">
      <c r="H479" s="24"/>
    </row>
    <row r="480">
      <c r="H480" s="24"/>
    </row>
    <row r="481">
      <c r="H481" s="24"/>
    </row>
    <row r="482">
      <c r="H482" s="24"/>
    </row>
    <row r="483">
      <c r="H483" s="24"/>
    </row>
    <row r="484">
      <c r="H484" s="24"/>
    </row>
    <row r="485">
      <c r="H485" s="24"/>
    </row>
    <row r="486">
      <c r="H486" s="24"/>
    </row>
    <row r="487">
      <c r="H487" s="24"/>
    </row>
    <row r="488">
      <c r="H488" s="24"/>
    </row>
    <row r="489">
      <c r="H489" s="24"/>
    </row>
    <row r="490">
      <c r="H490" s="24"/>
    </row>
    <row r="491">
      <c r="H491" s="24"/>
    </row>
    <row r="492">
      <c r="H492" s="24"/>
    </row>
    <row r="493">
      <c r="H493" s="24"/>
    </row>
    <row r="494">
      <c r="H494" s="24"/>
    </row>
    <row r="495">
      <c r="H495" s="24"/>
    </row>
    <row r="496">
      <c r="H496" s="24"/>
    </row>
    <row r="497">
      <c r="H497" s="24"/>
    </row>
    <row r="498">
      <c r="H498" s="24"/>
    </row>
    <row r="499">
      <c r="H499" s="24"/>
    </row>
    <row r="500">
      <c r="H500" s="24"/>
    </row>
    <row r="501">
      <c r="H501" s="24"/>
    </row>
    <row r="502">
      <c r="H502" s="24"/>
    </row>
    <row r="503">
      <c r="H503" s="24"/>
    </row>
    <row r="504">
      <c r="H504" s="24"/>
    </row>
    <row r="505">
      <c r="H505" s="24"/>
    </row>
    <row r="506">
      <c r="H506" s="24"/>
    </row>
    <row r="507">
      <c r="H507" s="24"/>
    </row>
    <row r="508">
      <c r="H508" s="24"/>
    </row>
    <row r="509">
      <c r="H509" s="24"/>
    </row>
    <row r="510">
      <c r="H510" s="24"/>
    </row>
    <row r="511">
      <c r="H511" s="24"/>
    </row>
    <row r="512">
      <c r="H512" s="24"/>
    </row>
    <row r="513">
      <c r="H513" s="24"/>
    </row>
    <row r="514">
      <c r="H514" s="24"/>
    </row>
    <row r="515">
      <c r="H515" s="24"/>
    </row>
    <row r="516">
      <c r="H516" s="24"/>
    </row>
    <row r="517">
      <c r="H517" s="24"/>
    </row>
    <row r="518">
      <c r="H518" s="24"/>
    </row>
    <row r="519">
      <c r="H519" s="24"/>
    </row>
    <row r="520">
      <c r="H520" s="24"/>
    </row>
    <row r="521">
      <c r="H521" s="24"/>
    </row>
    <row r="522">
      <c r="H522" s="24"/>
    </row>
    <row r="523">
      <c r="H523" s="24"/>
    </row>
    <row r="524">
      <c r="H524" s="24"/>
    </row>
    <row r="525">
      <c r="H525" s="24"/>
    </row>
    <row r="526">
      <c r="H526" s="24"/>
    </row>
    <row r="527">
      <c r="H527" s="24"/>
    </row>
    <row r="528">
      <c r="H528" s="24"/>
    </row>
    <row r="529">
      <c r="H529" s="24"/>
    </row>
    <row r="530">
      <c r="H530" s="24"/>
    </row>
    <row r="531">
      <c r="H531" s="24"/>
    </row>
    <row r="532">
      <c r="H532" s="24"/>
    </row>
    <row r="533">
      <c r="H533" s="24"/>
    </row>
    <row r="534">
      <c r="H534" s="24"/>
    </row>
    <row r="535">
      <c r="H535" s="24"/>
    </row>
    <row r="536">
      <c r="H536" s="24"/>
    </row>
    <row r="537">
      <c r="H537" s="24"/>
    </row>
    <row r="538">
      <c r="H538" s="24"/>
    </row>
    <row r="539">
      <c r="H539" s="24"/>
    </row>
    <row r="540">
      <c r="H540" s="24"/>
    </row>
    <row r="541">
      <c r="H541" s="24"/>
    </row>
    <row r="542">
      <c r="H542" s="24"/>
    </row>
    <row r="543">
      <c r="H543" s="24"/>
    </row>
    <row r="544">
      <c r="H544" s="24"/>
    </row>
    <row r="545">
      <c r="H545" s="24"/>
    </row>
    <row r="546">
      <c r="H546" s="24"/>
    </row>
    <row r="547">
      <c r="H547" s="24"/>
    </row>
    <row r="548">
      <c r="H548" s="24"/>
    </row>
    <row r="549">
      <c r="H549" s="24"/>
    </row>
    <row r="550">
      <c r="H550" s="24"/>
    </row>
    <row r="551">
      <c r="H551" s="24"/>
    </row>
    <row r="552">
      <c r="H552" s="24"/>
    </row>
    <row r="553">
      <c r="H553" s="24"/>
    </row>
    <row r="554">
      <c r="H554" s="24"/>
    </row>
    <row r="555">
      <c r="H555" s="24"/>
    </row>
    <row r="556">
      <c r="H556" s="24"/>
    </row>
    <row r="557">
      <c r="H557" s="24"/>
    </row>
    <row r="558">
      <c r="H558" s="24"/>
    </row>
    <row r="559">
      <c r="H559" s="24"/>
    </row>
    <row r="560">
      <c r="H560" s="24"/>
    </row>
    <row r="561">
      <c r="H561" s="24"/>
    </row>
    <row r="562">
      <c r="H562" s="24"/>
    </row>
    <row r="563">
      <c r="H563" s="24"/>
    </row>
    <row r="564">
      <c r="H564" s="24"/>
    </row>
    <row r="565">
      <c r="H565" s="24"/>
    </row>
    <row r="566">
      <c r="H566" s="24"/>
    </row>
    <row r="567">
      <c r="H567" s="24"/>
    </row>
    <row r="568">
      <c r="H568" s="24"/>
    </row>
    <row r="569">
      <c r="H569" s="24"/>
    </row>
    <row r="570">
      <c r="H570" s="24"/>
    </row>
    <row r="571">
      <c r="H571" s="24"/>
    </row>
    <row r="572">
      <c r="H572" s="24"/>
    </row>
    <row r="573">
      <c r="H573" s="24"/>
    </row>
    <row r="574">
      <c r="H574" s="24"/>
    </row>
    <row r="575">
      <c r="H575" s="24"/>
    </row>
    <row r="576">
      <c r="H576" s="24"/>
    </row>
    <row r="577">
      <c r="H577" s="24"/>
    </row>
    <row r="578">
      <c r="H578" s="24"/>
    </row>
    <row r="579">
      <c r="H579" s="24"/>
    </row>
    <row r="580">
      <c r="H580" s="24"/>
    </row>
    <row r="581">
      <c r="H581" s="24"/>
    </row>
    <row r="582">
      <c r="H582" s="24"/>
    </row>
    <row r="583">
      <c r="H583" s="24"/>
    </row>
    <row r="584">
      <c r="H584" s="24"/>
    </row>
    <row r="585">
      <c r="H585" s="24"/>
    </row>
    <row r="586">
      <c r="H586" s="24"/>
    </row>
    <row r="587">
      <c r="H587" s="24"/>
    </row>
    <row r="588">
      <c r="H588" s="24"/>
    </row>
    <row r="589">
      <c r="H589" s="24"/>
    </row>
    <row r="590">
      <c r="H590" s="24"/>
    </row>
    <row r="591">
      <c r="H591" s="24"/>
    </row>
    <row r="592">
      <c r="H592" s="24"/>
    </row>
    <row r="593">
      <c r="H593" s="24"/>
    </row>
    <row r="594">
      <c r="H594" s="24"/>
    </row>
    <row r="595">
      <c r="H595" s="24"/>
    </row>
    <row r="596">
      <c r="H596" s="24"/>
    </row>
    <row r="597">
      <c r="H597" s="24"/>
    </row>
    <row r="598">
      <c r="H598" s="24"/>
    </row>
    <row r="599">
      <c r="H599" s="24"/>
    </row>
    <row r="600">
      <c r="H600" s="24"/>
    </row>
    <row r="601">
      <c r="H601" s="24"/>
    </row>
    <row r="602">
      <c r="H602" s="24"/>
    </row>
    <row r="603">
      <c r="H603" s="24"/>
    </row>
    <row r="604">
      <c r="H604" s="24"/>
    </row>
    <row r="605">
      <c r="H605" s="24"/>
    </row>
    <row r="606">
      <c r="H606" s="24"/>
    </row>
    <row r="607">
      <c r="H607" s="24"/>
    </row>
    <row r="608">
      <c r="H608" s="24"/>
    </row>
    <row r="609">
      <c r="H609" s="24"/>
    </row>
    <row r="610">
      <c r="H610" s="24"/>
    </row>
    <row r="611">
      <c r="H611" s="24"/>
    </row>
    <row r="612">
      <c r="H612" s="24"/>
    </row>
    <row r="613">
      <c r="H613" s="24"/>
    </row>
    <row r="614">
      <c r="H614" s="24"/>
    </row>
    <row r="615">
      <c r="H615" s="24"/>
    </row>
    <row r="616">
      <c r="H616" s="24"/>
    </row>
    <row r="617">
      <c r="H617" s="24"/>
    </row>
    <row r="618">
      <c r="H618" s="24"/>
    </row>
    <row r="619">
      <c r="H619" s="24"/>
    </row>
    <row r="620">
      <c r="H620" s="24"/>
    </row>
    <row r="621">
      <c r="H621" s="24"/>
    </row>
    <row r="622">
      <c r="H622" s="24"/>
    </row>
    <row r="623">
      <c r="H623" s="24"/>
    </row>
    <row r="624">
      <c r="H624" s="24"/>
    </row>
    <row r="625">
      <c r="H625" s="24"/>
    </row>
    <row r="626">
      <c r="H626" s="24"/>
    </row>
    <row r="627">
      <c r="H627" s="24"/>
    </row>
    <row r="628">
      <c r="H628" s="24"/>
    </row>
    <row r="629">
      <c r="H629" s="24"/>
    </row>
    <row r="630">
      <c r="H630" s="24"/>
    </row>
    <row r="631">
      <c r="H631" s="24"/>
    </row>
    <row r="632">
      <c r="H632" s="24"/>
    </row>
    <row r="633">
      <c r="H633" s="24"/>
    </row>
    <row r="634">
      <c r="H634" s="24"/>
    </row>
    <row r="635">
      <c r="H635" s="24"/>
    </row>
    <row r="636">
      <c r="H636" s="24"/>
    </row>
    <row r="637">
      <c r="H637" s="24"/>
    </row>
    <row r="638">
      <c r="H638" s="24"/>
    </row>
    <row r="639">
      <c r="H639" s="24"/>
    </row>
    <row r="640">
      <c r="H640" s="24"/>
    </row>
    <row r="641">
      <c r="H641" s="24"/>
    </row>
    <row r="642">
      <c r="H642" s="24"/>
    </row>
    <row r="643">
      <c r="H643" s="24"/>
    </row>
    <row r="644">
      <c r="H644" s="24"/>
    </row>
    <row r="645">
      <c r="H645" s="24"/>
    </row>
    <row r="646">
      <c r="H646" s="24"/>
    </row>
    <row r="647">
      <c r="H647" s="24"/>
    </row>
    <row r="648">
      <c r="H648" s="24"/>
    </row>
    <row r="649">
      <c r="H649" s="24"/>
    </row>
    <row r="650">
      <c r="H650" s="24"/>
    </row>
    <row r="651">
      <c r="H651" s="24"/>
    </row>
    <row r="652">
      <c r="H652" s="24"/>
    </row>
    <row r="653">
      <c r="H653" s="24"/>
    </row>
    <row r="654">
      <c r="H654" s="24"/>
    </row>
    <row r="655">
      <c r="H655" s="24"/>
    </row>
    <row r="656">
      <c r="H656" s="24"/>
    </row>
    <row r="657">
      <c r="H657" s="24"/>
    </row>
    <row r="658">
      <c r="H658" s="24"/>
    </row>
    <row r="659">
      <c r="H659" s="24"/>
    </row>
    <row r="660">
      <c r="H660" s="24"/>
    </row>
    <row r="661">
      <c r="H661" s="24"/>
    </row>
    <row r="662">
      <c r="H662" s="24"/>
    </row>
    <row r="663">
      <c r="H663" s="24"/>
    </row>
    <row r="664">
      <c r="H664" s="24"/>
    </row>
    <row r="665">
      <c r="H665" s="24"/>
    </row>
    <row r="666">
      <c r="H666" s="24"/>
    </row>
    <row r="667">
      <c r="H667" s="24"/>
    </row>
    <row r="668">
      <c r="H668" s="24"/>
    </row>
    <row r="669">
      <c r="H669" s="24"/>
    </row>
    <row r="670">
      <c r="H670" s="24"/>
    </row>
    <row r="671">
      <c r="H671" s="24"/>
    </row>
    <row r="672">
      <c r="H672" s="24"/>
    </row>
    <row r="673">
      <c r="H673" s="24"/>
    </row>
    <row r="674">
      <c r="H674" s="24"/>
    </row>
    <row r="675">
      <c r="H675" s="24"/>
    </row>
    <row r="676">
      <c r="H676" s="24"/>
    </row>
    <row r="677">
      <c r="H677" s="24"/>
    </row>
    <row r="678">
      <c r="H678" s="24"/>
    </row>
    <row r="679">
      <c r="H679" s="24"/>
    </row>
    <row r="680">
      <c r="H680" s="24"/>
    </row>
    <row r="681">
      <c r="H681" s="24"/>
    </row>
    <row r="682">
      <c r="H682" s="24"/>
    </row>
    <row r="683">
      <c r="H683" s="24"/>
    </row>
    <row r="684">
      <c r="H684" s="24"/>
    </row>
    <row r="685">
      <c r="H685" s="24"/>
    </row>
    <row r="686">
      <c r="H686" s="24"/>
    </row>
    <row r="687">
      <c r="H687" s="24"/>
    </row>
    <row r="688">
      <c r="H688" s="24"/>
    </row>
    <row r="689">
      <c r="H689" s="24"/>
    </row>
    <row r="690">
      <c r="H690" s="24"/>
    </row>
    <row r="691">
      <c r="H691" s="24"/>
    </row>
    <row r="692">
      <c r="H692" s="24"/>
    </row>
    <row r="693">
      <c r="H693" s="24"/>
    </row>
    <row r="694">
      <c r="H694" s="24"/>
    </row>
    <row r="695">
      <c r="H695" s="24"/>
    </row>
    <row r="696">
      <c r="H696" s="24"/>
    </row>
    <row r="697">
      <c r="H697" s="24"/>
    </row>
    <row r="698">
      <c r="H698" s="24"/>
    </row>
    <row r="699">
      <c r="H699" s="24"/>
    </row>
    <row r="700">
      <c r="H700" s="24"/>
    </row>
    <row r="701">
      <c r="H701" s="24"/>
    </row>
    <row r="702">
      <c r="H702" s="24"/>
    </row>
    <row r="703">
      <c r="H703" s="24"/>
    </row>
    <row r="704">
      <c r="H704" s="24"/>
    </row>
    <row r="705">
      <c r="H705" s="24"/>
    </row>
    <row r="706">
      <c r="H706" s="24"/>
    </row>
    <row r="707">
      <c r="H707" s="24"/>
    </row>
    <row r="708">
      <c r="H708" s="24"/>
    </row>
    <row r="709">
      <c r="H709" s="24"/>
    </row>
    <row r="710">
      <c r="H710" s="24"/>
    </row>
    <row r="711">
      <c r="H711" s="24"/>
    </row>
    <row r="712">
      <c r="H712" s="24"/>
    </row>
    <row r="713">
      <c r="H713" s="24"/>
    </row>
    <row r="714">
      <c r="H714" s="24"/>
    </row>
    <row r="715">
      <c r="H715" s="24"/>
    </row>
    <row r="716">
      <c r="H716" s="24"/>
    </row>
    <row r="717">
      <c r="H717" s="24"/>
    </row>
    <row r="718">
      <c r="H718" s="24"/>
    </row>
    <row r="719">
      <c r="H719" s="24"/>
    </row>
    <row r="720">
      <c r="H720" s="24"/>
    </row>
    <row r="721">
      <c r="H721" s="24"/>
    </row>
    <row r="722">
      <c r="H722" s="24"/>
    </row>
    <row r="723">
      <c r="H723" s="24"/>
    </row>
    <row r="724">
      <c r="H724" s="24"/>
    </row>
    <row r="725">
      <c r="H725" s="24"/>
    </row>
    <row r="726">
      <c r="H726" s="24"/>
    </row>
    <row r="727">
      <c r="H727" s="24"/>
    </row>
    <row r="728">
      <c r="H728" s="24"/>
    </row>
    <row r="729">
      <c r="H729" s="24"/>
    </row>
    <row r="730">
      <c r="H730" s="24"/>
    </row>
    <row r="731">
      <c r="H731" s="24"/>
    </row>
    <row r="732">
      <c r="H732" s="24"/>
    </row>
    <row r="733">
      <c r="H733" s="24"/>
    </row>
    <row r="734">
      <c r="H734" s="24"/>
    </row>
    <row r="735">
      <c r="H735" s="24"/>
    </row>
    <row r="736">
      <c r="H736" s="24"/>
    </row>
    <row r="737">
      <c r="H737" s="24"/>
    </row>
    <row r="738">
      <c r="H738" s="24"/>
    </row>
    <row r="739">
      <c r="H739" s="24"/>
    </row>
    <row r="740">
      <c r="H740" s="24"/>
    </row>
    <row r="741">
      <c r="H741" s="24"/>
    </row>
    <row r="742">
      <c r="H742" s="24"/>
    </row>
    <row r="743">
      <c r="H743" s="24"/>
    </row>
    <row r="744">
      <c r="H744" s="24"/>
    </row>
    <row r="745">
      <c r="H745" s="24"/>
    </row>
    <row r="746">
      <c r="H746" s="24"/>
    </row>
    <row r="747">
      <c r="H747" s="24"/>
    </row>
    <row r="748">
      <c r="H748" s="24"/>
    </row>
    <row r="749">
      <c r="H749" s="24"/>
    </row>
    <row r="750">
      <c r="H750" s="24"/>
    </row>
    <row r="751">
      <c r="H751" s="24"/>
    </row>
    <row r="752">
      <c r="H752" s="24"/>
    </row>
    <row r="753">
      <c r="H753" s="24"/>
    </row>
    <row r="754">
      <c r="H754" s="24"/>
    </row>
    <row r="755">
      <c r="H755" s="24"/>
    </row>
    <row r="756">
      <c r="H756" s="24"/>
    </row>
    <row r="757">
      <c r="H757" s="24"/>
    </row>
    <row r="758">
      <c r="H758" s="24"/>
    </row>
    <row r="759">
      <c r="H759" s="24"/>
    </row>
    <row r="760">
      <c r="H760" s="24"/>
    </row>
    <row r="761">
      <c r="H761" s="24"/>
    </row>
    <row r="762">
      <c r="H762" s="24"/>
    </row>
    <row r="763">
      <c r="H763" s="24"/>
    </row>
    <row r="764">
      <c r="H764" s="24"/>
    </row>
    <row r="765">
      <c r="H765" s="24"/>
    </row>
    <row r="766">
      <c r="H766" s="24"/>
    </row>
    <row r="767">
      <c r="H767" s="24"/>
    </row>
    <row r="768">
      <c r="H768" s="24"/>
    </row>
    <row r="769">
      <c r="H769" s="24"/>
    </row>
    <row r="770">
      <c r="H770" s="24"/>
    </row>
    <row r="771">
      <c r="H771" s="24"/>
    </row>
    <row r="772">
      <c r="H772" s="24"/>
    </row>
    <row r="773">
      <c r="H773" s="24"/>
    </row>
    <row r="774">
      <c r="H774" s="24"/>
    </row>
    <row r="775">
      <c r="H775" s="24"/>
    </row>
    <row r="776">
      <c r="H776" s="24"/>
    </row>
    <row r="777">
      <c r="H777" s="24"/>
    </row>
    <row r="778">
      <c r="H778" s="24"/>
    </row>
    <row r="779">
      <c r="H779" s="24"/>
    </row>
    <row r="780">
      <c r="H780" s="24"/>
    </row>
    <row r="781">
      <c r="H781" s="24"/>
    </row>
    <row r="782">
      <c r="H782" s="24"/>
    </row>
    <row r="783">
      <c r="H783" s="24"/>
    </row>
    <row r="784">
      <c r="H784" s="24"/>
    </row>
    <row r="785">
      <c r="H785" s="24"/>
    </row>
    <row r="786">
      <c r="H786" s="24"/>
    </row>
    <row r="787">
      <c r="H787" s="24"/>
    </row>
    <row r="788">
      <c r="H788" s="24"/>
    </row>
    <row r="789">
      <c r="H789" s="24"/>
    </row>
    <row r="790">
      <c r="H790" s="24"/>
    </row>
    <row r="791">
      <c r="H791" s="24"/>
    </row>
    <row r="792">
      <c r="H792" s="24"/>
    </row>
    <row r="793">
      <c r="H793" s="24"/>
    </row>
    <row r="794">
      <c r="H794" s="24"/>
    </row>
    <row r="795">
      <c r="H795" s="24"/>
    </row>
    <row r="796">
      <c r="H796" s="24"/>
    </row>
    <row r="797">
      <c r="H797" s="24"/>
    </row>
    <row r="798">
      <c r="H798" s="24"/>
    </row>
    <row r="799">
      <c r="H799" s="24"/>
    </row>
    <row r="800">
      <c r="H800" s="24"/>
    </row>
    <row r="801">
      <c r="H801" s="24"/>
    </row>
    <row r="802">
      <c r="H802" s="24"/>
    </row>
    <row r="803">
      <c r="H803" s="24"/>
    </row>
    <row r="804">
      <c r="H804" s="24"/>
    </row>
    <row r="805">
      <c r="H805" s="24"/>
    </row>
    <row r="806">
      <c r="H806" s="24"/>
    </row>
    <row r="807">
      <c r="H807" s="24"/>
    </row>
    <row r="808">
      <c r="H808" s="24"/>
    </row>
    <row r="809">
      <c r="H809" s="24"/>
    </row>
    <row r="810">
      <c r="H810" s="24"/>
    </row>
    <row r="811">
      <c r="H811" s="24"/>
    </row>
    <row r="812">
      <c r="H812" s="24"/>
    </row>
    <row r="813">
      <c r="H813" s="24"/>
    </row>
    <row r="814">
      <c r="H814" s="24"/>
    </row>
    <row r="815">
      <c r="H815" s="24"/>
    </row>
    <row r="816">
      <c r="H816" s="24"/>
    </row>
    <row r="817">
      <c r="H817" s="24"/>
    </row>
    <row r="818">
      <c r="H818" s="24"/>
    </row>
    <row r="819">
      <c r="H819" s="24"/>
    </row>
    <row r="820">
      <c r="H820" s="24"/>
    </row>
    <row r="821">
      <c r="H821" s="24"/>
    </row>
    <row r="822">
      <c r="H822" s="24"/>
    </row>
    <row r="823">
      <c r="H823" s="24"/>
    </row>
    <row r="824">
      <c r="H824" s="24"/>
    </row>
    <row r="825">
      <c r="H825" s="24"/>
    </row>
    <row r="826">
      <c r="H826" s="24"/>
    </row>
    <row r="827">
      <c r="H827" s="24"/>
    </row>
    <row r="828">
      <c r="H828" s="24"/>
    </row>
    <row r="829">
      <c r="H829" s="24"/>
    </row>
    <row r="830">
      <c r="H830" s="24"/>
    </row>
    <row r="831">
      <c r="H831" s="24"/>
    </row>
    <row r="832">
      <c r="H832" s="24"/>
    </row>
    <row r="833">
      <c r="H833" s="24"/>
    </row>
    <row r="834">
      <c r="H834" s="24"/>
    </row>
    <row r="835">
      <c r="H835" s="24"/>
    </row>
    <row r="836">
      <c r="H836" s="24"/>
    </row>
    <row r="837">
      <c r="H837" s="24"/>
    </row>
    <row r="838">
      <c r="H838" s="24"/>
    </row>
    <row r="839">
      <c r="H839" s="24"/>
    </row>
    <row r="840">
      <c r="H840" s="24"/>
    </row>
    <row r="841">
      <c r="H841" s="24"/>
    </row>
    <row r="842">
      <c r="H842" s="24"/>
    </row>
    <row r="843">
      <c r="H843" s="24"/>
    </row>
    <row r="844">
      <c r="H844" s="24"/>
    </row>
    <row r="845">
      <c r="H845" s="24"/>
    </row>
    <row r="846">
      <c r="H846" s="24"/>
    </row>
    <row r="847">
      <c r="H847" s="24"/>
    </row>
    <row r="848">
      <c r="H848" s="24"/>
    </row>
    <row r="849">
      <c r="H849" s="24"/>
    </row>
    <row r="850">
      <c r="H850" s="24"/>
    </row>
    <row r="851">
      <c r="H851" s="24"/>
    </row>
    <row r="852">
      <c r="H852" s="24"/>
    </row>
    <row r="853">
      <c r="H853" s="24"/>
    </row>
    <row r="854">
      <c r="H854" s="24"/>
    </row>
    <row r="855">
      <c r="H855" s="24"/>
    </row>
    <row r="856">
      <c r="H856" s="24"/>
    </row>
    <row r="857">
      <c r="H857" s="24"/>
    </row>
    <row r="858">
      <c r="H858" s="24"/>
    </row>
    <row r="859">
      <c r="H859" s="24"/>
    </row>
    <row r="860">
      <c r="H860" s="24"/>
    </row>
    <row r="861">
      <c r="H861" s="24"/>
    </row>
    <row r="862">
      <c r="H862" s="24"/>
    </row>
    <row r="863">
      <c r="H863" s="24"/>
    </row>
    <row r="864">
      <c r="H864" s="24"/>
    </row>
    <row r="865">
      <c r="H865" s="24"/>
    </row>
    <row r="866">
      <c r="H866" s="24"/>
    </row>
    <row r="867">
      <c r="H867" s="24"/>
    </row>
    <row r="868">
      <c r="H868" s="24"/>
    </row>
    <row r="869">
      <c r="H869" s="24"/>
    </row>
    <row r="870">
      <c r="H870" s="24"/>
    </row>
    <row r="871">
      <c r="H871" s="24"/>
    </row>
    <row r="872">
      <c r="H872" s="24"/>
    </row>
    <row r="873">
      <c r="H873" s="24"/>
    </row>
    <row r="874">
      <c r="H874" s="24"/>
    </row>
    <row r="875">
      <c r="H875" s="24"/>
    </row>
    <row r="876">
      <c r="H876" s="24"/>
    </row>
    <row r="877">
      <c r="H877" s="24"/>
    </row>
    <row r="878">
      <c r="H878" s="24"/>
    </row>
    <row r="879">
      <c r="H879" s="24"/>
    </row>
    <row r="880">
      <c r="H880" s="24"/>
    </row>
    <row r="881">
      <c r="H881" s="24"/>
    </row>
    <row r="882">
      <c r="H882" s="24"/>
    </row>
    <row r="883">
      <c r="H883" s="24"/>
    </row>
    <row r="884">
      <c r="H884" s="24"/>
    </row>
    <row r="885">
      <c r="H885" s="24"/>
    </row>
    <row r="886">
      <c r="H886" s="24"/>
    </row>
    <row r="887">
      <c r="H887" s="24"/>
    </row>
    <row r="888">
      <c r="H888" s="24"/>
    </row>
    <row r="889">
      <c r="H889" s="24"/>
    </row>
    <row r="890">
      <c r="H890" s="24"/>
    </row>
    <row r="891">
      <c r="H891" s="24"/>
    </row>
    <row r="892">
      <c r="H892" s="24"/>
    </row>
    <row r="893">
      <c r="H893" s="24"/>
    </row>
    <row r="894">
      <c r="H894" s="24"/>
    </row>
    <row r="895">
      <c r="H895" s="24"/>
    </row>
    <row r="896">
      <c r="H896" s="24"/>
    </row>
    <row r="897">
      <c r="H897" s="24"/>
    </row>
    <row r="898">
      <c r="H898" s="24"/>
    </row>
    <row r="899">
      <c r="H899" s="24"/>
    </row>
    <row r="900">
      <c r="H900" s="24"/>
    </row>
    <row r="901">
      <c r="H901" s="24"/>
    </row>
    <row r="902">
      <c r="H902" s="24"/>
    </row>
    <row r="903">
      <c r="H903" s="24"/>
    </row>
    <row r="904">
      <c r="H904" s="24"/>
    </row>
    <row r="905">
      <c r="H905" s="24"/>
    </row>
    <row r="906">
      <c r="H906" s="24"/>
    </row>
    <row r="907">
      <c r="H907" s="24"/>
    </row>
    <row r="908">
      <c r="H908" s="24"/>
    </row>
    <row r="909">
      <c r="H909" s="24"/>
    </row>
    <row r="910">
      <c r="H910" s="24"/>
    </row>
    <row r="911">
      <c r="H911" s="24"/>
    </row>
    <row r="912">
      <c r="H912" s="24"/>
    </row>
    <row r="913">
      <c r="H913" s="24"/>
    </row>
    <row r="914">
      <c r="H914" s="24"/>
    </row>
    <row r="915">
      <c r="H915" s="24"/>
    </row>
    <row r="916">
      <c r="H916" s="24"/>
    </row>
    <row r="917">
      <c r="H917" s="24"/>
    </row>
    <row r="918">
      <c r="H918" s="24"/>
    </row>
    <row r="919">
      <c r="H919" s="24"/>
    </row>
    <row r="920">
      <c r="H920" s="24"/>
    </row>
    <row r="921">
      <c r="H921" s="24"/>
    </row>
    <row r="922">
      <c r="H922" s="24"/>
    </row>
    <row r="923">
      <c r="H923" s="24"/>
    </row>
    <row r="924">
      <c r="H924" s="24"/>
    </row>
    <row r="925">
      <c r="H925" s="24"/>
    </row>
    <row r="926">
      <c r="H926" s="24"/>
    </row>
    <row r="927">
      <c r="H927" s="24"/>
    </row>
    <row r="928">
      <c r="H928" s="24"/>
    </row>
    <row r="929">
      <c r="H929" s="24"/>
    </row>
    <row r="930">
      <c r="H930" s="24"/>
    </row>
    <row r="931">
      <c r="H931" s="24"/>
    </row>
    <row r="932">
      <c r="H932" s="24"/>
    </row>
    <row r="933">
      <c r="H933" s="24"/>
    </row>
    <row r="934">
      <c r="H934" s="24"/>
    </row>
    <row r="935">
      <c r="H935" s="24"/>
    </row>
    <row r="936">
      <c r="H936" s="24"/>
    </row>
    <row r="937">
      <c r="H937" s="24"/>
    </row>
    <row r="938">
      <c r="H938" s="24"/>
    </row>
    <row r="939">
      <c r="H939" s="24"/>
    </row>
    <row r="940">
      <c r="H940" s="24"/>
    </row>
    <row r="941">
      <c r="H941" s="24"/>
    </row>
    <row r="942">
      <c r="H942" s="24"/>
    </row>
    <row r="943">
      <c r="H943" s="24"/>
    </row>
    <row r="944">
      <c r="H944" s="24"/>
    </row>
    <row r="945">
      <c r="H945" s="24"/>
    </row>
    <row r="946">
      <c r="H946" s="24"/>
    </row>
    <row r="947">
      <c r="H947" s="24"/>
    </row>
    <row r="948">
      <c r="H948" s="24"/>
    </row>
    <row r="949">
      <c r="H949" s="24"/>
    </row>
    <row r="950">
      <c r="H950" s="24"/>
    </row>
    <row r="951">
      <c r="H951" s="24"/>
    </row>
    <row r="952">
      <c r="H952" s="24"/>
    </row>
    <row r="953">
      <c r="H953" s="24"/>
    </row>
    <row r="954">
      <c r="H954" s="24"/>
    </row>
    <row r="955">
      <c r="H955" s="24"/>
    </row>
    <row r="956">
      <c r="H956" s="24"/>
    </row>
    <row r="957">
      <c r="H957" s="24"/>
    </row>
    <row r="958">
      <c r="H958" s="24"/>
    </row>
    <row r="959">
      <c r="H959" s="24"/>
    </row>
    <row r="960">
      <c r="H960" s="24"/>
    </row>
    <row r="961">
      <c r="H961" s="24"/>
    </row>
    <row r="962">
      <c r="H962" s="24"/>
    </row>
    <row r="963">
      <c r="H963" s="24"/>
    </row>
    <row r="964">
      <c r="H964" s="24"/>
    </row>
    <row r="965">
      <c r="H965" s="24"/>
    </row>
    <row r="966">
      <c r="H966" s="24"/>
    </row>
    <row r="967">
      <c r="H967" s="24"/>
    </row>
    <row r="968">
      <c r="H968" s="24"/>
    </row>
    <row r="969">
      <c r="H969" s="24"/>
    </row>
    <row r="970">
      <c r="H970" s="24"/>
    </row>
    <row r="971">
      <c r="H971" s="24"/>
    </row>
    <row r="972">
      <c r="H972" s="24"/>
    </row>
    <row r="973">
      <c r="H973" s="24"/>
    </row>
    <row r="974">
      <c r="H974" s="24"/>
    </row>
    <row r="975">
      <c r="H975" s="24"/>
    </row>
    <row r="976">
      <c r="H976" s="24"/>
    </row>
    <row r="977">
      <c r="H977" s="24"/>
    </row>
    <row r="978">
      <c r="H978" s="24"/>
    </row>
    <row r="979">
      <c r="H979" s="24"/>
    </row>
    <row r="980">
      <c r="H980" s="24"/>
    </row>
    <row r="981">
      <c r="H981" s="24"/>
    </row>
    <row r="982">
      <c r="H982" s="24"/>
    </row>
    <row r="983">
      <c r="H983" s="24"/>
    </row>
    <row r="984">
      <c r="H984" s="24"/>
    </row>
    <row r="985">
      <c r="H985" s="24"/>
    </row>
    <row r="986">
      <c r="H986" s="24"/>
    </row>
    <row r="987">
      <c r="H987" s="24"/>
    </row>
    <row r="988">
      <c r="H988" s="24"/>
    </row>
    <row r="989">
      <c r="H989" s="24"/>
    </row>
    <row r="990">
      <c r="H990" s="24"/>
    </row>
    <row r="991">
      <c r="H991" s="24"/>
    </row>
    <row r="992">
      <c r="H992" s="24"/>
    </row>
    <row r="993">
      <c r="H993" s="24"/>
    </row>
    <row r="994">
      <c r="H994" s="24"/>
    </row>
    <row r="995">
      <c r="H995" s="24"/>
    </row>
    <row r="996">
      <c r="H996" s="24"/>
    </row>
    <row r="997">
      <c r="H997" s="24"/>
    </row>
    <row r="998">
      <c r="H998" s="24"/>
    </row>
    <row r="999">
      <c r="H999" s="24"/>
    </row>
    <row r="1000">
      <c r="H1000" s="24"/>
    </row>
    <row r="1001">
      <c r="H1001" s="24"/>
    </row>
    <row r="1002">
      <c r="H1002" s="24"/>
    </row>
    <row r="1003">
      <c r="H1003" s="24"/>
    </row>
    <row r="1004">
      <c r="H1004" s="24"/>
    </row>
    <row r="1005">
      <c r="H1005" s="24"/>
    </row>
    <row r="1006">
      <c r="H1006" s="24"/>
    </row>
    <row r="1007">
      <c r="H1007" s="24"/>
    </row>
    <row r="1008">
      <c r="H1008" s="24"/>
    </row>
    <row r="1009">
      <c r="H1009" s="24"/>
    </row>
    <row r="1010">
      <c r="H1010" s="24"/>
    </row>
    <row r="1011">
      <c r="H1011" s="24"/>
    </row>
    <row r="1012">
      <c r="H1012" s="24"/>
    </row>
    <row r="1013">
      <c r="H1013"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57"/>
    <col customWidth="1" min="2" max="2" width="8.43"/>
    <col customWidth="1" min="3" max="3" width="7.0"/>
    <col customWidth="1" min="4" max="4" width="8.71"/>
    <col customWidth="1" min="5" max="5" width="30.14"/>
    <col customWidth="1" min="6" max="6" width="27.71"/>
    <col customWidth="1" min="7" max="7" width="11.43"/>
    <col customWidth="1" min="8" max="8" width="13.57"/>
    <col customWidth="1" min="9" max="9" width="5.57"/>
    <col customWidth="1" min="10" max="10" width="10.57"/>
  </cols>
  <sheetData>
    <row r="1">
      <c r="A1" s="20" t="s">
        <v>78</v>
      </c>
      <c r="B1" s="20" t="s">
        <v>79</v>
      </c>
      <c r="C1" s="20" t="s">
        <v>80</v>
      </c>
      <c r="D1" s="20" t="s">
        <v>81</v>
      </c>
      <c r="E1" s="20" t="s">
        <v>82</v>
      </c>
      <c r="F1" s="20" t="s">
        <v>83</v>
      </c>
      <c r="G1" s="21" t="s">
        <v>84</v>
      </c>
      <c r="H1" s="20" t="s">
        <v>85</v>
      </c>
      <c r="I1" s="20" t="s">
        <v>86</v>
      </c>
      <c r="J1" s="21" t="s">
        <v>87</v>
      </c>
    </row>
    <row r="2">
      <c r="A2" s="22" t="s">
        <v>88</v>
      </c>
      <c r="B2" s="22">
        <v>1.0</v>
      </c>
      <c r="C2" s="23" t="str">
        <f>HYPERLINK("http://ecotaxoserver.obs-vlfr.fr/browsetaxo/?id=52301","52301")</f>
        <v>52301</v>
      </c>
      <c r="D2" s="23" t="str">
        <f>HYPERLINK("http://www.marinespecies.org/aphia.php?p=taxdetails&amp;id=137930","137930")</f>
        <v>137930</v>
      </c>
      <c r="E2" s="22" t="s">
        <v>89</v>
      </c>
      <c r="F2" s="22" t="s">
        <v>90</v>
      </c>
      <c r="H2" s="23" t="str">
        <f>HYPERLINK("http://www.marinespecies.org/aphia.php?p=taxdetails&amp;id=137930","137930")</f>
        <v>137930</v>
      </c>
      <c r="I2" s="24" t="s">
        <v>91</v>
      </c>
      <c r="J2" s="24" t="str">
        <f t="shared" ref="J2:J101" si="1">IF(E2&lt;&gt;F2,"!=","")</f>
        <v>!=</v>
      </c>
    </row>
    <row r="3">
      <c r="A3" s="22" t="s">
        <v>92</v>
      </c>
      <c r="B3" s="22">
        <v>2.0</v>
      </c>
      <c r="C3" s="23" t="str">
        <f>HYPERLINK("http://ecotaxoserver.obs-vlfr.fr/browsetaxo/?id=92757","92757")</f>
        <v>92757</v>
      </c>
      <c r="D3" s="23" t="str">
        <f>HYPERLINK("http://www.marinespecies.org/aphia.php?p=taxdetails&amp;id=135351","135351")</f>
        <v>135351</v>
      </c>
      <c r="E3" s="22" t="s">
        <v>93</v>
      </c>
      <c r="F3" s="22" t="s">
        <v>93</v>
      </c>
      <c r="G3" s="22" t="s">
        <v>94</v>
      </c>
      <c r="H3" s="23" t="str">
        <f>HYPERLINK("http://www.marinespecies.org/aphia.php?p=taxdetails&amp;id=135351","135351")</f>
        <v>135351</v>
      </c>
      <c r="I3" s="22" t="s">
        <v>94</v>
      </c>
      <c r="J3" s="24" t="str">
        <f t="shared" si="1"/>
        <v/>
      </c>
    </row>
    <row r="4">
      <c r="A4" s="22" t="s">
        <v>95</v>
      </c>
      <c r="B4" s="22">
        <v>500.0</v>
      </c>
      <c r="C4" s="23" t="str">
        <f>HYPERLINK("http://ecotaxoserver.obs-vlfr.fr/browsetaxo/?id=72398","72398")</f>
        <v>72398</v>
      </c>
      <c r="D4" s="23" t="str">
        <f>HYPERLINK("http://www.marinespecies.org/aphia.php?p=taxdetails&amp;id=135336","135336")</f>
        <v>135336</v>
      </c>
      <c r="E4" s="22" t="s">
        <v>96</v>
      </c>
      <c r="F4" s="22" t="s">
        <v>96</v>
      </c>
      <c r="G4" s="22" t="s">
        <v>94</v>
      </c>
      <c r="H4" s="23" t="str">
        <f>HYPERLINK("http://www.marinespecies.org/aphia.php?p=taxdetails&amp;id=135336","135336")</f>
        <v>135336</v>
      </c>
      <c r="I4" s="22" t="s">
        <v>94</v>
      </c>
      <c r="J4" s="24" t="str">
        <f t="shared" si="1"/>
        <v/>
      </c>
    </row>
    <row r="5">
      <c r="A5" s="22" t="s">
        <v>97</v>
      </c>
      <c r="B5" s="22">
        <v>179.0</v>
      </c>
      <c r="C5" s="23" t="str">
        <f>HYPERLINK("http://ecotaxoserver.obs-vlfr.fr/browsetaxo/?id=83278","83278")</f>
        <v>83278</v>
      </c>
      <c r="D5" s="23" t="str">
        <f>HYPERLINK("http://www.marinespecies.org/aphia.php?p=taxdetails&amp;id=135403","135403")</f>
        <v>135403</v>
      </c>
      <c r="E5" s="22" t="s">
        <v>98</v>
      </c>
      <c r="F5" s="22" t="s">
        <v>98</v>
      </c>
      <c r="G5" s="22" t="s">
        <v>94</v>
      </c>
      <c r="H5" s="23" t="str">
        <f>HYPERLINK("http://www.marinespecies.org/aphia.php?p=taxdetails&amp;id=135403","135403")</f>
        <v>135403</v>
      </c>
      <c r="I5" s="22" t="s">
        <v>94</v>
      </c>
      <c r="J5" s="24" t="str">
        <f t="shared" si="1"/>
        <v/>
      </c>
    </row>
    <row r="6">
      <c r="A6" s="22" t="s">
        <v>99</v>
      </c>
      <c r="B6" s="22">
        <v>477.0</v>
      </c>
      <c r="C6" s="23" t="str">
        <f>HYPERLINK("http://ecotaxoserver.obs-vlfr.fr/browsetaxo/?id=93382","93382")</f>
        <v>93382</v>
      </c>
      <c r="D6" s="23" t="str">
        <f>HYPERLINK("http://www.marinespecies.org/aphia.php?p=taxdetails&amp;id=586732","586732")</f>
        <v>586732</v>
      </c>
      <c r="E6" s="22" t="s">
        <v>100</v>
      </c>
      <c r="F6" s="22" t="s">
        <v>101</v>
      </c>
      <c r="G6" s="22" t="s">
        <v>94</v>
      </c>
      <c r="H6" s="23" t="str">
        <f>HYPERLINK("http://www.marinespecies.org/aphia.php?p=taxdetails&amp;id=586732","586732")</f>
        <v>586732</v>
      </c>
      <c r="I6" s="22" t="s">
        <v>94</v>
      </c>
      <c r="J6" s="24" t="str">
        <f t="shared" si="1"/>
        <v>!=</v>
      </c>
    </row>
    <row r="7">
      <c r="A7" s="22" t="s">
        <v>102</v>
      </c>
      <c r="B7" s="22">
        <v>1.0</v>
      </c>
      <c r="C7" s="23" t="str">
        <f>HYPERLINK("http://ecotaxoserver.obs-vlfr.fr/browsetaxo/?id=93281","93281")</f>
        <v>93281</v>
      </c>
      <c r="D7" s="23" t="str">
        <f>HYPERLINK("http://www.marinespecies.org/aphia.php?p=taxdetails&amp;id=127014","127014")</f>
        <v>127014</v>
      </c>
      <c r="E7" s="22" t="s">
        <v>103</v>
      </c>
      <c r="F7" s="22" t="s">
        <v>103</v>
      </c>
      <c r="G7" s="22" t="s">
        <v>94</v>
      </c>
      <c r="H7" s="23" t="str">
        <f>HYPERLINK("http://www.marinespecies.org/aphia.php?p=taxdetails&amp;id=127014","127014")</f>
        <v>127014</v>
      </c>
      <c r="I7" s="22" t="s">
        <v>94</v>
      </c>
      <c r="J7" s="24" t="str">
        <f t="shared" si="1"/>
        <v/>
      </c>
    </row>
    <row r="8">
      <c r="A8" s="22" t="s">
        <v>104</v>
      </c>
      <c r="B8" s="22">
        <v>1.0</v>
      </c>
      <c r="C8" s="23" t="str">
        <f>HYPERLINK("http://ecotaxoserver.obs-vlfr.fr/browsetaxo/?id=54904","54904")</f>
        <v>54904</v>
      </c>
      <c r="D8" s="23" t="str">
        <f>HYPERLINK("http://www.marinespecies.org/aphia.php?p=taxdetails&amp;id=393198","393198")</f>
        <v>393198</v>
      </c>
      <c r="E8" s="22" t="s">
        <v>105</v>
      </c>
      <c r="F8" s="22" t="s">
        <v>106</v>
      </c>
      <c r="G8" s="22" t="s">
        <v>94</v>
      </c>
      <c r="H8" s="23" t="str">
        <f>HYPERLINK("http://www.marinespecies.org/aphia.php?p=taxdetails&amp;id=393198","393198")</f>
        <v>393198</v>
      </c>
      <c r="I8" s="22" t="s">
        <v>94</v>
      </c>
      <c r="J8" s="24" t="str">
        <f t="shared" si="1"/>
        <v>!=</v>
      </c>
    </row>
    <row r="9">
      <c r="A9" s="22" t="s">
        <v>107</v>
      </c>
      <c r="B9" s="22">
        <v>2.0</v>
      </c>
      <c r="C9" s="23" t="str">
        <f>HYPERLINK("http://ecotaxoserver.obs-vlfr.fr/browsetaxo/?id=93265","93265")</f>
        <v>93265</v>
      </c>
      <c r="D9" s="23" t="str">
        <f>HYPERLINK("http://www.marinespecies.org/aphia.php?p=taxdetails&amp;id=125908","125908")</f>
        <v>125908</v>
      </c>
      <c r="E9" s="22" t="s">
        <v>108</v>
      </c>
      <c r="F9" s="22" t="s">
        <v>108</v>
      </c>
      <c r="G9" s="22" t="s">
        <v>94</v>
      </c>
      <c r="H9" s="23" t="str">
        <f>HYPERLINK("http://www.marinespecies.org/aphia.php?p=taxdetails&amp;id=125908","125908")</f>
        <v>125908</v>
      </c>
      <c r="I9" s="22" t="s">
        <v>94</v>
      </c>
      <c r="J9" s="24" t="str">
        <f t="shared" si="1"/>
        <v/>
      </c>
    </row>
    <row r="10">
      <c r="A10" s="22" t="s">
        <v>109</v>
      </c>
      <c r="B10" s="22">
        <v>77309.0</v>
      </c>
      <c r="C10" s="23" t="str">
        <f>HYPERLINK("http://ecotaxoserver.obs-vlfr.fr/browsetaxo/?id=80116","80116")</f>
        <v>80116</v>
      </c>
      <c r="D10" s="23" t="str">
        <f>HYPERLINK("http://www.marinespecies.org/aphia.php?p=taxdetails&amp;id=104108","104108")</f>
        <v>104108</v>
      </c>
      <c r="E10" s="22" t="s">
        <v>110</v>
      </c>
      <c r="F10" s="22" t="s">
        <v>110</v>
      </c>
      <c r="G10" s="22" t="s">
        <v>94</v>
      </c>
      <c r="H10" s="23" t="str">
        <f>HYPERLINK("http://www.marinespecies.org/aphia.php?p=taxdetails&amp;id=104108","104108")</f>
        <v>104108</v>
      </c>
      <c r="I10" s="22" t="s">
        <v>94</v>
      </c>
      <c r="J10" s="24" t="str">
        <f t="shared" si="1"/>
        <v/>
      </c>
    </row>
    <row r="11">
      <c r="A11" s="22" t="s">
        <v>110</v>
      </c>
      <c r="B11" s="22">
        <v>487467.0</v>
      </c>
      <c r="C11" s="23" t="str">
        <f>HYPERLINK("http://ecotaxoserver.obs-vlfr.fr/browsetaxo/?id=61996","61996")</f>
        <v>61996</v>
      </c>
      <c r="D11" s="23" t="str">
        <f>HYPERLINK("http://www.marinespecies.org/aphia.php?p=taxdetails&amp;id=104074","104074")</f>
        <v>104074</v>
      </c>
      <c r="E11" s="22" t="s">
        <v>111</v>
      </c>
      <c r="F11" s="22" t="s">
        <v>111</v>
      </c>
      <c r="G11" s="22" t="s">
        <v>94</v>
      </c>
      <c r="H11" s="23" t="str">
        <f>HYPERLINK("http://www.marinespecies.org/aphia.php?p=taxdetails&amp;id=104074","104074")</f>
        <v>104074</v>
      </c>
      <c r="I11" s="22" t="s">
        <v>94</v>
      </c>
      <c r="J11" s="24" t="str">
        <f t="shared" si="1"/>
        <v/>
      </c>
    </row>
    <row r="12">
      <c r="A12" s="22" t="s">
        <v>112</v>
      </c>
      <c r="B12" s="22">
        <v>385.0</v>
      </c>
      <c r="C12" s="23" t="str">
        <f>HYPERLINK("http://ecotaxoserver.obs-vlfr.fr/browsetaxo/?id=81915","81915")</f>
        <v>81915</v>
      </c>
      <c r="D12" s="23" t="str">
        <f>HYPERLINK("http://www.marinespecies.org/aphia.php?p=taxdetails&amp;id=383017","383017")</f>
        <v>383017</v>
      </c>
      <c r="E12" s="22" t="s">
        <v>113</v>
      </c>
      <c r="F12" s="22" t="s">
        <v>113</v>
      </c>
      <c r="G12" s="22" t="s">
        <v>94</v>
      </c>
      <c r="H12" s="23" t="str">
        <f>HYPERLINK("http://www.marinespecies.org/aphia.php?p=taxdetails&amp;id=383017","383017")</f>
        <v>383017</v>
      </c>
      <c r="I12" s="22" t="s">
        <v>94</v>
      </c>
      <c r="J12" s="24" t="str">
        <f t="shared" si="1"/>
        <v/>
      </c>
    </row>
    <row r="13">
      <c r="A13" s="22" t="s">
        <v>114</v>
      </c>
      <c r="B13" s="22">
        <v>1.0</v>
      </c>
      <c r="C13" s="23" t="str">
        <f>HYPERLINK("http://ecotaxoserver.obs-vlfr.fr/browsetaxo/?id=93220","93220")</f>
        <v>93220</v>
      </c>
      <c r="D13" s="23" t="str">
        <f>HYPERLINK("http://www.marinespecies.org/aphia.php?p=taxdetails&amp;id=557883","557883")</f>
        <v>557883</v>
      </c>
      <c r="E13" s="22" t="s">
        <v>115</v>
      </c>
      <c r="F13" s="22" t="s">
        <v>115</v>
      </c>
      <c r="G13" s="22" t="s">
        <v>94</v>
      </c>
      <c r="H13" s="23" t="str">
        <f>HYPERLINK("http://www.marinespecies.org/aphia.php?p=taxdetails&amp;id=557883","557883")</f>
        <v>557883</v>
      </c>
      <c r="I13" s="22" t="s">
        <v>94</v>
      </c>
      <c r="J13" s="24" t="str">
        <f t="shared" si="1"/>
        <v/>
      </c>
    </row>
    <row r="14">
      <c r="A14" s="22" t="s">
        <v>116</v>
      </c>
      <c r="B14" s="22">
        <v>1.0</v>
      </c>
      <c r="C14" s="23" t="str">
        <f>HYPERLINK("http://ecotaxoserver.obs-vlfr.fr/browsetaxo/?id=93157","93157")</f>
        <v>93157</v>
      </c>
      <c r="D14" s="23" t="str">
        <f>HYPERLINK("http://www.marinespecies.org/aphia.php?p=taxdetails&amp;id=154171","154171")</f>
        <v>154171</v>
      </c>
      <c r="E14" s="22" t="s">
        <v>117</v>
      </c>
      <c r="F14" s="22" t="s">
        <v>117</v>
      </c>
      <c r="G14" s="22" t="s">
        <v>94</v>
      </c>
      <c r="H14" s="23" t="str">
        <f>HYPERLINK("http://www.marinespecies.org/aphia.php?p=taxdetails&amp;id=154171","154171")</f>
        <v>154171</v>
      </c>
      <c r="I14" s="22" t="s">
        <v>94</v>
      </c>
      <c r="J14" s="24" t="str">
        <f t="shared" si="1"/>
        <v/>
      </c>
    </row>
    <row r="15">
      <c r="A15" s="22" t="s">
        <v>118</v>
      </c>
      <c r="B15" s="22">
        <v>8.0</v>
      </c>
      <c r="C15" s="23" t="str">
        <f>HYPERLINK("http://ecotaxoserver.obs-vlfr.fr/browsetaxo/?id=28214","28214")</f>
        <v>28214</v>
      </c>
      <c r="D15" s="23" t="str">
        <f>HYPERLINK("http://www.marinespecies.org/aphia.php?p=taxdetails&amp;id=149191","149191")</f>
        <v>149191</v>
      </c>
      <c r="E15" s="22" t="s">
        <v>119</v>
      </c>
      <c r="F15" s="22" t="s">
        <v>120</v>
      </c>
      <c r="G15" s="22" t="s">
        <v>94</v>
      </c>
      <c r="H15" s="23" t="str">
        <f>HYPERLINK("http://www.marinespecies.org/aphia.php?p=taxdetails&amp;id=149191","149191")</f>
        <v>149191</v>
      </c>
      <c r="I15" s="22" t="s">
        <v>94</v>
      </c>
      <c r="J15" s="24" t="str">
        <f t="shared" si="1"/>
        <v>!=</v>
      </c>
    </row>
    <row r="16">
      <c r="A16" s="22" t="s">
        <v>121</v>
      </c>
      <c r="B16" s="22">
        <v>750.0</v>
      </c>
      <c r="C16" s="23" t="str">
        <f>HYPERLINK("http://ecotaxoserver.obs-vlfr.fr/browsetaxo/?id=80165","80165")</f>
        <v>80165</v>
      </c>
      <c r="D16" s="23" t="str">
        <f>HYPERLINK("http://www.marinespecies.org/aphia.php?p=taxdetails&amp;id=104192","104192")</f>
        <v>104192</v>
      </c>
      <c r="E16" s="22" t="s">
        <v>122</v>
      </c>
      <c r="F16" s="22" t="s">
        <v>122</v>
      </c>
      <c r="G16" s="22" t="s">
        <v>94</v>
      </c>
      <c r="H16" s="23" t="str">
        <f>HYPERLINK("http://www.marinespecies.org/aphia.php?p=taxdetails&amp;id=104192","104192")</f>
        <v>104192</v>
      </c>
      <c r="I16" s="22" t="s">
        <v>94</v>
      </c>
      <c r="J16" s="24" t="str">
        <f t="shared" si="1"/>
        <v/>
      </c>
    </row>
    <row r="17">
      <c r="A17" s="22" t="s">
        <v>123</v>
      </c>
      <c r="B17" s="22">
        <v>38.0</v>
      </c>
      <c r="C17" s="23" t="str">
        <f>HYPERLINK("http://ecotaxoserver.obs-vlfr.fr/browsetaxo/?id=81929","81929")</f>
        <v>81929</v>
      </c>
      <c r="D17" s="23" t="str">
        <f>HYPERLINK("http://www.marinespecies.org/aphia.php?p=taxdetails&amp;id=148382","148382")</f>
        <v>148382</v>
      </c>
      <c r="E17" s="22" t="s">
        <v>124</v>
      </c>
      <c r="F17" s="22" t="s">
        <v>124</v>
      </c>
      <c r="G17" s="22" t="s">
        <v>94</v>
      </c>
      <c r="H17" s="23" t="str">
        <f>HYPERLINK("http://www.marinespecies.org/aphia.php?p=taxdetails&amp;id=148382","148382")</f>
        <v>148382</v>
      </c>
      <c r="I17" s="22" t="s">
        <v>94</v>
      </c>
      <c r="J17" s="24" t="str">
        <f t="shared" si="1"/>
        <v/>
      </c>
    </row>
    <row r="18">
      <c r="A18" s="22" t="s">
        <v>125</v>
      </c>
      <c r="B18" s="22">
        <v>398.0</v>
      </c>
      <c r="C18" s="23" t="str">
        <f>HYPERLINK("http://ecotaxoserver.obs-vlfr.fr/browsetaxo/?id=25951","25951")</f>
        <v>25951</v>
      </c>
      <c r="D18" s="23" t="str">
        <f>HYPERLINK("http://www.marinespecies.org/aphia.php?p=taxdetails&amp;id=1360","1360")</f>
        <v>1360</v>
      </c>
      <c r="E18" s="22" t="s">
        <v>126</v>
      </c>
      <c r="F18" s="22" t="s">
        <v>126</v>
      </c>
      <c r="G18" s="22" t="s">
        <v>94</v>
      </c>
      <c r="H18" s="23" t="str">
        <f>HYPERLINK("http://www.marinespecies.org/aphia.php?p=taxdetails&amp;id=1360","1360")</f>
        <v>1360</v>
      </c>
      <c r="I18" s="22" t="s">
        <v>94</v>
      </c>
      <c r="J18" s="24" t="str">
        <f t="shared" si="1"/>
        <v/>
      </c>
    </row>
    <row r="19">
      <c r="A19" s="22" t="s">
        <v>127</v>
      </c>
      <c r="B19" s="22">
        <v>1.0</v>
      </c>
      <c r="C19" s="23" t="str">
        <f>HYPERLINK("http://ecotaxoserver.obs-vlfr.fr/browsetaxo/?id=92407","92407")</f>
        <v>92407</v>
      </c>
      <c r="D19" s="23" t="str">
        <f>HYPERLINK("http://www.marinespecies.org/aphia.php?p=taxdetails&amp;id=109717","109717")</f>
        <v>109717</v>
      </c>
      <c r="E19" s="22" t="s">
        <v>128</v>
      </c>
      <c r="F19" s="22" t="s">
        <v>129</v>
      </c>
      <c r="G19" s="22" t="s">
        <v>94</v>
      </c>
      <c r="H19" s="23" t="str">
        <f>HYPERLINK("http://www.marinespecies.org/aphia.php?p=taxdetails&amp;id=109717","109717")</f>
        <v>109717</v>
      </c>
      <c r="I19" s="22" t="s">
        <v>94</v>
      </c>
      <c r="J19" s="24" t="str">
        <f t="shared" si="1"/>
        <v>!=</v>
      </c>
    </row>
    <row r="20">
      <c r="A20" s="22" t="s">
        <v>130</v>
      </c>
      <c r="B20" s="22">
        <v>1.0</v>
      </c>
      <c r="C20" s="23" t="str">
        <f>HYPERLINK("http://ecotaxoserver.obs-vlfr.fr/browsetaxo/?id=92223","92223")</f>
        <v>92223</v>
      </c>
      <c r="D20" s="23" t="str">
        <f>HYPERLINK("http://www.marinespecies.org/aphia.php?p=taxdetails&amp;id=149284","149284")</f>
        <v>149284</v>
      </c>
      <c r="E20" s="22" t="s">
        <v>131</v>
      </c>
      <c r="F20" s="22" t="s">
        <v>131</v>
      </c>
      <c r="G20" s="22" t="s">
        <v>94</v>
      </c>
      <c r="H20" s="23" t="str">
        <f>HYPERLINK("http://www.marinespecies.org/aphia.php?p=taxdetails&amp;id=149284","149284")</f>
        <v>149284</v>
      </c>
      <c r="I20" s="22" t="s">
        <v>94</v>
      </c>
      <c r="J20" s="24" t="str">
        <f t="shared" si="1"/>
        <v/>
      </c>
    </row>
    <row r="21">
      <c r="A21" s="22" t="s">
        <v>132</v>
      </c>
      <c r="B21" s="22">
        <v>23159.0</v>
      </c>
      <c r="C21" s="23" t="str">
        <f>HYPERLINK("http://ecotaxoserver.obs-vlfr.fr/browsetaxo/?id=56693","56693")</f>
        <v>56693</v>
      </c>
      <c r="D21" s="23" t="str">
        <f>HYPERLINK("http://www.marinespecies.org/aphia.php?p=taxdetails&amp;id=10194","10194")</f>
        <v>10194</v>
      </c>
      <c r="E21" s="22" t="s">
        <v>133</v>
      </c>
      <c r="F21" s="22" t="s">
        <v>134</v>
      </c>
      <c r="G21" s="22" t="s">
        <v>94</v>
      </c>
      <c r="H21" s="23" t="str">
        <f>HYPERLINK("http://www.marinespecies.org/aphia.php?p=taxdetails&amp;id=10194","10194")</f>
        <v>10194</v>
      </c>
      <c r="I21" s="22" t="s">
        <v>94</v>
      </c>
      <c r="J21" s="24" t="str">
        <f t="shared" si="1"/>
        <v>!=</v>
      </c>
    </row>
    <row r="22">
      <c r="A22" s="22" t="s">
        <v>135</v>
      </c>
      <c r="B22" s="22">
        <v>294.0</v>
      </c>
      <c r="C22" s="23" t="str">
        <f>HYPERLINK("http://ecotaxoserver.obs-vlfr.fr/browsetaxo/?id=72418","72418")</f>
        <v>72418</v>
      </c>
      <c r="D22" s="23" t="str">
        <f>HYPERLINK("http://www.marinespecies.org/aphia.php?p=taxdetails&amp;id=116994","116994")</f>
        <v>116994</v>
      </c>
      <c r="E22" s="22" t="s">
        <v>136</v>
      </c>
      <c r="F22" s="22" t="s">
        <v>136</v>
      </c>
      <c r="G22" s="22" t="s">
        <v>94</v>
      </c>
      <c r="H22" s="23" t="str">
        <f>HYPERLINK("http://www.marinespecies.org/aphia.php?p=taxdetails&amp;id=116994","116994")</f>
        <v>116994</v>
      </c>
      <c r="I22" s="22" t="s">
        <v>94</v>
      </c>
      <c r="J22" s="24" t="str">
        <f t="shared" si="1"/>
        <v/>
      </c>
    </row>
    <row r="23">
      <c r="A23" s="22" t="s">
        <v>136</v>
      </c>
      <c r="B23" s="22">
        <v>165.0</v>
      </c>
      <c r="C23" s="23" t="str">
        <f>HYPERLINK("http://ecotaxoserver.obs-vlfr.fr/browsetaxo/?id=51389","51389")</f>
        <v>51389</v>
      </c>
      <c r="D23" s="23" t="str">
        <f>HYPERLINK("http://www.marinespecies.org/aphia.php?p=taxdetails&amp;id=16846","16846")</f>
        <v>16846</v>
      </c>
      <c r="E23" s="22" t="s">
        <v>137</v>
      </c>
      <c r="F23" s="22" t="s">
        <v>137</v>
      </c>
      <c r="G23" s="22" t="s">
        <v>94</v>
      </c>
      <c r="H23" s="23" t="str">
        <f>HYPERLINK("http://www.marinespecies.org/aphia.php?p=taxdetails&amp;id=16846","16846")</f>
        <v>16846</v>
      </c>
      <c r="I23" s="22" t="s">
        <v>94</v>
      </c>
      <c r="J23" s="24" t="str">
        <f t="shared" si="1"/>
        <v/>
      </c>
    </row>
    <row r="24">
      <c r="A24" s="22" t="s">
        <v>138</v>
      </c>
      <c r="B24" s="22">
        <v>4.0</v>
      </c>
      <c r="C24" s="23" t="str">
        <f>HYPERLINK("http://ecotaxoserver.obs-vlfr.fr/browsetaxo/?id=26503","26503")</f>
        <v>26503</v>
      </c>
      <c r="D24" s="23" t="str">
        <f>HYPERLINK("http://www.marinespecies.org/aphia.php?p=taxdetails&amp;id=192","192")</f>
        <v>192</v>
      </c>
      <c r="E24" s="22" t="s">
        <v>139</v>
      </c>
      <c r="F24" s="22" t="s">
        <v>140</v>
      </c>
      <c r="G24" s="22" t="s">
        <v>94</v>
      </c>
      <c r="H24" s="23" t="str">
        <f>HYPERLINK("http://www.marinespecies.org/aphia.php?p=taxdetails&amp;id=192","192")</f>
        <v>192</v>
      </c>
      <c r="I24" s="22" t="s">
        <v>94</v>
      </c>
      <c r="J24" s="24" t="str">
        <f t="shared" si="1"/>
        <v>!=</v>
      </c>
    </row>
    <row r="25">
      <c r="A25" s="22" t="s">
        <v>141</v>
      </c>
      <c r="B25" s="22">
        <v>5.0</v>
      </c>
      <c r="C25" s="23" t="str">
        <f>HYPERLINK("http://ecotaxoserver.obs-vlfr.fr/browsetaxo/?id=72334","72334")</f>
        <v>72334</v>
      </c>
      <c r="D25" s="23" t="str">
        <f>HYPERLINK("http://www.marinespecies.org/aphia.php?p=taxdetails&amp;id=116998","116998")</f>
        <v>116998</v>
      </c>
      <c r="E25" s="22" t="s">
        <v>142</v>
      </c>
      <c r="F25" s="22" t="s">
        <v>142</v>
      </c>
      <c r="G25" s="22" t="s">
        <v>94</v>
      </c>
      <c r="H25" s="23" t="str">
        <f>HYPERLINK("http://www.marinespecies.org/aphia.php?p=taxdetails&amp;id=116998","116998")</f>
        <v>116998</v>
      </c>
      <c r="I25" s="22" t="s">
        <v>94</v>
      </c>
      <c r="J25" s="24" t="str">
        <f t="shared" si="1"/>
        <v/>
      </c>
    </row>
    <row r="26">
      <c r="A26" s="22" t="s">
        <v>142</v>
      </c>
      <c r="B26" s="22">
        <v>6.0</v>
      </c>
      <c r="C26" s="23" t="str">
        <f>HYPERLINK("http://ecotaxoserver.obs-vlfr.fr/browsetaxo/?id=51380","51380")</f>
        <v>51380</v>
      </c>
      <c r="D26" s="23" t="str">
        <f>HYPERLINK("http://www.marinespecies.org/aphia.php?p=taxdetails&amp;id=13553","13553")</f>
        <v>13553</v>
      </c>
      <c r="E26" s="22" t="s">
        <v>143</v>
      </c>
      <c r="F26" s="22" t="s">
        <v>143</v>
      </c>
      <c r="G26" s="22" t="s">
        <v>94</v>
      </c>
      <c r="H26" s="23" t="str">
        <f>HYPERLINK("http://www.marinespecies.org/aphia.php?p=taxdetails&amp;id=13553","13553")</f>
        <v>13553</v>
      </c>
      <c r="I26" s="22" t="s">
        <v>94</v>
      </c>
      <c r="J26" s="24" t="str">
        <f t="shared" si="1"/>
        <v/>
      </c>
    </row>
    <row r="27">
      <c r="A27" s="22" t="s">
        <v>144</v>
      </c>
      <c r="B27" s="22">
        <v>826.0</v>
      </c>
      <c r="C27" s="23" t="str">
        <f>HYPERLINK("http://ecotaxoserver.obs-vlfr.fr/browsetaxo/?id=61995","61995")</f>
        <v>61995</v>
      </c>
      <c r="D27" s="23" t="str">
        <f>HYPERLINK("http://www.marinespecies.org/aphia.php?p=taxdetails&amp;id=104075","104075")</f>
        <v>104075</v>
      </c>
      <c r="E27" s="22" t="s">
        <v>111</v>
      </c>
      <c r="F27" s="22" t="s">
        <v>111</v>
      </c>
      <c r="G27" s="22" t="s">
        <v>94</v>
      </c>
      <c r="H27" s="23" t="str">
        <f>HYPERLINK("http://www.marinespecies.org/aphia.php?p=taxdetails&amp;id=104075","104075")</f>
        <v>104075</v>
      </c>
      <c r="I27" s="22" t="s">
        <v>94</v>
      </c>
      <c r="J27" s="24" t="str">
        <f t="shared" si="1"/>
        <v/>
      </c>
    </row>
    <row r="28">
      <c r="A28" s="22" t="s">
        <v>145</v>
      </c>
      <c r="B28" s="22">
        <v>271.0</v>
      </c>
      <c r="C28" s="23" t="str">
        <f>HYPERLINK("http://ecotaxoserver.obs-vlfr.fr/browsetaxo/?id=92681","92681")</f>
        <v>92681</v>
      </c>
      <c r="D28" s="23" t="str">
        <f>HYPERLINK("http://www.marinespecies.org/aphia.php?p=taxdetails&amp;id=104111","104111")</f>
        <v>104111</v>
      </c>
      <c r="E28" s="22" t="s">
        <v>144</v>
      </c>
      <c r="F28" s="22" t="s">
        <v>144</v>
      </c>
      <c r="G28" s="22" t="s">
        <v>94</v>
      </c>
      <c r="H28" s="23" t="str">
        <f>HYPERLINK("http://www.marinespecies.org/aphia.php?p=taxdetails&amp;id=104111","104111")</f>
        <v>104111</v>
      </c>
      <c r="I28" s="22" t="s">
        <v>94</v>
      </c>
      <c r="J28" s="24" t="str">
        <f t="shared" si="1"/>
        <v/>
      </c>
    </row>
    <row r="29">
      <c r="A29" s="22" t="s">
        <v>146</v>
      </c>
      <c r="B29" s="22">
        <v>18.0</v>
      </c>
      <c r="C29" s="23" t="str">
        <f>HYPERLINK("http://ecotaxoserver.obs-vlfr.fr/browsetaxo/?id=92983","92983")</f>
        <v>92983</v>
      </c>
      <c r="D29" s="23" t="str">
        <f>HYPERLINK("http://www.marinespecies.org/aphia.php?p=taxdetails&amp;id=104272","104272")</f>
        <v>104272</v>
      </c>
      <c r="E29" s="22" t="s">
        <v>145</v>
      </c>
      <c r="F29" s="22" t="s">
        <v>145</v>
      </c>
      <c r="G29" s="22" t="s">
        <v>94</v>
      </c>
      <c r="H29" s="23" t="str">
        <f>HYPERLINK("http://www.marinespecies.org/aphia.php?p=taxdetails&amp;id=104272","104272")</f>
        <v>104272</v>
      </c>
      <c r="I29" s="22" t="s">
        <v>94</v>
      </c>
      <c r="J29" s="24" t="str">
        <f t="shared" si="1"/>
        <v/>
      </c>
    </row>
    <row r="30">
      <c r="A30" s="22" t="s">
        <v>147</v>
      </c>
      <c r="B30" s="22">
        <v>318.0</v>
      </c>
      <c r="C30" s="23" t="str">
        <f>HYPERLINK("http://ecotaxoserver.obs-vlfr.fr/browsetaxo/?id=80120","80120")</f>
        <v>80120</v>
      </c>
      <c r="D30" s="23" t="str">
        <f>HYPERLINK("http://www.marinespecies.org/aphia.php?p=taxdetails&amp;id=104112","104112")</f>
        <v>104112</v>
      </c>
      <c r="E30" s="22" t="s">
        <v>144</v>
      </c>
      <c r="F30" s="22" t="s">
        <v>144</v>
      </c>
      <c r="G30" s="22" t="s">
        <v>94</v>
      </c>
      <c r="H30" s="23" t="str">
        <f>HYPERLINK("http://www.marinespecies.org/aphia.php?p=taxdetails&amp;id=104112","104112")</f>
        <v>104112</v>
      </c>
      <c r="I30" s="22" t="s">
        <v>94</v>
      </c>
      <c r="J30" s="24" t="str">
        <f t="shared" si="1"/>
        <v/>
      </c>
    </row>
    <row r="31">
      <c r="A31" s="22" t="s">
        <v>148</v>
      </c>
      <c r="B31" s="22">
        <v>5.0</v>
      </c>
      <c r="C31" s="23" t="str">
        <f>HYPERLINK("http://ecotaxoserver.obs-vlfr.fr/browsetaxo/?id=81837","81837")</f>
        <v>81837</v>
      </c>
      <c r="D31" s="23" t="str">
        <f>HYPERLINK("http://www.marinespecies.org/aphia.php?p=taxdetails&amp;id=135385","135385")</f>
        <v>135385</v>
      </c>
      <c r="E31" s="22" t="s">
        <v>149</v>
      </c>
      <c r="F31" s="22" t="s">
        <v>149</v>
      </c>
      <c r="G31" s="22" t="s">
        <v>94</v>
      </c>
      <c r="H31" s="23" t="str">
        <f>HYPERLINK("http://www.marinespecies.org/aphia.php?p=taxdetails&amp;id=135385","135385")</f>
        <v>135385</v>
      </c>
      <c r="I31" s="22" t="s">
        <v>94</v>
      </c>
      <c r="J31" s="24" t="str">
        <f t="shared" si="1"/>
        <v/>
      </c>
    </row>
    <row r="32">
      <c r="A32" s="22" t="s">
        <v>150</v>
      </c>
      <c r="B32" s="22">
        <v>1.0</v>
      </c>
      <c r="C32" s="23" t="str">
        <f>HYPERLINK("http://ecotaxoserver.obs-vlfr.fr/browsetaxo/?id=83308","83308")</f>
        <v>83308</v>
      </c>
      <c r="D32" s="23" t="str">
        <f>HYPERLINK("http://www.marinespecies.org/aphia.php?p=taxdetails&amp;id=135483","135483")</f>
        <v>135483</v>
      </c>
      <c r="E32" s="22" t="s">
        <v>148</v>
      </c>
      <c r="F32" s="22" t="s">
        <v>148</v>
      </c>
      <c r="G32" s="22" t="s">
        <v>94</v>
      </c>
      <c r="H32" s="23" t="str">
        <f>HYPERLINK("http://www.marinespecies.org/aphia.php?p=taxdetails&amp;id=135483","135483")</f>
        <v>135483</v>
      </c>
      <c r="I32" s="22" t="s">
        <v>94</v>
      </c>
      <c r="J32" s="24" t="str">
        <f t="shared" si="1"/>
        <v/>
      </c>
    </row>
    <row r="33">
      <c r="A33" s="22" t="s">
        <v>151</v>
      </c>
      <c r="B33" s="22">
        <v>1098.0</v>
      </c>
      <c r="C33" s="23" t="str">
        <f>HYPERLINK("http://ecotaxoserver.obs-vlfr.fr/browsetaxo/?id=31410","31410")</f>
        <v>31410</v>
      </c>
      <c r="D33" s="23" t="str">
        <f>HYPERLINK("http://www.marinespecies.org/aphia.php?p=taxdetails&amp;id=391854","391854")</f>
        <v>391854</v>
      </c>
      <c r="E33" s="22" t="s">
        <v>152</v>
      </c>
      <c r="F33" s="22" t="s">
        <v>153</v>
      </c>
      <c r="G33" s="22" t="s">
        <v>94</v>
      </c>
      <c r="H33" s="23" t="str">
        <f>HYPERLINK("http://www.marinespecies.org/aphia.php?p=taxdetails&amp;id=391854","391854")</f>
        <v>391854</v>
      </c>
      <c r="I33" s="22" t="s">
        <v>94</v>
      </c>
      <c r="J33" s="24" t="str">
        <f t="shared" si="1"/>
        <v>!=</v>
      </c>
    </row>
    <row r="34">
      <c r="A34" s="22" t="s">
        <v>154</v>
      </c>
      <c r="B34" s="22">
        <v>1114.0</v>
      </c>
      <c r="C34" s="23" t="str">
        <f>HYPERLINK("http://ecotaxoserver.obs-vlfr.fr/browsetaxo/?id=72432","72432")</f>
        <v>72432</v>
      </c>
      <c r="D34" s="23" t="str">
        <f>HYPERLINK("http://www.marinespecies.org/aphia.php?p=taxdetails&amp;id=117212","117212")</f>
        <v>117212</v>
      </c>
      <c r="E34" s="22" t="s">
        <v>155</v>
      </c>
      <c r="F34" s="22" t="s">
        <v>155</v>
      </c>
      <c r="G34" s="22" t="s">
        <v>94</v>
      </c>
      <c r="H34" s="23" t="str">
        <f>HYPERLINK("http://www.marinespecies.org/aphia.php?p=taxdetails&amp;id=117212","117212")</f>
        <v>117212</v>
      </c>
      <c r="I34" s="22" t="s">
        <v>94</v>
      </c>
      <c r="J34" s="24" t="str">
        <f t="shared" si="1"/>
        <v/>
      </c>
    </row>
    <row r="35">
      <c r="A35" s="22" t="s">
        <v>156</v>
      </c>
      <c r="B35" s="22">
        <v>301.0</v>
      </c>
      <c r="C35" s="23" t="str">
        <f>HYPERLINK("http://ecotaxoserver.obs-vlfr.fr/browsetaxo/?id=81866","81866")</f>
        <v>81866</v>
      </c>
      <c r="D35" s="23" t="str">
        <f>HYPERLINK("http://www.marinespecies.org/aphia.php?p=taxdetails&amp;id=117849","117849")</f>
        <v>117849</v>
      </c>
      <c r="E35" s="22" t="s">
        <v>154</v>
      </c>
      <c r="F35" s="22" t="s">
        <v>154</v>
      </c>
      <c r="G35" s="22" t="s">
        <v>94</v>
      </c>
      <c r="H35" s="23" t="str">
        <f>HYPERLINK("http://www.marinespecies.org/aphia.php?p=taxdetails&amp;id=117849","117849")</f>
        <v>117849</v>
      </c>
      <c r="I35" s="22" t="s">
        <v>94</v>
      </c>
      <c r="J35" s="24" t="str">
        <f t="shared" si="1"/>
        <v/>
      </c>
    </row>
    <row r="36">
      <c r="A36" s="22" t="s">
        <v>157</v>
      </c>
      <c r="B36" s="22">
        <v>13498.0</v>
      </c>
      <c r="C36" s="23" t="str">
        <f>HYPERLINK("http://ecotaxoserver.obs-vlfr.fr/browsetaxo/?id=72431","72431")</f>
        <v>72431</v>
      </c>
      <c r="D36" s="23" t="str">
        <f>HYPERLINK("http://www.marinespecies.org/aphia.php?p=taxdetails&amp;id=117213","117213")</f>
        <v>117213</v>
      </c>
      <c r="E36" s="22" t="s">
        <v>155</v>
      </c>
      <c r="F36" s="22" t="s">
        <v>155</v>
      </c>
      <c r="G36" s="22" t="s">
        <v>94</v>
      </c>
      <c r="H36" s="23" t="str">
        <f>HYPERLINK("http://www.marinespecies.org/aphia.php?p=taxdetails&amp;id=117213","117213")</f>
        <v>117213</v>
      </c>
      <c r="I36" s="22" t="s">
        <v>94</v>
      </c>
      <c r="J36" s="24" t="str">
        <f t="shared" si="1"/>
        <v/>
      </c>
    </row>
    <row r="37">
      <c r="A37" s="22" t="s">
        <v>158</v>
      </c>
      <c r="B37" s="22">
        <v>22.0</v>
      </c>
      <c r="C37" s="23" t="str">
        <f>HYPERLINK("http://ecotaxoserver.obs-vlfr.fr/browsetaxo/?id=81867","81867")</f>
        <v>81867</v>
      </c>
      <c r="D37" s="23" t="str">
        <f>HYPERLINK("http://www.marinespecies.org/aphia.php?p=taxdetails&amp;id=117851","117851")</f>
        <v>117851</v>
      </c>
      <c r="E37" s="22" t="s">
        <v>157</v>
      </c>
      <c r="F37" s="22" t="s">
        <v>157</v>
      </c>
      <c r="G37" s="22" t="s">
        <v>94</v>
      </c>
      <c r="H37" s="23" t="str">
        <f>HYPERLINK("http://www.marinespecies.org/aphia.php?p=taxdetails&amp;id=117851","117851")</f>
        <v>117851</v>
      </c>
      <c r="I37" s="22" t="s">
        <v>94</v>
      </c>
      <c r="J37" s="24" t="str">
        <f t="shared" si="1"/>
        <v/>
      </c>
    </row>
    <row r="38">
      <c r="A38" s="22" t="s">
        <v>159</v>
      </c>
      <c r="B38" s="22">
        <v>27.0</v>
      </c>
      <c r="C38" s="23" t="str">
        <f>HYPERLINK("http://ecotaxoserver.obs-vlfr.fr/browsetaxo/?id=92114","92114")</f>
        <v>92114</v>
      </c>
      <c r="D38" s="23" t="str">
        <f>HYPERLINK("http://www.marinespecies.org/aphia.php?p=taxdetails&amp;id=266712","266712")</f>
        <v>266712</v>
      </c>
      <c r="E38" s="22" t="s">
        <v>160</v>
      </c>
      <c r="F38" s="22" t="s">
        <v>160</v>
      </c>
      <c r="G38" s="22" t="s">
        <v>94</v>
      </c>
      <c r="H38" s="23" t="str">
        <f>HYPERLINK("http://www.marinespecies.org/aphia.php?p=taxdetails&amp;id=266712","266712")</f>
        <v>266712</v>
      </c>
      <c r="I38" s="22" t="s">
        <v>94</v>
      </c>
      <c r="J38" s="24" t="str">
        <f t="shared" si="1"/>
        <v/>
      </c>
    </row>
    <row r="39">
      <c r="A39" s="25" t="s">
        <v>161</v>
      </c>
      <c r="B39" s="25">
        <v>1.0</v>
      </c>
      <c r="C39" s="26" t="str">
        <f>HYPERLINK("http://ecotaxoserver.obs-vlfr.fr/browsetaxo/?id=78886","78886")</f>
        <v>78886</v>
      </c>
      <c r="D39" s="26" t="str">
        <f>HYPERLINK("http://www.marinespecies.org/aphia.php?p=taxdetails&amp;id=232546","232546")</f>
        <v>232546</v>
      </c>
      <c r="E39" s="25" t="s">
        <v>162</v>
      </c>
      <c r="F39" s="25" t="s">
        <v>162</v>
      </c>
      <c r="G39" s="25" t="s">
        <v>94</v>
      </c>
      <c r="H39" s="26" t="str">
        <f>HYPERLINK("http://www.marinespecies.org/aphia.php?p=taxdetails&amp;id=232546","232546")</f>
        <v>232546</v>
      </c>
      <c r="I39" s="25" t="s">
        <v>94</v>
      </c>
      <c r="J39" s="27" t="str">
        <f t="shared" si="1"/>
        <v/>
      </c>
    </row>
    <row r="40">
      <c r="A40" s="22" t="s">
        <v>163</v>
      </c>
      <c r="B40" s="22">
        <v>1.0</v>
      </c>
      <c r="C40" s="23" t="str">
        <f>HYPERLINK("http://ecotaxoserver.obs-vlfr.fr/browsetaxo/?id=93118","93118")</f>
        <v>93118</v>
      </c>
      <c r="D40" s="23" t="str">
        <f>HYPERLINK("http://www.marinespecies.org/aphia.php?p=taxdetails&amp;id=289378","289378")</f>
        <v>289378</v>
      </c>
      <c r="E40" s="22" t="s">
        <v>164</v>
      </c>
      <c r="F40" s="22" t="s">
        <v>164</v>
      </c>
      <c r="G40" s="22" t="s">
        <v>94</v>
      </c>
      <c r="H40" s="23" t="str">
        <f>HYPERLINK("http://www.marinespecies.org/aphia.php?p=taxdetails&amp;id=289378","289378")</f>
        <v>289378</v>
      </c>
      <c r="I40" s="22" t="s">
        <v>94</v>
      </c>
      <c r="J40" s="24" t="str">
        <f t="shared" si="1"/>
        <v/>
      </c>
    </row>
    <row r="41">
      <c r="A41" s="22" t="s">
        <v>165</v>
      </c>
      <c r="B41" s="22">
        <v>4.0</v>
      </c>
      <c r="C41" s="23" t="str">
        <f>HYPERLINK("http://ecotaxoserver.obs-vlfr.fr/browsetaxo/?id=93272","93272")</f>
        <v>93272</v>
      </c>
      <c r="D41" s="23" t="str">
        <f>HYPERLINK("http://www.marinespecies.org/aphia.php?p=taxdetails&amp;id=159629","159629")</f>
        <v>159629</v>
      </c>
      <c r="E41" s="22" t="s">
        <v>166</v>
      </c>
      <c r="F41" s="22" t="s">
        <v>166</v>
      </c>
      <c r="G41" s="22" t="s">
        <v>94</v>
      </c>
      <c r="H41" s="23" t="str">
        <f>HYPERLINK("http://www.marinespecies.org/aphia.php?p=taxdetails&amp;id=159629","159629")</f>
        <v>159629</v>
      </c>
      <c r="I41" s="22" t="s">
        <v>94</v>
      </c>
      <c r="J41" s="24" t="str">
        <f t="shared" si="1"/>
        <v/>
      </c>
    </row>
    <row r="42">
      <c r="A42" s="22" t="s">
        <v>167</v>
      </c>
      <c r="B42" s="22">
        <v>313.0</v>
      </c>
      <c r="C42" s="23" t="str">
        <f>HYPERLINK("http://ecotaxoserver.obs-vlfr.fr/browsetaxo/?id=31691","31691")</f>
        <v>31691</v>
      </c>
      <c r="D42" s="23" t="str">
        <f>HYPERLINK("http://www.marinespecies.org/aphia.php?p=taxdetails&amp;id=109470","109470")</f>
        <v>109470</v>
      </c>
      <c r="E42" s="22" t="s">
        <v>168</v>
      </c>
      <c r="F42" s="22" t="s">
        <v>169</v>
      </c>
      <c r="G42" s="22" t="s">
        <v>94</v>
      </c>
      <c r="H42" s="23" t="str">
        <f>HYPERLINK("http://www.marinespecies.org/aphia.php?p=taxdetails&amp;id=109470","109470")</f>
        <v>109470</v>
      </c>
      <c r="I42" s="22" t="s">
        <v>94</v>
      </c>
      <c r="J42" s="24" t="str">
        <f t="shared" si="1"/>
        <v>!=</v>
      </c>
    </row>
    <row r="43">
      <c r="A43" s="25" t="s">
        <v>170</v>
      </c>
      <c r="B43" s="25">
        <v>8.0</v>
      </c>
      <c r="C43" s="26" t="str">
        <f>HYPERLINK("http://ecotaxoserver.obs-vlfr.fr/browsetaxo/?id=58273","58273")</f>
        <v>58273</v>
      </c>
      <c r="D43" s="26" t="str">
        <f>HYPERLINK("http://www.marinespecies.org/aphia.php?p=taxdetails&amp;id=109712","109712")</f>
        <v>109712</v>
      </c>
      <c r="E43" s="25" t="s">
        <v>171</v>
      </c>
      <c r="F43" s="25" t="s">
        <v>167</v>
      </c>
      <c r="G43" s="25" t="s">
        <v>94</v>
      </c>
      <c r="H43" s="26" t="str">
        <f>HYPERLINK("http://www.marinespecies.org/aphia.php?p=taxdetails&amp;id=109712","109712")</f>
        <v>109712</v>
      </c>
      <c r="I43" s="22" t="s">
        <v>94</v>
      </c>
      <c r="J43" s="24" t="str">
        <f t="shared" si="1"/>
        <v>!=</v>
      </c>
    </row>
    <row r="44">
      <c r="A44" s="22" t="s">
        <v>172</v>
      </c>
      <c r="B44" s="22">
        <v>18.0</v>
      </c>
      <c r="C44" s="23" t="str">
        <f>HYPERLINK("http://ecotaxoserver.obs-vlfr.fr/browsetaxo/?id=92143","92143")</f>
        <v>92143</v>
      </c>
      <c r="D44" s="23" t="str">
        <f>HYPERLINK("http://www.marinespecies.org/aphia.php?p=taxdetails&amp;id=148383","148383")</f>
        <v>148383</v>
      </c>
      <c r="E44" s="22" t="s">
        <v>124</v>
      </c>
      <c r="F44" s="22" t="s">
        <v>124</v>
      </c>
      <c r="G44" s="22" t="s">
        <v>94</v>
      </c>
      <c r="H44" s="23" t="str">
        <f>HYPERLINK("http://www.marinespecies.org/aphia.php?p=taxdetails&amp;id=148383","148383")</f>
        <v>148383</v>
      </c>
      <c r="I44" s="22" t="s">
        <v>94</v>
      </c>
      <c r="J44" s="24" t="str">
        <f t="shared" si="1"/>
        <v/>
      </c>
    </row>
    <row r="45">
      <c r="A45" s="22" t="s">
        <v>173</v>
      </c>
      <c r="B45" s="22">
        <v>1.0</v>
      </c>
      <c r="C45" s="23" t="str">
        <f>HYPERLINK("http://ecotaxoserver.obs-vlfr.fr/browsetaxo/?id=93178","93178")</f>
        <v>93178</v>
      </c>
      <c r="D45" s="23" t="str">
        <f>HYPERLINK("http://www.marinespecies.org/aphia.php?p=taxdetails&amp;id=159489","159489")</f>
        <v>159489</v>
      </c>
      <c r="E45" s="22" t="s">
        <v>174</v>
      </c>
      <c r="F45" s="22" t="s">
        <v>174</v>
      </c>
      <c r="G45" s="22" t="s">
        <v>94</v>
      </c>
      <c r="H45" s="23" t="str">
        <f>HYPERLINK("http://www.marinespecies.org/aphia.php?p=taxdetails&amp;id=159489","159489")</f>
        <v>159489</v>
      </c>
      <c r="I45" s="22" t="s">
        <v>94</v>
      </c>
      <c r="J45" s="24" t="str">
        <f t="shared" si="1"/>
        <v/>
      </c>
    </row>
    <row r="46">
      <c r="A46" s="22" t="s">
        <v>175</v>
      </c>
      <c r="B46" s="22">
        <v>1.0</v>
      </c>
      <c r="C46" s="23" t="str">
        <f>HYPERLINK("http://ecotaxoserver.obs-vlfr.fr/browsetaxo/?id=93181","93181")</f>
        <v>93181</v>
      </c>
      <c r="D46" s="23" t="str">
        <f>HYPERLINK("http://www.marinespecies.org/aphia.php?p=taxdetails&amp;id=159490","159490")</f>
        <v>159490</v>
      </c>
      <c r="E46" s="22" t="s">
        <v>174</v>
      </c>
      <c r="F46" s="22" t="s">
        <v>174</v>
      </c>
      <c r="G46" s="22" t="s">
        <v>94</v>
      </c>
      <c r="H46" s="23" t="str">
        <f>HYPERLINK("http://www.marinespecies.org/aphia.php?p=taxdetails&amp;id=159490","159490")</f>
        <v>159490</v>
      </c>
      <c r="I46" s="22" t="s">
        <v>94</v>
      </c>
      <c r="J46" s="24" t="str">
        <f t="shared" si="1"/>
        <v/>
      </c>
    </row>
    <row r="47">
      <c r="A47" s="22" t="s">
        <v>176</v>
      </c>
      <c r="B47" s="22">
        <v>2.0</v>
      </c>
      <c r="C47" s="23" t="str">
        <f>HYPERLINK("http://ecotaxoserver.obs-vlfr.fr/browsetaxo/?id=93312","93312")</f>
        <v>93312</v>
      </c>
      <c r="D47" s="23" t="str">
        <f>HYPERLINK("http://www.marinespecies.org/aphia.php?p=taxdetails&amp;id=219735","219735")</f>
        <v>219735</v>
      </c>
      <c r="E47" s="22" t="s">
        <v>177</v>
      </c>
      <c r="F47" s="22" t="s">
        <v>177</v>
      </c>
      <c r="G47" s="22" t="s">
        <v>94</v>
      </c>
      <c r="H47" s="23" t="str">
        <f>HYPERLINK("http://www.marinespecies.org/aphia.php?p=taxdetails&amp;id=219735","219735")</f>
        <v>219735</v>
      </c>
      <c r="I47" s="22" t="s">
        <v>94</v>
      </c>
      <c r="J47" s="24" t="str">
        <f t="shared" si="1"/>
        <v/>
      </c>
    </row>
    <row r="48">
      <c r="A48" s="22" t="s">
        <v>178</v>
      </c>
      <c r="B48" s="22">
        <v>6.0</v>
      </c>
      <c r="C48" s="23" t="str">
        <f>HYPERLINK("http://ecotaxoserver.obs-vlfr.fr/browsetaxo/?id=14309","14309")</f>
        <v>14309</v>
      </c>
      <c r="D48" s="23" t="str">
        <f>HYPERLINK("http://www.marinespecies.org/aphia.php?p=taxdetails&amp;id=120533","120533")</f>
        <v>120533</v>
      </c>
      <c r="E48" s="22" t="s">
        <v>179</v>
      </c>
      <c r="F48" s="22" t="s">
        <v>179</v>
      </c>
      <c r="G48" s="22" t="s">
        <v>94</v>
      </c>
      <c r="H48" s="23" t="str">
        <f>HYPERLINK("http://www.marinespecies.org/aphia.php?p=taxdetails&amp;id=120533","120533")</f>
        <v>120533</v>
      </c>
      <c r="I48" s="22" t="s">
        <v>94</v>
      </c>
      <c r="J48" s="24" t="str">
        <f t="shared" si="1"/>
        <v/>
      </c>
    </row>
    <row r="49">
      <c r="A49" s="22" t="s">
        <v>180</v>
      </c>
      <c r="B49" s="22">
        <v>91.0</v>
      </c>
      <c r="C49" s="23" t="str">
        <f>HYPERLINK("http://ecotaxoserver.obs-vlfr.fr/browsetaxo/?id=13","13")</f>
        <v>13</v>
      </c>
      <c r="D49" s="23" t="str">
        <f>HYPERLINK("http://www.marinespecies.org/aphia.php?p=taxdetails&amp;id=391848","391848")</f>
        <v>391848</v>
      </c>
      <c r="E49" s="22" t="s">
        <v>181</v>
      </c>
      <c r="F49" s="22" t="s">
        <v>182</v>
      </c>
      <c r="G49" s="22" t="s">
        <v>94</v>
      </c>
      <c r="H49" s="23" t="str">
        <f>HYPERLINK("http://www.marinespecies.org/aphia.php?p=taxdetails&amp;id=391848","391848")</f>
        <v>391848</v>
      </c>
      <c r="I49" s="22" t="s">
        <v>94</v>
      </c>
      <c r="J49" s="24" t="str">
        <f t="shared" si="1"/>
        <v>!=</v>
      </c>
    </row>
    <row r="50">
      <c r="A50" s="22" t="s">
        <v>183</v>
      </c>
      <c r="B50" s="22">
        <v>64.0</v>
      </c>
      <c r="C50" s="23" t="str">
        <f>HYPERLINK("http://ecotaxoserver.obs-vlfr.fr/browsetaxo/?id=58412","58412")</f>
        <v>58412</v>
      </c>
      <c r="D50" s="23" t="str">
        <f>HYPERLINK("http://www.marinespecies.org/aphia.php?p=taxdetails&amp;id=231844","231844")</f>
        <v>231844</v>
      </c>
      <c r="E50" s="22" t="s">
        <v>184</v>
      </c>
      <c r="F50" s="22" t="s">
        <v>185</v>
      </c>
      <c r="G50" s="22" t="s">
        <v>94</v>
      </c>
      <c r="H50" s="23" t="str">
        <f>HYPERLINK("http://www.marinespecies.org/aphia.php?p=taxdetails&amp;id=231844","231844")</f>
        <v>231844</v>
      </c>
      <c r="I50" s="22" t="s">
        <v>94</v>
      </c>
      <c r="J50" s="24" t="str">
        <f t="shared" si="1"/>
        <v>!=</v>
      </c>
    </row>
    <row r="51">
      <c r="A51" s="22" t="s">
        <v>186</v>
      </c>
      <c r="B51" s="22">
        <v>2984.0</v>
      </c>
      <c r="C51" s="23" t="str">
        <f>HYPERLINK("http://ecotaxoserver.obs-vlfr.fr/browsetaxo/?id=58387","58387")</f>
        <v>58387</v>
      </c>
      <c r="D51" s="23" t="str">
        <f>HYPERLINK("http://www.marinespecies.org/aphia.php?p=taxdetails&amp;id=109473","109473")</f>
        <v>109473</v>
      </c>
      <c r="E51" s="22" t="s">
        <v>187</v>
      </c>
      <c r="F51" s="22" t="s">
        <v>188</v>
      </c>
      <c r="G51" s="22" t="s">
        <v>94</v>
      </c>
      <c r="H51" s="23" t="str">
        <f>HYPERLINK("http://www.marinespecies.org/aphia.php?p=taxdetails&amp;id=109473","109473")</f>
        <v>109473</v>
      </c>
      <c r="I51" s="22" t="s">
        <v>94</v>
      </c>
      <c r="J51" s="24" t="str">
        <f t="shared" si="1"/>
        <v>!=</v>
      </c>
    </row>
    <row r="52">
      <c r="A52" s="22" t="s">
        <v>189</v>
      </c>
      <c r="B52" s="22">
        <v>1.0</v>
      </c>
      <c r="C52" s="23" t="str">
        <f>HYPERLINK("http://ecotaxoserver.obs-vlfr.fr/browsetaxo/?id=31514","31514")</f>
        <v>31514</v>
      </c>
      <c r="D52" s="23" t="str">
        <f>HYPERLINK("http://www.marinespecies.org/aphia.php?p=taxdetails&amp;id=109723","109723")</f>
        <v>109723</v>
      </c>
      <c r="E52" s="22" t="s">
        <v>186</v>
      </c>
      <c r="F52" s="22" t="s">
        <v>186</v>
      </c>
      <c r="G52" s="22" t="s">
        <v>94</v>
      </c>
      <c r="H52" s="23" t="str">
        <f>HYPERLINK("http://www.marinespecies.org/aphia.php?p=taxdetails&amp;id=109723","109723")</f>
        <v>109723</v>
      </c>
      <c r="I52" s="22" t="s">
        <v>94</v>
      </c>
      <c r="J52" s="24" t="str">
        <f t="shared" si="1"/>
        <v/>
      </c>
    </row>
    <row r="53">
      <c r="A53" s="22" t="s">
        <v>190</v>
      </c>
      <c r="B53" s="22">
        <v>39.0</v>
      </c>
      <c r="C53" s="23" t="str">
        <f>HYPERLINK("http://ecotaxoserver.obs-vlfr.fr/browsetaxo/?id=85657","85657")</f>
        <v>85657</v>
      </c>
      <c r="D53" s="23" t="str">
        <f>HYPERLINK("http://www.marinespecies.org/aphia.php?p=taxdetails&amp;id=109754","109754")</f>
        <v>109754</v>
      </c>
      <c r="E53" s="22" t="s">
        <v>186</v>
      </c>
      <c r="F53" s="22" t="s">
        <v>186</v>
      </c>
      <c r="G53" s="22" t="s">
        <v>94</v>
      </c>
      <c r="H53" s="23" t="str">
        <f>HYPERLINK("http://www.marinespecies.org/aphia.php?p=taxdetails&amp;id=109754","109754")</f>
        <v>109754</v>
      </c>
      <c r="I53" s="22" t="s">
        <v>94</v>
      </c>
      <c r="J53" s="24" t="str">
        <f t="shared" si="1"/>
        <v/>
      </c>
    </row>
    <row r="54">
      <c r="A54" s="22" t="s">
        <v>191</v>
      </c>
      <c r="B54" s="22">
        <v>1.0</v>
      </c>
      <c r="C54" s="23" t="str">
        <f>HYPERLINK("http://ecotaxoserver.obs-vlfr.fr/browsetaxo/?id=93078","93078")</f>
        <v>93078</v>
      </c>
      <c r="D54" s="23" t="str">
        <f>HYPERLINK("http://www.marinespecies.org/aphia.php?p=taxdetails&amp;id=117178","117178")</f>
        <v>117178</v>
      </c>
      <c r="E54" s="22" t="s">
        <v>192</v>
      </c>
      <c r="F54" s="22" t="s">
        <v>192</v>
      </c>
      <c r="G54" s="22" t="s">
        <v>94</v>
      </c>
      <c r="H54" s="23" t="str">
        <f>HYPERLINK("http://www.marinespecies.org/aphia.php?p=taxdetails&amp;id=117178","117178")</f>
        <v>117178</v>
      </c>
      <c r="I54" s="22" t="s">
        <v>94</v>
      </c>
      <c r="J54" s="24" t="str">
        <f t="shared" si="1"/>
        <v/>
      </c>
    </row>
    <row r="55">
      <c r="A55" s="22" t="s">
        <v>193</v>
      </c>
      <c r="B55" s="22">
        <v>1.0</v>
      </c>
      <c r="C55" s="23" t="str">
        <f>HYPERLINK("http://ecotaxoserver.obs-vlfr.fr/browsetaxo/?id=93125","93125")</f>
        <v>93125</v>
      </c>
      <c r="D55" s="23" t="str">
        <f>HYPERLINK("http://www.marinespecies.org/aphia.php?p=taxdetails&amp;id=117781","117781")</f>
        <v>117781</v>
      </c>
      <c r="E55" s="22" t="s">
        <v>191</v>
      </c>
      <c r="F55" s="22" t="s">
        <v>191</v>
      </c>
      <c r="G55" s="22" t="s">
        <v>94</v>
      </c>
      <c r="H55" s="23" t="str">
        <f>HYPERLINK("http://www.marinespecies.org/aphia.php?p=taxdetails&amp;id=117781","117781")</f>
        <v>117781</v>
      </c>
      <c r="I55" s="22" t="s">
        <v>94</v>
      </c>
      <c r="J55" s="24" t="str">
        <f t="shared" si="1"/>
        <v/>
      </c>
    </row>
    <row r="56">
      <c r="A56" s="22" t="s">
        <v>194</v>
      </c>
      <c r="B56" s="22">
        <v>1.0</v>
      </c>
      <c r="C56" s="23" t="str">
        <f>HYPERLINK("http://ecotaxoserver.obs-vlfr.fr/browsetaxo/?id=93297","93297")</f>
        <v>93297</v>
      </c>
      <c r="D56" s="23" t="str">
        <f>HYPERLINK("http://www.marinespecies.org/aphia.php?p=taxdetails&amp;id=117782","117782")</f>
        <v>117782</v>
      </c>
      <c r="E56" s="22" t="s">
        <v>191</v>
      </c>
      <c r="F56" s="22" t="s">
        <v>191</v>
      </c>
      <c r="G56" s="22" t="s">
        <v>94</v>
      </c>
      <c r="H56" s="23" t="str">
        <f>HYPERLINK("http://www.marinespecies.org/aphia.php?p=taxdetails&amp;id=117782","117782")</f>
        <v>117782</v>
      </c>
      <c r="I56" s="22" t="s">
        <v>94</v>
      </c>
      <c r="J56" s="24" t="str">
        <f t="shared" si="1"/>
        <v/>
      </c>
    </row>
    <row r="57">
      <c r="A57" s="22" t="s">
        <v>195</v>
      </c>
      <c r="B57" s="22">
        <v>2.0</v>
      </c>
      <c r="C57" s="23" t="str">
        <f>HYPERLINK("http://ecotaxoserver.obs-vlfr.fr/browsetaxo/?id=93318","93318")</f>
        <v>93318</v>
      </c>
      <c r="D57" s="23" t="str">
        <f>HYPERLINK("http://www.marinespecies.org/aphia.php?p=taxdetails&amp;id=341406","341406")</f>
        <v>341406</v>
      </c>
      <c r="E57" s="22" t="s">
        <v>196</v>
      </c>
      <c r="F57" s="22" t="s">
        <v>196</v>
      </c>
      <c r="G57" s="22" t="s">
        <v>94</v>
      </c>
      <c r="H57" s="23" t="str">
        <f>HYPERLINK("http://www.marinespecies.org/aphia.php?p=taxdetails&amp;id=341406","341406")</f>
        <v>341406</v>
      </c>
      <c r="I57" s="22" t="s">
        <v>94</v>
      </c>
      <c r="J57" s="24" t="str">
        <f t="shared" si="1"/>
        <v/>
      </c>
    </row>
    <row r="58">
      <c r="A58" s="22" t="s">
        <v>197</v>
      </c>
      <c r="B58" s="22">
        <v>13808.0</v>
      </c>
      <c r="C58" s="23" t="str">
        <f>HYPERLINK("http://ecotaxoserver.obs-vlfr.fr/browsetaxo/?id=45054","45054")</f>
        <v>45054</v>
      </c>
      <c r="D58" s="23" t="str">
        <f>HYPERLINK("http://www.marinespecies.org/aphia.php?p=taxdetails&amp;id=1135","1135")</f>
        <v>1135</v>
      </c>
      <c r="E58" s="22" t="s">
        <v>198</v>
      </c>
      <c r="F58" s="22" t="s">
        <v>199</v>
      </c>
      <c r="G58" s="22" t="s">
        <v>94</v>
      </c>
      <c r="H58" s="23" t="str">
        <f>HYPERLINK("http://www.marinespecies.org/aphia.php?p=taxdetails&amp;id=1135","1135")</f>
        <v>1135</v>
      </c>
      <c r="I58" s="22" t="s">
        <v>94</v>
      </c>
      <c r="J58" s="24" t="str">
        <f t="shared" si="1"/>
        <v>!=</v>
      </c>
    </row>
    <row r="59">
      <c r="A59" s="22" t="s">
        <v>200</v>
      </c>
      <c r="B59" s="22">
        <v>5891.0</v>
      </c>
      <c r="C59" s="23" t="str">
        <f>HYPERLINK("http://ecotaxoserver.obs-vlfr.fr/browsetaxo/?id=28212","28212")</f>
        <v>28212</v>
      </c>
      <c r="D59" s="23" t="str">
        <f>HYPERLINK("http://www.marinespecies.org/aphia.php?p=taxdetails&amp;id=149140","149140")</f>
        <v>149140</v>
      </c>
      <c r="E59" s="22" t="s">
        <v>119</v>
      </c>
      <c r="F59" s="22" t="s">
        <v>201</v>
      </c>
      <c r="G59" s="22" t="s">
        <v>94</v>
      </c>
      <c r="H59" s="23" t="str">
        <f>HYPERLINK("http://www.marinespecies.org/aphia.php?p=taxdetails&amp;id=149140","149140")</f>
        <v>149140</v>
      </c>
      <c r="I59" s="22" t="s">
        <v>94</v>
      </c>
      <c r="J59" s="24" t="str">
        <f t="shared" si="1"/>
        <v>!=</v>
      </c>
    </row>
    <row r="60">
      <c r="A60" s="22" t="s">
        <v>202</v>
      </c>
      <c r="B60" s="22">
        <v>35.0</v>
      </c>
      <c r="C60" s="23" t="str">
        <f>HYPERLINK("http://ecotaxoserver.obs-vlfr.fr/browsetaxo/?id=31660","31660")</f>
        <v>31660</v>
      </c>
      <c r="D60" s="23" t="str">
        <f>HYPERLINK("http://www.marinespecies.org/aphia.php?p=taxdetails&amp;id=109459","109459")</f>
        <v>109459</v>
      </c>
      <c r="E60" s="22" t="s">
        <v>203</v>
      </c>
      <c r="F60" s="22" t="s">
        <v>203</v>
      </c>
      <c r="G60" s="22" t="s">
        <v>94</v>
      </c>
      <c r="H60" s="23" t="str">
        <f>HYPERLINK("http://www.marinespecies.org/aphia.php?p=taxdetails&amp;id=109459","109459")</f>
        <v>109459</v>
      </c>
      <c r="I60" s="22" t="s">
        <v>94</v>
      </c>
      <c r="J60" s="24" t="str">
        <f t="shared" si="1"/>
        <v/>
      </c>
    </row>
    <row r="61">
      <c r="A61" s="22" t="s">
        <v>204</v>
      </c>
      <c r="B61" s="22">
        <v>17.0</v>
      </c>
      <c r="C61" s="23" t="str">
        <f>HYPERLINK("http://ecotaxoserver.obs-vlfr.fr/browsetaxo/?id=58183","58183")</f>
        <v>58183</v>
      </c>
      <c r="D61" s="23" t="str">
        <f>HYPERLINK("http://www.marinespecies.org/aphia.php?p=taxdetails&amp;id=109589","109589")</f>
        <v>109589</v>
      </c>
      <c r="E61" s="22" t="s">
        <v>202</v>
      </c>
      <c r="F61" s="22" t="s">
        <v>202</v>
      </c>
      <c r="G61" s="22" t="s">
        <v>94</v>
      </c>
      <c r="H61" s="23" t="str">
        <f>HYPERLINK("http://www.marinespecies.org/aphia.php?p=taxdetails&amp;id=109589","109589")</f>
        <v>109589</v>
      </c>
      <c r="I61" s="22" t="s">
        <v>94</v>
      </c>
      <c r="J61" s="24" t="str">
        <f t="shared" si="1"/>
        <v/>
      </c>
    </row>
    <row r="62">
      <c r="A62" s="22" t="s">
        <v>205</v>
      </c>
      <c r="B62" s="22">
        <v>10.0</v>
      </c>
      <c r="C62" s="23" t="str">
        <f>HYPERLINK("http://ecotaxoserver.obs-vlfr.fr/browsetaxo/?id=78791","78791")</f>
        <v>78791</v>
      </c>
      <c r="D62" s="23" t="str">
        <f>HYPERLINK("http://www.marinespecies.org/aphia.php?p=taxdetails&amp;id=109592","109592")</f>
        <v>109592</v>
      </c>
      <c r="E62" s="22" t="s">
        <v>202</v>
      </c>
      <c r="F62" s="22" t="s">
        <v>202</v>
      </c>
      <c r="G62" s="22" t="s">
        <v>94</v>
      </c>
      <c r="H62" s="23" t="str">
        <f>HYPERLINK("http://www.marinespecies.org/aphia.php?p=taxdetails&amp;id=109592","109592")</f>
        <v>109592</v>
      </c>
      <c r="I62" s="22" t="s">
        <v>94</v>
      </c>
      <c r="J62" s="24" t="str">
        <f t="shared" si="1"/>
        <v/>
      </c>
    </row>
    <row r="63">
      <c r="A63" s="22" t="s">
        <v>206</v>
      </c>
      <c r="B63" s="22">
        <v>1.0</v>
      </c>
      <c r="C63" s="23" t="str">
        <f>HYPERLINK("http://ecotaxoserver.obs-vlfr.fr/browsetaxo/?id=28211","28211")</f>
        <v>28211</v>
      </c>
      <c r="D63" s="23" t="str">
        <f>HYPERLINK("http://www.marinespecies.org/aphia.php?p=taxdetails&amp;id=149200","149200")</f>
        <v>149200</v>
      </c>
      <c r="E63" s="22" t="s">
        <v>119</v>
      </c>
      <c r="F63" s="22" t="s">
        <v>207</v>
      </c>
      <c r="G63" s="22" t="s">
        <v>94</v>
      </c>
      <c r="H63" s="23" t="str">
        <f>HYPERLINK("http://www.marinespecies.org/aphia.php?p=taxdetails&amp;id=149200","149200")</f>
        <v>149200</v>
      </c>
      <c r="I63" s="22" t="s">
        <v>94</v>
      </c>
      <c r="J63" s="24" t="str">
        <f t="shared" si="1"/>
        <v>!=</v>
      </c>
    </row>
    <row r="64">
      <c r="A64" s="22" t="s">
        <v>208</v>
      </c>
      <c r="B64" s="22">
        <v>936.0</v>
      </c>
      <c r="C64" s="23" t="str">
        <f>HYPERLINK("http://ecotaxoserver.obs-vlfr.fr/browsetaxo/?id=31224","31224")</f>
        <v>31224</v>
      </c>
      <c r="D64" s="23" t="str">
        <f>HYPERLINK("http://www.marinespecies.org/aphia.php?p=taxdetails&amp;id=425527","425527")</f>
        <v>425527</v>
      </c>
      <c r="E64" s="22" t="s">
        <v>209</v>
      </c>
      <c r="F64" s="22" t="s">
        <v>210</v>
      </c>
      <c r="G64" s="22" t="s">
        <v>94</v>
      </c>
      <c r="H64" s="23" t="str">
        <f>HYPERLINK("http://www.marinespecies.org/aphia.php?p=taxdetails&amp;id=425527","425527")</f>
        <v>425527</v>
      </c>
      <c r="I64" s="22" t="s">
        <v>94</v>
      </c>
      <c r="J64" s="24" t="str">
        <f t="shared" si="1"/>
        <v>!=</v>
      </c>
    </row>
    <row r="65">
      <c r="A65" s="22" t="s">
        <v>211</v>
      </c>
      <c r="B65" s="22">
        <v>1.0</v>
      </c>
      <c r="C65" s="23" t="str">
        <f>HYPERLINK("http://ecotaxoserver.obs-vlfr.fr/browsetaxo/?id=83852","83852")</f>
        <v>83852</v>
      </c>
      <c r="D65" s="23" t="str">
        <f>HYPERLINK("http://www.marinespecies.org/aphia.php?p=taxdetails&amp;id=101459","101459")</f>
        <v>101459</v>
      </c>
      <c r="E65" s="22" t="s">
        <v>212</v>
      </c>
      <c r="F65" s="22" t="s">
        <v>212</v>
      </c>
      <c r="G65" s="22" t="s">
        <v>94</v>
      </c>
      <c r="H65" s="23" t="str">
        <f>HYPERLINK("http://www.marinespecies.org/aphia.php?p=taxdetails&amp;id=101459","101459")</f>
        <v>101459</v>
      </c>
      <c r="I65" s="22" t="s">
        <v>94</v>
      </c>
      <c r="J65" s="24" t="str">
        <f t="shared" si="1"/>
        <v/>
      </c>
    </row>
    <row r="66">
      <c r="A66" s="22" t="s">
        <v>213</v>
      </c>
      <c r="B66" s="22">
        <v>86.0</v>
      </c>
      <c r="C66" s="23" t="str">
        <f>HYPERLINK("http://ecotaxoserver.obs-vlfr.fr/browsetaxo/?id=31690","31690")</f>
        <v>31690</v>
      </c>
      <c r="D66" s="23" t="str">
        <f>HYPERLINK("http://www.marinespecies.org/aphia.php?p=taxdetails&amp;id=109518","109518")</f>
        <v>109518</v>
      </c>
      <c r="E66" s="22" t="s">
        <v>168</v>
      </c>
      <c r="F66" s="22" t="s">
        <v>168</v>
      </c>
      <c r="G66" s="22" t="s">
        <v>94</v>
      </c>
      <c r="H66" s="23" t="str">
        <f>HYPERLINK("http://www.marinespecies.org/aphia.php?p=taxdetails&amp;id=109518","109518")</f>
        <v>109518</v>
      </c>
      <c r="I66" s="22" t="s">
        <v>94</v>
      </c>
      <c r="J66" s="24" t="str">
        <f t="shared" si="1"/>
        <v/>
      </c>
    </row>
    <row r="67">
      <c r="A67" s="22" t="s">
        <v>214</v>
      </c>
      <c r="B67" s="22">
        <v>1960.0</v>
      </c>
      <c r="C67" s="23" t="str">
        <f>HYPERLINK("http://ecotaxoserver.obs-vlfr.fr/browsetaxo/?id=8974","8974")</f>
        <v>8974</v>
      </c>
      <c r="D67" s="23" t="str">
        <f>HYPERLINK("http://www.marinespecies.org/aphia.php?p=taxdetails&amp;id=146585","146585")</f>
        <v>146585</v>
      </c>
      <c r="E67" s="22" t="s">
        <v>215</v>
      </c>
      <c r="F67" s="22" t="s">
        <v>216</v>
      </c>
      <c r="G67" s="22" t="s">
        <v>94</v>
      </c>
      <c r="H67" s="23" t="str">
        <f>HYPERLINK("http://www.marinespecies.org/aphia.php?p=taxdetails&amp;id=146585","146585")</f>
        <v>146585</v>
      </c>
      <c r="I67" s="22" t="s">
        <v>94</v>
      </c>
      <c r="J67" s="24" t="str">
        <f t="shared" si="1"/>
        <v>!=</v>
      </c>
    </row>
    <row r="68">
      <c r="A68" s="22" t="s">
        <v>217</v>
      </c>
      <c r="B68" s="22">
        <v>1.0</v>
      </c>
      <c r="C68" s="23" t="str">
        <f>HYPERLINK("http://ecotaxoserver.obs-vlfr.fr/browsetaxo/?id=78282","78282")</f>
        <v>78282</v>
      </c>
      <c r="D68" s="23" t="str">
        <f>HYPERLINK("http://www.marinespecies.org/aphia.php?p=taxdetails&amp;id=248416","248416")</f>
        <v>248416</v>
      </c>
      <c r="E68" s="22" t="s">
        <v>218</v>
      </c>
      <c r="F68" s="22" t="s">
        <v>219</v>
      </c>
      <c r="G68" s="22" t="s">
        <v>94</v>
      </c>
      <c r="H68" s="23" t="str">
        <f>HYPERLINK("http://www.marinespecies.org/aphia.php?p=taxdetails&amp;id=248416","248416")</f>
        <v>248416</v>
      </c>
      <c r="I68" s="22" t="s">
        <v>94</v>
      </c>
      <c r="J68" s="24" t="str">
        <f t="shared" si="1"/>
        <v>!=</v>
      </c>
    </row>
    <row r="69">
      <c r="A69" s="22" t="s">
        <v>220</v>
      </c>
      <c r="B69" s="22">
        <v>8.0</v>
      </c>
      <c r="C69" s="23" t="str">
        <f>HYPERLINK("http://ecotaxoserver.obs-vlfr.fr/browsetaxo/?id=92792","92792")</f>
        <v>92792</v>
      </c>
      <c r="D69" s="23" t="str">
        <f>HYPERLINK("http://www.marinespecies.org/aphia.php?p=taxdetails&amp;id=10295","10295")</f>
        <v>10295</v>
      </c>
      <c r="E69" s="22" t="s">
        <v>221</v>
      </c>
      <c r="F69" s="22" t="s">
        <v>221</v>
      </c>
      <c r="G69" s="22" t="s">
        <v>94</v>
      </c>
      <c r="H69" s="23" t="str">
        <f>HYPERLINK("http://www.marinespecies.org/aphia.php?p=taxdetails&amp;id=10295","10295")</f>
        <v>10295</v>
      </c>
      <c r="I69" s="22" t="s">
        <v>94</v>
      </c>
      <c r="J69" s="24" t="str">
        <f t="shared" si="1"/>
        <v/>
      </c>
    </row>
    <row r="70">
      <c r="A70" s="22" t="s">
        <v>222</v>
      </c>
      <c r="B70" s="22">
        <v>33372.0</v>
      </c>
      <c r="C70" s="23" t="str">
        <f>HYPERLINK("http://ecotaxoserver.obs-vlfr.fr/browsetaxo/?id=11518","11518")</f>
        <v>11518</v>
      </c>
      <c r="D70" s="23" t="str">
        <f>HYPERLINK("http://www.marinespecies.org/aphia.php?p=taxdetails&amp;id=882","882")</f>
        <v>882</v>
      </c>
      <c r="E70" s="22" t="s">
        <v>223</v>
      </c>
      <c r="F70" s="22" t="s">
        <v>224</v>
      </c>
      <c r="G70" s="22" t="s">
        <v>94</v>
      </c>
      <c r="H70" s="23" t="str">
        <f>HYPERLINK("http://www.marinespecies.org/aphia.php?p=taxdetails&amp;id=882","882")</f>
        <v>882</v>
      </c>
      <c r="I70" s="22" t="s">
        <v>94</v>
      </c>
      <c r="J70" s="24" t="str">
        <f t="shared" si="1"/>
        <v>!=</v>
      </c>
    </row>
    <row r="71">
      <c r="A71" s="22" t="s">
        <v>225</v>
      </c>
      <c r="B71" s="22">
        <v>6047.0</v>
      </c>
      <c r="C71" s="23" t="str">
        <f>HYPERLINK("http://ecotaxoserver.obs-vlfr.fr/browsetaxo/?id=81914","81914")</f>
        <v>81914</v>
      </c>
      <c r="D71" s="23" t="str">
        <f>HYPERLINK("http://www.marinespecies.org/aphia.php?p=taxdetails&amp;id=106671","106671")</f>
        <v>106671</v>
      </c>
      <c r="E71" s="22" t="s">
        <v>113</v>
      </c>
      <c r="F71" s="22" t="s">
        <v>113</v>
      </c>
      <c r="G71" s="22" t="s">
        <v>94</v>
      </c>
      <c r="H71" s="23" t="str">
        <f>HYPERLINK("http://www.marinespecies.org/aphia.php?p=taxdetails&amp;id=106671","106671")</f>
        <v>106671</v>
      </c>
      <c r="I71" s="22" t="s">
        <v>94</v>
      </c>
      <c r="J71" s="24" t="str">
        <f t="shared" si="1"/>
        <v/>
      </c>
    </row>
    <row r="72">
      <c r="A72" s="22" t="s">
        <v>226</v>
      </c>
      <c r="B72" s="22">
        <v>1139.0</v>
      </c>
      <c r="C72" s="23" t="str">
        <f>HYPERLINK("http://ecotaxoserver.obs-vlfr.fr/browsetaxo/?id=25992","25992")</f>
        <v>25992</v>
      </c>
      <c r="D72" s="23" t="str">
        <f>HYPERLINK("http://www.marinespecies.org/aphia.php?p=taxdetails&amp;id=13551","13551")</f>
        <v>13551</v>
      </c>
      <c r="E72" s="22" t="s">
        <v>227</v>
      </c>
      <c r="F72" s="22" t="s">
        <v>227</v>
      </c>
      <c r="G72" s="22" t="s">
        <v>94</v>
      </c>
      <c r="H72" s="23" t="str">
        <f>HYPERLINK("http://www.marinespecies.org/aphia.php?p=taxdetails&amp;id=13551","13551")</f>
        <v>13551</v>
      </c>
      <c r="I72" s="22" t="s">
        <v>94</v>
      </c>
      <c r="J72" s="24" t="str">
        <f t="shared" si="1"/>
        <v/>
      </c>
    </row>
    <row r="73">
      <c r="A73" s="22" t="s">
        <v>228</v>
      </c>
      <c r="B73" s="22">
        <v>2.0</v>
      </c>
      <c r="C73" s="23" t="str">
        <f>HYPERLINK("http://ecotaxoserver.obs-vlfr.fr/browsetaxo/?id=12868","12868")</f>
        <v>12868</v>
      </c>
      <c r="D73" s="23" t="str">
        <f>HYPERLINK("http://www.marinespecies.org/aphia.php?p=taxdetails&amp;id=1292","1292")</f>
        <v>1292</v>
      </c>
      <c r="E73" s="22" t="s">
        <v>229</v>
      </c>
      <c r="F73" s="22" t="s">
        <v>229</v>
      </c>
      <c r="G73" s="22" t="s">
        <v>94</v>
      </c>
      <c r="H73" s="23" t="str">
        <f>HYPERLINK("http://www.marinespecies.org/aphia.php?p=taxdetails&amp;id=1292","1292")</f>
        <v>1292</v>
      </c>
      <c r="I73" s="22" t="s">
        <v>94</v>
      </c>
      <c r="J73" s="24" t="str">
        <f t="shared" si="1"/>
        <v/>
      </c>
    </row>
    <row r="74">
      <c r="A74" s="22" t="s">
        <v>230</v>
      </c>
      <c r="B74" s="22">
        <v>1.0</v>
      </c>
      <c r="C74" s="23" t="str">
        <f>HYPERLINK("http://ecotaxoserver.obs-vlfr.fr/browsetaxo/?id=93248","93248")</f>
        <v>93248</v>
      </c>
      <c r="D74" s="23" t="str">
        <f>HYPERLINK("http://www.marinespecies.org/aphia.php?p=taxdetails&amp;id=126242","126242")</f>
        <v>126242</v>
      </c>
      <c r="E74" s="22" t="s">
        <v>231</v>
      </c>
      <c r="F74" s="22" t="s">
        <v>231</v>
      </c>
      <c r="G74" s="22" t="s">
        <v>94</v>
      </c>
      <c r="H74" s="23" t="str">
        <f>HYPERLINK("http://www.marinespecies.org/aphia.php?p=taxdetails&amp;id=126242","126242")</f>
        <v>126242</v>
      </c>
      <c r="I74" s="22" t="s">
        <v>94</v>
      </c>
      <c r="J74" s="24" t="str">
        <f t="shared" si="1"/>
        <v/>
      </c>
    </row>
    <row r="75">
      <c r="A75" s="22" t="s">
        <v>232</v>
      </c>
      <c r="B75" s="22">
        <v>2157.0</v>
      </c>
      <c r="C75" s="23" t="str">
        <f>HYPERLINK("http://ecotaxoserver.obs-vlfr.fr/browsetaxo/?id=17620","17620")</f>
        <v>17620</v>
      </c>
      <c r="D75" s="23" t="str">
        <f>HYPERLINK("http://www.marinespecies.org/aphia.php?p=taxdetails&amp;id=248096","248096")</f>
        <v>248096</v>
      </c>
      <c r="E75" s="22" t="s">
        <v>233</v>
      </c>
      <c r="F75" s="22" t="s">
        <v>234</v>
      </c>
      <c r="G75" s="22" t="s">
        <v>94</v>
      </c>
      <c r="H75" s="23" t="str">
        <f>HYPERLINK("http://www.marinespecies.org/aphia.php?p=taxdetails&amp;id=248096","248096")</f>
        <v>248096</v>
      </c>
      <c r="I75" s="22" t="s">
        <v>94</v>
      </c>
      <c r="J75" s="24" t="str">
        <f t="shared" si="1"/>
        <v>!=</v>
      </c>
    </row>
    <row r="76">
      <c r="A76" s="22" t="s">
        <v>235</v>
      </c>
      <c r="B76" s="22">
        <v>890.0</v>
      </c>
      <c r="C76" s="23" t="str">
        <f>HYPERLINK("http://ecotaxoserver.obs-vlfr.fr/browsetaxo/?id=92242","92242")</f>
        <v>92242</v>
      </c>
      <c r="D76" s="23" t="str">
        <f>HYPERLINK("http://www.marinespecies.org/aphia.php?p=taxdetails&amp;id=160567","160567")</f>
        <v>160567</v>
      </c>
      <c r="E76" s="22" t="s">
        <v>216</v>
      </c>
      <c r="F76" s="22" t="s">
        <v>216</v>
      </c>
      <c r="G76" s="22" t="s">
        <v>94</v>
      </c>
      <c r="H76" s="23" t="str">
        <f>HYPERLINK("http://www.marinespecies.org/aphia.php?p=taxdetails&amp;id=160567","160567")</f>
        <v>160567</v>
      </c>
      <c r="I76" s="22" t="s">
        <v>94</v>
      </c>
      <c r="J76" s="24" t="str">
        <f t="shared" si="1"/>
        <v/>
      </c>
    </row>
    <row r="77">
      <c r="A77" s="22" t="s">
        <v>236</v>
      </c>
      <c r="B77" s="22">
        <v>14.0</v>
      </c>
      <c r="C77" s="23" t="str">
        <f>HYPERLINK("http://ecotaxoserver.obs-vlfr.fr/browsetaxo/?id=83907","83907")</f>
        <v>83907</v>
      </c>
      <c r="D77" s="23" t="str">
        <f>HYPERLINK("http://www.marinespecies.org/aphia.php?p=taxdetails&amp;id=102166","102166")</f>
        <v>102166</v>
      </c>
      <c r="E77" s="22" t="s">
        <v>237</v>
      </c>
      <c r="F77" s="22" t="s">
        <v>237</v>
      </c>
      <c r="G77" s="22" t="s">
        <v>94</v>
      </c>
      <c r="H77" s="23" t="str">
        <f>HYPERLINK("http://www.marinespecies.org/aphia.php?p=taxdetails&amp;id=102166","102166")</f>
        <v>102166</v>
      </c>
      <c r="I77" s="22" t="s">
        <v>94</v>
      </c>
      <c r="J77" s="24" t="str">
        <f t="shared" si="1"/>
        <v/>
      </c>
    </row>
    <row r="78">
      <c r="A78" s="22" t="s">
        <v>238</v>
      </c>
      <c r="B78" s="22">
        <v>14.0</v>
      </c>
      <c r="C78" s="23" t="str">
        <f>HYPERLINK("http://ecotaxoserver.obs-vlfr.fr/browsetaxo/?id=25622","25622")</f>
        <v>25622</v>
      </c>
      <c r="D78" s="23" t="str">
        <f>HYPERLINK("http://www.marinespecies.org/aphia.php?p=taxdetails&amp;id=938","938")</f>
        <v>938</v>
      </c>
      <c r="E78" s="22" t="s">
        <v>239</v>
      </c>
      <c r="F78" s="22" t="s">
        <v>240</v>
      </c>
      <c r="G78" s="22" t="s">
        <v>94</v>
      </c>
      <c r="H78" s="23" t="str">
        <f>HYPERLINK("http://www.marinespecies.org/aphia.php?p=taxdetails&amp;id=938","938")</f>
        <v>938</v>
      </c>
      <c r="I78" s="22" t="s">
        <v>94</v>
      </c>
      <c r="J78" s="24" t="str">
        <f t="shared" si="1"/>
        <v>!=</v>
      </c>
    </row>
    <row r="79">
      <c r="A79" s="22" t="s">
        <v>241</v>
      </c>
      <c r="B79" s="22">
        <v>1.0</v>
      </c>
      <c r="C79" s="23" t="str">
        <f>HYPERLINK("http://ecotaxoserver.obs-vlfr.fr/browsetaxo/?id=92796","92796")</f>
        <v>92796</v>
      </c>
      <c r="D79" s="23" t="str">
        <f>HYPERLINK("http://www.marinespecies.org/aphia.php?p=taxdetails&amp;id=125518","125518")</f>
        <v>125518</v>
      </c>
      <c r="E79" s="22" t="s">
        <v>242</v>
      </c>
      <c r="F79" s="22" t="s">
        <v>242</v>
      </c>
      <c r="G79" s="22" t="s">
        <v>94</v>
      </c>
      <c r="H79" s="23" t="str">
        <f>HYPERLINK("http://www.marinespecies.org/aphia.php?p=taxdetails&amp;id=125518","125518")</f>
        <v>125518</v>
      </c>
      <c r="I79" s="22" t="s">
        <v>94</v>
      </c>
      <c r="J79" s="24" t="str">
        <f t="shared" si="1"/>
        <v/>
      </c>
    </row>
    <row r="80">
      <c r="A80" s="22" t="s">
        <v>243</v>
      </c>
      <c r="B80" s="22">
        <v>1.0</v>
      </c>
      <c r="C80" s="23" t="str">
        <f>HYPERLINK("http://ecotaxoserver.obs-vlfr.fr/browsetaxo/?id=90358","90358")</f>
        <v>90358</v>
      </c>
      <c r="D80" s="23" t="str">
        <f>HYPERLINK("http://www.marinespecies.org/aphia.php?p=taxdetails&amp;id=100682","100682")</f>
        <v>100682</v>
      </c>
      <c r="E80" s="22" t="s">
        <v>244</v>
      </c>
      <c r="F80" s="22" t="s">
        <v>245</v>
      </c>
      <c r="G80" s="22" t="s">
        <v>94</v>
      </c>
      <c r="H80" s="23" t="str">
        <f>HYPERLINK("http://www.marinespecies.org/aphia.php?p=taxdetails&amp;id=100682","100682")</f>
        <v>100682</v>
      </c>
      <c r="I80" s="22" t="s">
        <v>94</v>
      </c>
      <c r="J80" s="24" t="str">
        <f t="shared" si="1"/>
        <v>!=</v>
      </c>
    </row>
    <row r="81">
      <c r="A81" s="22" t="s">
        <v>246</v>
      </c>
      <c r="B81" s="22">
        <v>259.0</v>
      </c>
      <c r="C81" s="23" t="str">
        <f>HYPERLINK("http://ecotaxoserver.obs-vlfr.fr/browsetaxo/?id=16618","16618")</f>
        <v>16618</v>
      </c>
      <c r="D81" s="23" t="str">
        <f>HYPERLINK("http://www.marinespecies.org/aphia.php?p=taxdetails&amp;id=1300","1300")</f>
        <v>1300</v>
      </c>
      <c r="E81" s="22" t="s">
        <v>247</v>
      </c>
      <c r="F81" s="22" t="s">
        <v>247</v>
      </c>
      <c r="G81" s="22" t="s">
        <v>94</v>
      </c>
      <c r="H81" s="23" t="str">
        <f>HYPERLINK("http://www.marinespecies.org/aphia.php?p=taxdetails&amp;id=1300","1300")</f>
        <v>1300</v>
      </c>
      <c r="I81" s="22" t="s">
        <v>94</v>
      </c>
      <c r="J81" s="24" t="str">
        <f t="shared" si="1"/>
        <v/>
      </c>
    </row>
    <row r="82">
      <c r="A82" s="22" t="s">
        <v>248</v>
      </c>
      <c r="B82" s="22">
        <v>362.0</v>
      </c>
      <c r="C82" s="23" t="str">
        <f>HYPERLINK("http://ecotaxoserver.obs-vlfr.fr/browsetaxo/?id=93081","93081")</f>
        <v>93081</v>
      </c>
      <c r="D82" s="23" t="str">
        <f>HYPERLINK("http://www.marinespecies.org/aphia.php?p=taxdetails&amp;id=117214","117214")</f>
        <v>117214</v>
      </c>
      <c r="E82" s="22" t="s">
        <v>249</v>
      </c>
      <c r="F82" s="22" t="s">
        <v>155</v>
      </c>
      <c r="G82" s="22" t="s">
        <v>94</v>
      </c>
      <c r="H82" s="23" t="str">
        <f>HYPERLINK("http://www.marinespecies.org/aphia.php?p=taxdetails&amp;id=117214","117214")</f>
        <v>117214</v>
      </c>
      <c r="I82" s="22" t="s">
        <v>94</v>
      </c>
      <c r="J82" s="24" t="str">
        <f t="shared" si="1"/>
        <v>!=</v>
      </c>
    </row>
    <row r="83">
      <c r="A83" s="22" t="s">
        <v>250</v>
      </c>
      <c r="B83" s="22">
        <v>1.0</v>
      </c>
      <c r="C83" s="23" t="str">
        <f>HYPERLINK("http://ecotaxoserver.obs-vlfr.fr/browsetaxo/?id=93062","93062")</f>
        <v>93062</v>
      </c>
      <c r="D83" s="23" t="str">
        <f>HYPERLINK("http://www.marinespecies.org/aphia.php?p=taxdetails&amp;id=104130","104130")</f>
        <v>104130</v>
      </c>
      <c r="E83" s="22" t="s">
        <v>251</v>
      </c>
      <c r="F83" s="22" t="s">
        <v>251</v>
      </c>
      <c r="G83" s="22" t="s">
        <v>94</v>
      </c>
      <c r="H83" s="23" t="str">
        <f>HYPERLINK("http://www.marinespecies.org/aphia.php?p=taxdetails&amp;id=104130","104130")</f>
        <v>104130</v>
      </c>
      <c r="I83" s="22" t="s">
        <v>94</v>
      </c>
      <c r="J83" s="24" t="str">
        <f t="shared" si="1"/>
        <v/>
      </c>
    </row>
    <row r="84">
      <c r="A84" s="22" t="s">
        <v>252</v>
      </c>
      <c r="B84" s="22">
        <v>57.0</v>
      </c>
      <c r="C84" s="23" t="str">
        <f>HYPERLINK("http://ecotaxoserver.obs-vlfr.fr/browsetaxo/?id=11517","11517")</f>
        <v>11517</v>
      </c>
      <c r="D84" s="23" t="str">
        <f>HYPERLINK("http://www.marinespecies.org/aphia.php?p=taxdetails&amp;id=1065","1065")</f>
        <v>1065</v>
      </c>
      <c r="E84" s="22" t="s">
        <v>223</v>
      </c>
      <c r="F84" s="22" t="s">
        <v>224</v>
      </c>
      <c r="G84" s="22" t="s">
        <v>94</v>
      </c>
      <c r="H84" s="23" t="str">
        <f>HYPERLINK("http://www.marinespecies.org/aphia.php?p=taxdetails&amp;id=1065","1065")</f>
        <v>1065</v>
      </c>
      <c r="I84" s="22" t="s">
        <v>94</v>
      </c>
      <c r="J84" s="24" t="str">
        <f t="shared" si="1"/>
        <v>!=</v>
      </c>
    </row>
    <row r="85">
      <c r="A85" s="22" t="s">
        <v>253</v>
      </c>
      <c r="B85" s="22">
        <v>42.0</v>
      </c>
      <c r="C85" s="23" t="str">
        <f>HYPERLINK("http://ecotaxoserver.obs-vlfr.fr/browsetaxo/?id=16660","16660")</f>
        <v>16660</v>
      </c>
      <c r="D85" s="23" t="str">
        <f>HYPERLINK("http://www.marinespecies.org/aphia.php?p=taxdetails&amp;id=1839","1839")</f>
        <v>1839</v>
      </c>
      <c r="E85" s="22" t="s">
        <v>254</v>
      </c>
      <c r="F85" s="22" t="s">
        <v>254</v>
      </c>
      <c r="G85" s="22" t="s">
        <v>94</v>
      </c>
      <c r="H85" s="23" t="str">
        <f>HYPERLINK("http://www.marinespecies.org/aphia.php?p=taxdetails&amp;id=1839","1839")</f>
        <v>1839</v>
      </c>
      <c r="I85" s="22" t="s">
        <v>94</v>
      </c>
      <c r="J85" s="24" t="str">
        <f t="shared" si="1"/>
        <v/>
      </c>
    </row>
    <row r="86">
      <c r="A86" s="22" t="s">
        <v>255</v>
      </c>
      <c r="B86" s="22">
        <v>51.0</v>
      </c>
      <c r="C86" s="23" t="str">
        <f>HYPERLINK("http://ecotaxoserver.obs-vlfr.fr/browsetaxo/?id=54518","54518")</f>
        <v>54518</v>
      </c>
      <c r="D86" s="23" t="str">
        <f>HYPERLINK("http://www.marinespecies.org/aphia.php?p=taxdetails&amp;id=134935","134935")</f>
        <v>134935</v>
      </c>
      <c r="E86" s="22" t="s">
        <v>256</v>
      </c>
      <c r="F86" s="22" t="s">
        <v>256</v>
      </c>
      <c r="G86" s="22" t="s">
        <v>94</v>
      </c>
      <c r="H86" s="23" t="str">
        <f>HYPERLINK("http://www.marinespecies.org/aphia.php?p=taxdetails&amp;id=134935","134935")</f>
        <v>134935</v>
      </c>
      <c r="I86" s="22" t="s">
        <v>94</v>
      </c>
      <c r="J86" s="24" t="str">
        <f t="shared" si="1"/>
        <v/>
      </c>
    </row>
    <row r="87">
      <c r="A87" s="22" t="s">
        <v>257</v>
      </c>
      <c r="B87" s="22">
        <v>595.0</v>
      </c>
      <c r="C87" s="23" t="str">
        <f>HYPERLINK("http://ecotaxoserver.obs-vlfr.fr/browsetaxo/?id=28208","28208")</f>
        <v>28208</v>
      </c>
      <c r="D87" s="23" t="str">
        <f>HYPERLINK("http://www.marinespecies.org/aphia.php?p=taxdetails&amp;id=148953","148953")</f>
        <v>148953</v>
      </c>
      <c r="E87" s="22" t="s">
        <v>119</v>
      </c>
      <c r="F87" s="22" t="s">
        <v>258</v>
      </c>
      <c r="G87" s="22" t="s">
        <v>94</v>
      </c>
      <c r="H87" s="23" t="str">
        <f>HYPERLINK("http://www.marinespecies.org/aphia.php?p=taxdetails&amp;id=148953","148953")</f>
        <v>148953</v>
      </c>
      <c r="I87" s="22" t="s">
        <v>94</v>
      </c>
      <c r="J87" s="24" t="str">
        <f t="shared" si="1"/>
        <v>!=</v>
      </c>
    </row>
    <row r="88">
      <c r="A88" s="22" t="s">
        <v>259</v>
      </c>
      <c r="B88" s="22">
        <v>3.0</v>
      </c>
      <c r="C88" s="23" t="str">
        <f>HYPERLINK("http://ecotaxoserver.obs-vlfr.fr/browsetaxo/?id=55323","55323")</f>
        <v>55323</v>
      </c>
      <c r="D88" s="23" t="str">
        <f>HYPERLINK("http://www.marinespecies.org/aphia.php?p=taxdetails&amp;id=148954","148954")</f>
        <v>148954</v>
      </c>
      <c r="E88" s="22" t="s">
        <v>257</v>
      </c>
      <c r="F88" s="22" t="s">
        <v>257</v>
      </c>
      <c r="G88" s="22" t="s">
        <v>94</v>
      </c>
      <c r="H88" s="23" t="str">
        <f>HYPERLINK("http://www.marinespecies.org/aphia.php?p=taxdetails&amp;id=148954","148954")</f>
        <v>148954</v>
      </c>
      <c r="I88" s="22" t="s">
        <v>94</v>
      </c>
      <c r="J88" s="24" t="str">
        <f t="shared" si="1"/>
        <v/>
      </c>
    </row>
    <row r="89">
      <c r="A89" s="22" t="s">
        <v>260</v>
      </c>
      <c r="B89" s="22">
        <v>2310.0</v>
      </c>
      <c r="C89" s="23" t="str">
        <f>HYPERLINK("http://ecotaxoserver.obs-vlfr.fr/browsetaxo/?id=28207","28207")</f>
        <v>28207</v>
      </c>
      <c r="D89" s="23" t="str">
        <f>HYPERLINK("http://www.marinespecies.org/aphia.php?p=taxdetails&amp;id=149138","149138")</f>
        <v>149138</v>
      </c>
      <c r="E89" s="22" t="s">
        <v>119</v>
      </c>
      <c r="F89" s="22" t="s">
        <v>258</v>
      </c>
      <c r="G89" s="22" t="s">
        <v>94</v>
      </c>
      <c r="H89" s="23" t="str">
        <f>HYPERLINK("http://www.marinespecies.org/aphia.php?p=taxdetails&amp;id=149138","149138")</f>
        <v>149138</v>
      </c>
      <c r="I89" s="22" t="s">
        <v>94</v>
      </c>
      <c r="J89" s="24" t="str">
        <f t="shared" si="1"/>
        <v>!=</v>
      </c>
    </row>
    <row r="90">
      <c r="A90" s="22" t="s">
        <v>261</v>
      </c>
      <c r="B90" s="22">
        <v>165.0</v>
      </c>
      <c r="C90" s="23" t="str">
        <f>HYPERLINK("http://ecotaxoserver.obs-vlfr.fr/browsetaxo/?id=92152","92152")</f>
        <v>92152</v>
      </c>
      <c r="D90" s="23" t="str">
        <f>HYPERLINK("http://www.marinespecies.org/aphia.php?p=taxdetails&amp;id=248069","248069")</f>
        <v>248069</v>
      </c>
      <c r="E90" s="22" t="s">
        <v>262</v>
      </c>
      <c r="F90" s="22" t="s">
        <v>263</v>
      </c>
      <c r="G90" s="22" t="s">
        <v>94</v>
      </c>
      <c r="H90" s="23" t="str">
        <f>HYPERLINK("http://www.marinespecies.org/aphia.php?p=taxdetails&amp;id=248069","248069")</f>
        <v>248069</v>
      </c>
      <c r="I90" s="22" t="s">
        <v>94</v>
      </c>
      <c r="J90" s="24" t="str">
        <f t="shared" si="1"/>
        <v>!=</v>
      </c>
    </row>
    <row r="91">
      <c r="A91" s="22" t="s">
        <v>264</v>
      </c>
      <c r="B91" s="22">
        <v>1.0</v>
      </c>
      <c r="C91" s="23" t="str">
        <f>HYPERLINK("http://ecotaxoserver.obs-vlfr.fr/browsetaxo/?id=92153","92153")</f>
        <v>92153</v>
      </c>
      <c r="D91" s="23" t="str">
        <f>HYPERLINK("http://www.marinespecies.org/aphia.php?p=taxdetails&amp;id=418466","418466")</f>
        <v>418466</v>
      </c>
      <c r="E91" s="22" t="s">
        <v>261</v>
      </c>
      <c r="F91" s="22" t="s">
        <v>261</v>
      </c>
      <c r="G91" s="22" t="s">
        <v>94</v>
      </c>
      <c r="H91" s="23" t="str">
        <f>HYPERLINK("http://www.marinespecies.org/aphia.php?p=taxdetails&amp;id=418466","418466")</f>
        <v>418466</v>
      </c>
      <c r="I91" s="22" t="s">
        <v>94</v>
      </c>
      <c r="J91" s="24" t="str">
        <f t="shared" si="1"/>
        <v/>
      </c>
    </row>
    <row r="92">
      <c r="A92" s="22" t="s">
        <v>265</v>
      </c>
      <c r="B92" s="22">
        <v>4.0</v>
      </c>
      <c r="C92" s="23" t="str">
        <f>HYPERLINK("http://ecotaxoserver.obs-vlfr.fr/browsetaxo/?id=92154","92154")</f>
        <v>92154</v>
      </c>
      <c r="D92" s="23" t="str">
        <f>HYPERLINK("http://www.marinespecies.org/aphia.php?p=taxdetails&amp;id=248070","248070")</f>
        <v>248070</v>
      </c>
      <c r="E92" s="22" t="s">
        <v>261</v>
      </c>
      <c r="F92" s="22" t="s">
        <v>261</v>
      </c>
      <c r="G92" s="22" t="s">
        <v>94</v>
      </c>
      <c r="H92" s="23" t="str">
        <f>HYPERLINK("http://www.marinespecies.org/aphia.php?p=taxdetails&amp;id=248070","248070")</f>
        <v>248070</v>
      </c>
      <c r="I92" s="22" t="s">
        <v>94</v>
      </c>
      <c r="J92" s="24" t="str">
        <f t="shared" si="1"/>
        <v/>
      </c>
    </row>
    <row r="93">
      <c r="A93" s="22" t="s">
        <v>262</v>
      </c>
      <c r="B93" s="22">
        <v>268.0</v>
      </c>
      <c r="C93" s="23" t="str">
        <f>HYPERLINK("http://ecotaxoserver.obs-vlfr.fr/browsetaxo/?id=92151","92151")</f>
        <v>92151</v>
      </c>
      <c r="D93" s="23" t="str">
        <f>HYPERLINK("http://www.marinespecies.org/aphia.php?p=taxdetails&amp;id=162250","162250")</f>
        <v>162250</v>
      </c>
      <c r="E93" s="22" t="s">
        <v>266</v>
      </c>
      <c r="F93" s="22" t="s">
        <v>267</v>
      </c>
      <c r="G93" s="22" t="s">
        <v>94</v>
      </c>
      <c r="H93" s="23" t="str">
        <f>HYPERLINK("http://www.marinespecies.org/aphia.php?p=taxdetails&amp;id=162250","162250")</f>
        <v>162250</v>
      </c>
      <c r="I93" s="22" t="s">
        <v>94</v>
      </c>
      <c r="J93" s="24" t="str">
        <f t="shared" si="1"/>
        <v>!=</v>
      </c>
    </row>
    <row r="94">
      <c r="A94" s="22" t="s">
        <v>268</v>
      </c>
      <c r="B94" s="22">
        <v>223.0</v>
      </c>
      <c r="C94" s="23" t="str">
        <f>HYPERLINK("http://ecotaxoserver.obs-vlfr.fr/browsetaxo/?id=85523","85523")</f>
        <v>85523</v>
      </c>
      <c r="D94" s="23" t="str">
        <f>HYPERLINK("http://www.marinespecies.org/aphia.php?p=taxdetails&amp;id=162254","162254")</f>
        <v>162254</v>
      </c>
      <c r="E94" s="22" t="s">
        <v>269</v>
      </c>
      <c r="F94" s="22" t="s">
        <v>263</v>
      </c>
      <c r="G94" s="22" t="s">
        <v>94</v>
      </c>
      <c r="H94" s="23" t="str">
        <f>HYPERLINK("http://www.marinespecies.org/aphia.php?p=taxdetails&amp;id=162254","162254")</f>
        <v>162254</v>
      </c>
      <c r="I94" s="22" t="s">
        <v>94</v>
      </c>
      <c r="J94" s="24" t="str">
        <f t="shared" si="1"/>
        <v>!=</v>
      </c>
    </row>
    <row r="95">
      <c r="A95" s="22" t="s">
        <v>270</v>
      </c>
      <c r="B95" s="22">
        <v>1.0</v>
      </c>
      <c r="C95" s="23" t="str">
        <f>HYPERLINK("http://ecotaxoserver.obs-vlfr.fr/browsetaxo/?id=92145","92145")</f>
        <v>92145</v>
      </c>
      <c r="D95" s="23" t="str">
        <f>HYPERLINK("http://www.marinespecies.org/aphia.php?p=taxdetails&amp;id=162255","162255")</f>
        <v>162255</v>
      </c>
      <c r="E95" s="22" t="s">
        <v>268</v>
      </c>
      <c r="F95" s="22" t="s">
        <v>268</v>
      </c>
      <c r="G95" s="22" t="s">
        <v>94</v>
      </c>
      <c r="H95" s="23" t="str">
        <f>HYPERLINK("http://www.marinespecies.org/aphia.php?p=taxdetails&amp;id=162255","162255")</f>
        <v>162255</v>
      </c>
      <c r="I95" s="22" t="s">
        <v>94</v>
      </c>
      <c r="J95" s="24" t="str">
        <f t="shared" si="1"/>
        <v/>
      </c>
    </row>
    <row r="96">
      <c r="A96" s="22" t="s">
        <v>271</v>
      </c>
      <c r="B96" s="22">
        <v>128.0</v>
      </c>
      <c r="C96" s="23" t="str">
        <f>HYPERLINK("http://ecotaxoserver.obs-vlfr.fr/browsetaxo/?id=28206","28206")</f>
        <v>28206</v>
      </c>
      <c r="D96" s="23" t="str">
        <f>HYPERLINK("http://www.marinespecies.org/aphia.php?p=taxdetails&amp;id=251744","251744")</f>
        <v>251744</v>
      </c>
      <c r="E96" s="22" t="s">
        <v>119</v>
      </c>
      <c r="F96" s="22" t="s">
        <v>258</v>
      </c>
      <c r="G96" s="22" t="s">
        <v>94</v>
      </c>
      <c r="H96" s="23" t="str">
        <f>HYPERLINK("http://www.marinespecies.org/aphia.php?p=taxdetails&amp;id=251744","251744")</f>
        <v>251744</v>
      </c>
      <c r="I96" s="22" t="s">
        <v>94</v>
      </c>
      <c r="J96" s="24" t="str">
        <f t="shared" si="1"/>
        <v>!=</v>
      </c>
    </row>
    <row r="97">
      <c r="A97" s="22" t="s">
        <v>272</v>
      </c>
      <c r="B97" s="22">
        <v>1.0</v>
      </c>
      <c r="C97" s="23" t="str">
        <f>HYPERLINK("http://ecotaxoserver.obs-vlfr.fr/browsetaxo/?id=83315","83315")</f>
        <v>83315</v>
      </c>
      <c r="D97" s="23" t="str">
        <f>HYPERLINK("http://www.marinespecies.org/aphia.php?p=taxdetails&amp;id=135498","135498")</f>
        <v>135498</v>
      </c>
      <c r="E97" s="22" t="s">
        <v>273</v>
      </c>
      <c r="F97" s="22" t="s">
        <v>273</v>
      </c>
      <c r="G97" s="22" t="s">
        <v>94</v>
      </c>
      <c r="H97" s="23" t="str">
        <f>HYPERLINK("http://www.marinespecies.org/aphia.php?p=taxdetails&amp;id=135498","135498")</f>
        <v>135498</v>
      </c>
      <c r="I97" s="22" t="s">
        <v>94</v>
      </c>
      <c r="J97" s="24" t="str">
        <f t="shared" si="1"/>
        <v/>
      </c>
    </row>
    <row r="98">
      <c r="A98" s="22" t="s">
        <v>274</v>
      </c>
      <c r="B98" s="22">
        <v>1784.0</v>
      </c>
      <c r="C98" s="23" t="str">
        <f>HYPERLINK("http://ecotaxoserver.obs-vlfr.fr/browsetaxo/?id=92139","92139")</f>
        <v>92139</v>
      </c>
      <c r="D98" s="23" t="str">
        <f>HYPERLINK("http://www.marinespecies.org/aphia.php?p=taxdetails&amp;id=137687","137687")</f>
        <v>137687</v>
      </c>
      <c r="E98" s="22" t="s">
        <v>275</v>
      </c>
      <c r="F98" s="22" t="s">
        <v>276</v>
      </c>
      <c r="G98" s="22" t="s">
        <v>94</v>
      </c>
      <c r="H98" s="23" t="str">
        <f>HYPERLINK("http://www.marinespecies.org/aphia.php?p=taxdetails&amp;id=137687","137687")</f>
        <v>137687</v>
      </c>
      <c r="I98" s="22" t="s">
        <v>94</v>
      </c>
      <c r="J98" s="24" t="str">
        <f t="shared" si="1"/>
        <v>!=</v>
      </c>
    </row>
    <row r="99">
      <c r="A99" s="22" t="s">
        <v>277</v>
      </c>
      <c r="B99" s="22">
        <v>6.0</v>
      </c>
      <c r="C99" s="23" t="str">
        <f>HYPERLINK("http://ecotaxoserver.obs-vlfr.fr/browsetaxo/?id=51454","51454")</f>
        <v>51454</v>
      </c>
      <c r="D99" s="23" t="str">
        <f>HYPERLINK("http://www.marinespecies.org/aphia.php?p=taxdetails&amp;id=135248","135248")</f>
        <v>135248</v>
      </c>
      <c r="E99" s="22" t="s">
        <v>278</v>
      </c>
      <c r="F99" s="22" t="s">
        <v>278</v>
      </c>
      <c r="G99" s="22" t="s">
        <v>94</v>
      </c>
      <c r="H99" s="23" t="str">
        <f>HYPERLINK("http://www.marinespecies.org/aphia.php?p=taxdetails&amp;id=135248","135248")</f>
        <v>135248</v>
      </c>
      <c r="I99" s="22" t="s">
        <v>94</v>
      </c>
      <c r="J99" s="24" t="str">
        <f t="shared" si="1"/>
        <v/>
      </c>
    </row>
    <row r="100">
      <c r="A100" s="22" t="s">
        <v>279</v>
      </c>
      <c r="B100" s="22">
        <v>1.0</v>
      </c>
      <c r="C100" s="23" t="str">
        <f>HYPERLINK("http://ecotaxoserver.obs-vlfr.fr/browsetaxo/?id=72786","72786")</f>
        <v>72786</v>
      </c>
      <c r="D100" s="23" t="str">
        <f>HYPERLINK("http://www.marinespecies.org/aphia.php?p=taxdetails&amp;id=423167","423167")</f>
        <v>423167</v>
      </c>
      <c r="E100" s="22" t="s">
        <v>277</v>
      </c>
      <c r="F100" s="22" t="s">
        <v>277</v>
      </c>
      <c r="G100" s="22" t="s">
        <v>94</v>
      </c>
      <c r="H100" s="23" t="str">
        <f>HYPERLINK("http://www.marinespecies.org/aphia.php?p=taxdetails&amp;id=423167","423167")</f>
        <v>423167</v>
      </c>
      <c r="I100" s="22" t="s">
        <v>94</v>
      </c>
      <c r="J100" s="24" t="str">
        <f t="shared" si="1"/>
        <v/>
      </c>
    </row>
    <row r="101">
      <c r="A101" s="22" t="s">
        <v>280</v>
      </c>
      <c r="B101" s="22">
        <v>33.0</v>
      </c>
      <c r="C101" s="23" t="str">
        <f>HYPERLINK("http://ecotaxoserver.obs-vlfr.fr/browsetaxo/?id=28266","28266")</f>
        <v>28266</v>
      </c>
      <c r="D101" s="23" t="str">
        <f>HYPERLINK("http://www.marinespecies.org/aphia.php?p=taxdetails&amp;id=160519","160519")</f>
        <v>160519</v>
      </c>
      <c r="E101" s="22" t="s">
        <v>281</v>
      </c>
      <c r="F101" s="22" t="s">
        <v>282</v>
      </c>
      <c r="G101" s="22" t="s">
        <v>94</v>
      </c>
      <c r="H101" s="23" t="str">
        <f>HYPERLINK("http://www.marinespecies.org/aphia.php?p=taxdetails&amp;id=160519","160519")</f>
        <v>160519</v>
      </c>
      <c r="I101" s="22" t="s">
        <v>94</v>
      </c>
      <c r="J101" s="24" t="str">
        <f t="shared" si="1"/>
        <v>!=</v>
      </c>
    </row>
    <row r="102">
      <c r="A102" s="24" t="s">
        <v>283</v>
      </c>
      <c r="C102" s="23" t="str">
        <f>HYPERLINK("http://ecotaxoserver.obs-vlfr.fr/browsetaxo/?id=343","343")</f>
        <v>343</v>
      </c>
      <c r="D102" s="23" t="str">
        <f>HYPERLINK("http://www.marinespecies.org/aphia.php?p=taxdetails&amp;id=536209","536209")</f>
        <v>536209</v>
      </c>
      <c r="H102" s="23" t="str">
        <f>HYPERLINK("http://www.marinespecies.org/aphia.php?p=taxdetails&amp;id=536209","536209")</f>
        <v>536209</v>
      </c>
      <c r="J102" s="24"/>
    </row>
    <row r="103">
      <c r="A103" s="22" t="s">
        <v>284</v>
      </c>
      <c r="B103" s="22">
        <v>3.0</v>
      </c>
      <c r="C103" s="23" t="str">
        <f>HYPERLINK("http://ecotaxoserver.obs-vlfr.fr/browsetaxo/?id=61994","61994")</f>
        <v>61994</v>
      </c>
      <c r="D103" s="23" t="str">
        <f>HYPERLINK("http://www.marinespecies.org/aphia.php?p=taxdetails&amp;id=104077","104077")</f>
        <v>104077</v>
      </c>
      <c r="E103" s="22" t="s">
        <v>111</v>
      </c>
      <c r="F103" s="22" t="s">
        <v>111</v>
      </c>
      <c r="G103" s="22" t="s">
        <v>94</v>
      </c>
      <c r="H103" s="23" t="str">
        <f>HYPERLINK("http://www.marinespecies.org/aphia.php?p=taxdetails&amp;id=104077","104077")</f>
        <v>104077</v>
      </c>
      <c r="I103" s="22" t="s">
        <v>94</v>
      </c>
      <c r="J103" s="24" t="str">
        <f t="shared" ref="J103:J461" si="2">IF(E103&lt;&gt;F103,"!=","")</f>
        <v/>
      </c>
    </row>
    <row r="104">
      <c r="A104" s="22" t="s">
        <v>285</v>
      </c>
      <c r="B104" s="22">
        <v>4.0</v>
      </c>
      <c r="C104" s="23" t="str">
        <f>HYPERLINK("http://ecotaxoserver.obs-vlfr.fr/browsetaxo/?id=93071","93071")</f>
        <v>93071</v>
      </c>
      <c r="D104" s="23" t="str">
        <f>HYPERLINK("http://www.marinespecies.org/aphia.php?p=taxdetails&amp;id=104372","104372")</f>
        <v>104372</v>
      </c>
      <c r="E104" s="22" t="s">
        <v>286</v>
      </c>
      <c r="F104" s="22" t="s">
        <v>286</v>
      </c>
      <c r="G104" s="22" t="s">
        <v>94</v>
      </c>
      <c r="H104" s="23" t="str">
        <f>HYPERLINK("http://www.marinespecies.org/aphia.php?p=taxdetails&amp;id=104372","104372")</f>
        <v>104372</v>
      </c>
      <c r="I104" s="22" t="s">
        <v>94</v>
      </c>
      <c r="J104" s="24" t="str">
        <f t="shared" si="2"/>
        <v/>
      </c>
    </row>
    <row r="105">
      <c r="A105" s="22" t="s">
        <v>287</v>
      </c>
      <c r="B105" s="22">
        <v>33062.0</v>
      </c>
      <c r="C105" s="23" t="str">
        <f>HYPERLINK("http://ecotaxoserver.obs-vlfr.fr/browsetaxo/?id=54879","54879")</f>
        <v>54879</v>
      </c>
      <c r="D105" s="23" t="str">
        <f>HYPERLINK("http://www.marinespecies.org/aphia.php?p=taxdetails&amp;id=391969","391969")</f>
        <v>391969</v>
      </c>
      <c r="E105" s="22" t="s">
        <v>288</v>
      </c>
      <c r="F105" s="22" t="s">
        <v>288</v>
      </c>
      <c r="G105" s="22" t="s">
        <v>94</v>
      </c>
      <c r="H105" s="23" t="str">
        <f>HYPERLINK("http://www.marinespecies.org/aphia.php?p=taxdetails&amp;id=391969","391969")</f>
        <v>391969</v>
      </c>
      <c r="I105" s="22" t="s">
        <v>94</v>
      </c>
      <c r="J105" s="24" t="str">
        <f t="shared" si="2"/>
        <v/>
      </c>
    </row>
    <row r="106">
      <c r="A106" s="22" t="s">
        <v>289</v>
      </c>
      <c r="B106" s="22">
        <v>223.0</v>
      </c>
      <c r="C106" s="23" t="str">
        <f>HYPERLINK("http://ecotaxoserver.obs-vlfr.fr/browsetaxo/?id=77860","77860")</f>
        <v>77860</v>
      </c>
      <c r="D106" s="23" t="str">
        <f>HYPERLINK("http://www.marinespecies.org/aphia.php?p=taxdetails&amp;id=391970","391970")</f>
        <v>391970</v>
      </c>
      <c r="E106" s="22" t="s">
        <v>287</v>
      </c>
      <c r="F106" s="22" t="s">
        <v>287</v>
      </c>
      <c r="G106" s="22" t="s">
        <v>94</v>
      </c>
      <c r="H106" s="23" t="str">
        <f>HYPERLINK("http://www.marinespecies.org/aphia.php?p=taxdetails&amp;id=391970","391970")</f>
        <v>391970</v>
      </c>
      <c r="I106" s="22" t="s">
        <v>94</v>
      </c>
      <c r="J106" s="24" t="str">
        <f t="shared" si="2"/>
        <v/>
      </c>
    </row>
    <row r="107">
      <c r="A107" s="22" t="s">
        <v>288</v>
      </c>
      <c r="B107" s="22">
        <v>4051.0</v>
      </c>
      <c r="C107" s="23" t="str">
        <f>HYPERLINK("http://ecotaxoserver.obs-vlfr.fr/browsetaxo/?id=27642","27642")</f>
        <v>27642</v>
      </c>
      <c r="D107" s="23" t="str">
        <f>HYPERLINK("http://www.marinespecies.org/aphia.php?p=taxdetails&amp;id=367357","367357")</f>
        <v>367357</v>
      </c>
      <c r="E107" s="22" t="s">
        <v>290</v>
      </c>
      <c r="F107" s="22" t="s">
        <v>290</v>
      </c>
      <c r="G107" s="22" t="s">
        <v>94</v>
      </c>
      <c r="H107" s="23" t="str">
        <f>HYPERLINK("http://www.marinespecies.org/aphia.php?p=taxdetails&amp;id=367357","367357")</f>
        <v>367357</v>
      </c>
      <c r="I107" s="22" t="s">
        <v>94</v>
      </c>
      <c r="J107" s="24" t="str">
        <f t="shared" si="2"/>
        <v/>
      </c>
    </row>
    <row r="108">
      <c r="A108" s="22" t="s">
        <v>291</v>
      </c>
      <c r="B108" s="22">
        <v>12.0</v>
      </c>
      <c r="C108" s="23" t="str">
        <f>HYPERLINK("http://ecotaxoserver.obs-vlfr.fr/browsetaxo/?id=28290","28290")</f>
        <v>28290</v>
      </c>
      <c r="D108" s="23" t="str">
        <f>HYPERLINK("http://www.marinespecies.org/aphia.php?p=taxdetails&amp;id=148959","148959")</f>
        <v>148959</v>
      </c>
      <c r="E108" s="22" t="s">
        <v>292</v>
      </c>
      <c r="F108" s="22" t="s">
        <v>293</v>
      </c>
      <c r="G108" s="22" t="s">
        <v>94</v>
      </c>
      <c r="H108" s="23" t="str">
        <f>HYPERLINK("http://www.marinespecies.org/aphia.php?p=taxdetails&amp;id=148959","148959")</f>
        <v>148959</v>
      </c>
      <c r="I108" s="22" t="s">
        <v>94</v>
      </c>
      <c r="J108" s="24" t="str">
        <f t="shared" si="2"/>
        <v>!=</v>
      </c>
    </row>
    <row r="109">
      <c r="A109" s="22" t="s">
        <v>294</v>
      </c>
      <c r="B109" s="22">
        <v>8.0</v>
      </c>
      <c r="C109" s="23" t="str">
        <f>HYPERLINK("http://ecotaxoserver.obs-vlfr.fr/browsetaxo/?id=56041","56041")</f>
        <v>56041</v>
      </c>
      <c r="D109" s="23" t="str">
        <f>HYPERLINK("http://www.marinespecies.org/aphia.php?p=taxdetails&amp;id=148961","148961")</f>
        <v>148961</v>
      </c>
      <c r="E109" s="22" t="s">
        <v>291</v>
      </c>
      <c r="F109" s="22" t="s">
        <v>291</v>
      </c>
      <c r="G109" s="22" t="s">
        <v>94</v>
      </c>
      <c r="H109" s="23" t="str">
        <f>HYPERLINK("http://www.marinespecies.org/aphia.php?p=taxdetails&amp;id=148961","148961")</f>
        <v>148961</v>
      </c>
      <c r="I109" s="22" t="s">
        <v>94</v>
      </c>
      <c r="J109" s="24" t="str">
        <f t="shared" si="2"/>
        <v/>
      </c>
    </row>
    <row r="110">
      <c r="A110" s="22" t="s">
        <v>295</v>
      </c>
      <c r="B110" s="22">
        <v>1455.0</v>
      </c>
      <c r="C110" s="23" t="str">
        <f>HYPERLINK("http://ecotaxoserver.obs-vlfr.fr/browsetaxo/?id=85360","85360")</f>
        <v>85360</v>
      </c>
      <c r="D110" s="23" t="str">
        <f>HYPERLINK("http://www.marinespecies.org/aphia.php?p=taxdetails&amp;id=408871","408871")</f>
        <v>408871</v>
      </c>
      <c r="E110" s="22" t="s">
        <v>288</v>
      </c>
      <c r="F110" s="22" t="s">
        <v>288</v>
      </c>
      <c r="G110" s="22" t="s">
        <v>94</v>
      </c>
      <c r="H110" s="23" t="str">
        <f>HYPERLINK("http://www.marinespecies.org/aphia.php?p=taxdetails&amp;id=408871","408871")</f>
        <v>408871</v>
      </c>
      <c r="I110" s="22" t="s">
        <v>94</v>
      </c>
      <c r="J110" s="24" t="str">
        <f t="shared" si="2"/>
        <v/>
      </c>
    </row>
    <row r="111">
      <c r="A111" s="22" t="s">
        <v>296</v>
      </c>
      <c r="B111" s="22">
        <v>29429.0</v>
      </c>
      <c r="C111" s="23" t="str">
        <f>HYPERLINK("http://ecotaxoserver.obs-vlfr.fr/browsetaxo/?id=27647","27647")</f>
        <v>27647</v>
      </c>
      <c r="D111" s="23" t="str">
        <f>HYPERLINK("http://www.marinespecies.org/aphia.php?p=taxdetails&amp;id=367360","367360")</f>
        <v>367360</v>
      </c>
      <c r="E111" s="22" t="s">
        <v>297</v>
      </c>
      <c r="F111" s="22" t="s">
        <v>297</v>
      </c>
      <c r="G111" s="22" t="s">
        <v>94</v>
      </c>
      <c r="H111" s="23" t="str">
        <f>HYPERLINK("http://www.marinespecies.org/aphia.php?p=taxdetails&amp;id=367360","367360")</f>
        <v>367360</v>
      </c>
      <c r="I111" s="22" t="s">
        <v>94</v>
      </c>
      <c r="J111" s="24" t="str">
        <f t="shared" si="2"/>
        <v/>
      </c>
    </row>
    <row r="112">
      <c r="A112" s="22" t="s">
        <v>298</v>
      </c>
      <c r="B112" s="22">
        <v>7.0</v>
      </c>
      <c r="C112" s="23" t="str">
        <f>HYPERLINK("http://ecotaxoserver.obs-vlfr.fr/browsetaxo/?id=81912","81912")</f>
        <v>81912</v>
      </c>
      <c r="D112" s="23" t="str">
        <f>HYPERLINK("http://www.marinespecies.org/aphia.php?p=taxdetails&amp;id=477324","477324")</f>
        <v>477324</v>
      </c>
      <c r="E112" s="22" t="s">
        <v>113</v>
      </c>
      <c r="F112" s="22" t="s">
        <v>113</v>
      </c>
      <c r="G112" s="22" t="s">
        <v>94</v>
      </c>
      <c r="H112" s="23" t="str">
        <f>HYPERLINK("http://www.marinespecies.org/aphia.php?p=taxdetails&amp;id=477324","477324")</f>
        <v>477324</v>
      </c>
      <c r="I112" s="22" t="s">
        <v>94</v>
      </c>
      <c r="J112" s="24" t="str">
        <f t="shared" si="2"/>
        <v/>
      </c>
    </row>
    <row r="113">
      <c r="A113" s="22" t="s">
        <v>299</v>
      </c>
      <c r="B113" s="22">
        <v>8.0</v>
      </c>
      <c r="C113" s="23" t="str">
        <f>HYPERLINK("http://ecotaxoserver.obs-vlfr.fr/browsetaxo/?id=18782","18782")</f>
        <v>18782</v>
      </c>
      <c r="D113" s="23" t="str">
        <f>HYPERLINK("http://www.marinespecies.org/aphia.php?p=taxdetails&amp;id=391508","391508")</f>
        <v>391508</v>
      </c>
      <c r="E113" s="22" t="s">
        <v>300</v>
      </c>
      <c r="F113" s="22" t="s">
        <v>301</v>
      </c>
      <c r="G113" s="22" t="s">
        <v>94</v>
      </c>
      <c r="H113" s="23" t="str">
        <f>HYPERLINK("http://www.marinespecies.org/aphia.php?p=taxdetails&amp;id=391508","391508")</f>
        <v>391508</v>
      </c>
      <c r="I113" s="22" t="s">
        <v>94</v>
      </c>
      <c r="J113" s="24" t="str">
        <f t="shared" si="2"/>
        <v>!=</v>
      </c>
    </row>
    <row r="114">
      <c r="A114" s="22" t="s">
        <v>302</v>
      </c>
      <c r="B114" s="22">
        <v>10.0</v>
      </c>
      <c r="C114" s="23" t="str">
        <f>HYPERLINK("http://ecotaxoserver.obs-vlfr.fr/browsetaxo/?id=78911","78911")</f>
        <v>78911</v>
      </c>
      <c r="D114" s="23" t="str">
        <f>HYPERLINK("http://www.marinespecies.org/aphia.php?p=taxdetails&amp;id=837075","837075")</f>
        <v>837075</v>
      </c>
      <c r="E114" s="22" t="s">
        <v>299</v>
      </c>
      <c r="F114" s="22" t="s">
        <v>299</v>
      </c>
      <c r="G114" s="22" t="s">
        <v>94</v>
      </c>
      <c r="H114" s="23" t="str">
        <f>HYPERLINK("http://www.marinespecies.org/aphia.php?p=taxdetails&amp;id=837075","837075")</f>
        <v>837075</v>
      </c>
      <c r="I114" s="22" t="s">
        <v>94</v>
      </c>
      <c r="J114" s="24" t="str">
        <f t="shared" si="2"/>
        <v/>
      </c>
    </row>
    <row r="115">
      <c r="A115" s="22" t="s">
        <v>303</v>
      </c>
      <c r="B115" s="22">
        <v>6.0</v>
      </c>
      <c r="C115" s="23" t="str">
        <f>HYPERLINK("http://ecotaxoserver.obs-vlfr.fr/browsetaxo/?id=92161","92161")</f>
        <v>92161</v>
      </c>
      <c r="D115" s="23" t="str">
        <f>HYPERLINK("http://www.marinespecies.org/aphia.php?p=taxdetails&amp;id=149650","149650")</f>
        <v>149650</v>
      </c>
      <c r="E115" s="22" t="s">
        <v>304</v>
      </c>
      <c r="F115" s="22" t="s">
        <v>305</v>
      </c>
      <c r="G115" s="22" t="s">
        <v>94</v>
      </c>
      <c r="H115" s="23" t="str">
        <f>HYPERLINK("http://www.marinespecies.org/aphia.php?p=taxdetails&amp;id=149650","149650")</f>
        <v>149650</v>
      </c>
      <c r="I115" s="22" t="s">
        <v>94</v>
      </c>
      <c r="J115" s="24" t="str">
        <f t="shared" si="2"/>
        <v>!=</v>
      </c>
    </row>
    <row r="116">
      <c r="A116" s="22" t="s">
        <v>306</v>
      </c>
      <c r="B116" s="22">
        <v>88.0</v>
      </c>
      <c r="C116" s="23" t="str">
        <f>HYPERLINK("http://ecotaxoserver.obs-vlfr.fr/browsetaxo/?id=28204","28204")</f>
        <v>28204</v>
      </c>
      <c r="D116" s="23" t="str">
        <f>HYPERLINK("http://www.marinespecies.org/aphia.php?p=taxdetails&amp;id=149148","149148")</f>
        <v>149148</v>
      </c>
      <c r="E116" s="22" t="s">
        <v>119</v>
      </c>
      <c r="F116" s="22" t="s">
        <v>307</v>
      </c>
      <c r="G116" s="22" t="s">
        <v>94</v>
      </c>
      <c r="H116" s="23" t="str">
        <f>HYPERLINK("http://www.marinespecies.org/aphia.php?p=taxdetails&amp;id=149148","149148")</f>
        <v>149148</v>
      </c>
      <c r="I116" s="22" t="s">
        <v>94</v>
      </c>
      <c r="J116" s="24" t="str">
        <f t="shared" si="2"/>
        <v>!=</v>
      </c>
    </row>
    <row r="117">
      <c r="A117" s="22" t="s">
        <v>119</v>
      </c>
      <c r="B117" s="22">
        <v>43334.0</v>
      </c>
      <c r="C117" s="23" t="str">
        <f>HYPERLINK("http://ecotaxoserver.obs-vlfr.fr/browsetaxo/?id=17519","17519")</f>
        <v>17519</v>
      </c>
      <c r="D117" s="23" t="str">
        <f>HYPERLINK("http://www.marinespecies.org/aphia.php?p=taxdetails&amp;id=148899","148899")</f>
        <v>148899</v>
      </c>
      <c r="E117" s="22" t="s">
        <v>308</v>
      </c>
      <c r="F117" s="22" t="s">
        <v>309</v>
      </c>
      <c r="G117" s="22" t="s">
        <v>94</v>
      </c>
      <c r="H117" s="23" t="str">
        <f>HYPERLINK("http://www.marinespecies.org/aphia.php?p=taxdetails&amp;id=148899","148899")</f>
        <v>148899</v>
      </c>
      <c r="I117" s="22" t="s">
        <v>94</v>
      </c>
      <c r="J117" s="24" t="str">
        <f t="shared" si="2"/>
        <v>!=</v>
      </c>
    </row>
    <row r="118">
      <c r="A118" s="22" t="s">
        <v>310</v>
      </c>
      <c r="B118" s="22">
        <v>1.0</v>
      </c>
      <c r="C118" s="23" t="str">
        <f>HYPERLINK("http://ecotaxoserver.obs-vlfr.fr/browsetaxo/?id=85514","85514")</f>
        <v>85514</v>
      </c>
      <c r="D118" s="23" t="str">
        <f>HYPERLINK("http://www.marinespecies.org/aphia.php?p=taxdetails&amp;id=164108","164108")</f>
        <v>164108</v>
      </c>
      <c r="E118" s="22" t="s">
        <v>311</v>
      </c>
      <c r="F118" s="22" t="s">
        <v>311</v>
      </c>
      <c r="G118" s="22" t="s">
        <v>94</v>
      </c>
      <c r="H118" s="23" t="str">
        <f>HYPERLINK("http://www.marinespecies.org/aphia.php?p=taxdetails&amp;id=164108","164108")</f>
        <v>164108</v>
      </c>
      <c r="I118" s="22" t="s">
        <v>94</v>
      </c>
      <c r="J118" s="24" t="str">
        <f t="shared" si="2"/>
        <v/>
      </c>
    </row>
    <row r="119">
      <c r="A119" s="22" t="s">
        <v>312</v>
      </c>
      <c r="B119" s="22">
        <v>9.0</v>
      </c>
      <c r="C119" s="23" t="str">
        <f>HYPERLINK("http://ecotaxoserver.obs-vlfr.fr/browsetaxo/?id=92169","92169")</f>
        <v>92169</v>
      </c>
      <c r="D119" s="23" t="str">
        <f>HYPERLINK("http://www.marinespecies.org/aphia.php?p=taxdetails&amp;id=162916","162916")</f>
        <v>162916</v>
      </c>
      <c r="E119" s="22" t="s">
        <v>311</v>
      </c>
      <c r="F119" s="22" t="s">
        <v>311</v>
      </c>
      <c r="G119" s="22" t="s">
        <v>94</v>
      </c>
      <c r="H119" s="23" t="str">
        <f>HYPERLINK("http://www.marinespecies.org/aphia.php?p=taxdetails&amp;id=162916","162916")</f>
        <v>162916</v>
      </c>
      <c r="I119" s="22" t="s">
        <v>94</v>
      </c>
      <c r="J119" s="24" t="str">
        <f t="shared" si="2"/>
        <v/>
      </c>
    </row>
    <row r="120">
      <c r="A120" s="22" t="s">
        <v>313</v>
      </c>
      <c r="B120" s="22">
        <v>2.0</v>
      </c>
      <c r="C120" s="23" t="str">
        <f>HYPERLINK("http://ecotaxoserver.obs-vlfr.fr/browsetaxo/?id=56272","56272")</f>
        <v>56272</v>
      </c>
      <c r="D120" s="23" t="str">
        <f>HYPERLINK("http://www.marinespecies.org/aphia.php?p=taxdetails&amp;id=149119","149119")</f>
        <v>149119</v>
      </c>
      <c r="E120" s="22" t="s">
        <v>311</v>
      </c>
      <c r="F120" s="22" t="s">
        <v>311</v>
      </c>
      <c r="G120" s="22" t="s">
        <v>94</v>
      </c>
      <c r="H120" s="23" t="str">
        <f>HYPERLINK("http://www.marinespecies.org/aphia.php?p=taxdetails&amp;id=149119","149119")</f>
        <v>149119</v>
      </c>
      <c r="I120" s="22" t="s">
        <v>94</v>
      </c>
      <c r="J120" s="24" t="str">
        <f t="shared" si="2"/>
        <v/>
      </c>
    </row>
    <row r="121">
      <c r="A121" s="22" t="s">
        <v>314</v>
      </c>
      <c r="B121" s="22">
        <v>29.0</v>
      </c>
      <c r="C121" s="23" t="str">
        <f>HYPERLINK("http://ecotaxoserver.obs-vlfr.fr/browsetaxo/?id=28265","28265")</f>
        <v>28265</v>
      </c>
      <c r="D121" s="23" t="str">
        <f>HYPERLINK("http://www.marinespecies.org/aphia.php?p=taxdetails&amp;id=162923","162923")</f>
        <v>162923</v>
      </c>
      <c r="E121" s="22" t="s">
        <v>281</v>
      </c>
      <c r="F121" s="22" t="s">
        <v>315</v>
      </c>
      <c r="G121" s="22" t="s">
        <v>94</v>
      </c>
      <c r="H121" s="23" t="str">
        <f>HYPERLINK("http://www.marinespecies.org/aphia.php?p=taxdetails&amp;id=162923","162923")</f>
        <v>162923</v>
      </c>
      <c r="I121" s="22" t="s">
        <v>94</v>
      </c>
      <c r="J121" s="24" t="str">
        <f t="shared" si="2"/>
        <v>!=</v>
      </c>
    </row>
    <row r="122">
      <c r="A122" s="22" t="s">
        <v>316</v>
      </c>
      <c r="B122" s="22">
        <v>2.0</v>
      </c>
      <c r="C122" s="23" t="str">
        <f>HYPERLINK("http://ecotaxoserver.obs-vlfr.fr/browsetaxo/?id=92389","92389")</f>
        <v>92389</v>
      </c>
      <c r="D122" s="23" t="str">
        <f>HYPERLINK("http://www.marinespecies.org/aphia.php?p=taxdetails&amp;id=1307640","1307640")</f>
        <v>1307640</v>
      </c>
      <c r="E122" s="22" t="s">
        <v>128</v>
      </c>
      <c r="F122" s="22" t="s">
        <v>314</v>
      </c>
      <c r="G122" s="22" t="s">
        <v>94</v>
      </c>
      <c r="H122" s="23" t="str">
        <f>HYPERLINK("http://www.marinespecies.org/aphia.php?p=taxdetails&amp;id=1307640","1307640")</f>
        <v>1307640</v>
      </c>
      <c r="I122" s="22" t="s">
        <v>94</v>
      </c>
      <c r="J122" s="24" t="str">
        <f t="shared" si="2"/>
        <v>!=</v>
      </c>
    </row>
    <row r="123">
      <c r="A123" s="22" t="s">
        <v>317</v>
      </c>
      <c r="B123" s="22">
        <v>5.0</v>
      </c>
      <c r="C123" s="23" t="str">
        <f>HYPERLINK("http://ecotaxoserver.obs-vlfr.fr/browsetaxo/?id=62300","62300")</f>
        <v>62300</v>
      </c>
      <c r="D123" s="23" t="str">
        <f>HYPERLINK("http://www.marinespecies.org/aphia.php?p=taxdetails&amp;id=459582","459582")</f>
        <v>459582</v>
      </c>
      <c r="E123" s="22" t="s">
        <v>318</v>
      </c>
      <c r="F123" s="22" t="s">
        <v>319</v>
      </c>
      <c r="G123" s="22" t="s">
        <v>94</v>
      </c>
      <c r="H123" s="23" t="str">
        <f>HYPERLINK("http://www.marinespecies.org/aphia.php?p=taxdetails&amp;id=459582","459582")</f>
        <v>459582</v>
      </c>
      <c r="I123" s="22" t="s">
        <v>94</v>
      </c>
      <c r="J123" s="24" t="str">
        <f t="shared" si="2"/>
        <v>!=</v>
      </c>
    </row>
    <row r="124">
      <c r="A124" s="22" t="s">
        <v>320</v>
      </c>
      <c r="B124" s="22">
        <v>65.0</v>
      </c>
      <c r="C124" s="23" t="str">
        <f>HYPERLINK("http://ecotaxoserver.obs-vlfr.fr/browsetaxo/?id=62197","62197")</f>
        <v>62197</v>
      </c>
      <c r="D124" s="23" t="str">
        <f>HYPERLINK("http://www.marinespecies.org/aphia.php?p=taxdetails&amp;id=106122","106122")</f>
        <v>106122</v>
      </c>
      <c r="E124" s="22" t="s">
        <v>321</v>
      </c>
      <c r="F124" s="22" t="s">
        <v>322</v>
      </c>
      <c r="G124" s="22" t="s">
        <v>94</v>
      </c>
      <c r="H124" s="23" t="str">
        <f>HYPERLINK("http://www.marinespecies.org/aphia.php?p=taxdetails&amp;id=106122","106122")</f>
        <v>106122</v>
      </c>
      <c r="I124" s="22" t="s">
        <v>94</v>
      </c>
      <c r="J124" s="24" t="str">
        <f t="shared" si="2"/>
        <v>!=</v>
      </c>
    </row>
    <row r="125">
      <c r="A125" s="22" t="s">
        <v>323</v>
      </c>
      <c r="B125" s="22">
        <v>1.0</v>
      </c>
      <c r="C125" s="23" t="str">
        <f>HYPERLINK("http://ecotaxoserver.obs-vlfr.fr/browsetaxo/?id=93194","93194")</f>
        <v>93194</v>
      </c>
      <c r="D125" s="23" t="str">
        <f>HYPERLINK("http://www.marinespecies.org/aphia.php?p=taxdetails&amp;id=126228","126228")</f>
        <v>126228</v>
      </c>
      <c r="E125" s="22" t="s">
        <v>324</v>
      </c>
      <c r="F125" s="22" t="s">
        <v>325</v>
      </c>
      <c r="G125" s="22" t="s">
        <v>94</v>
      </c>
      <c r="H125" s="23" t="str">
        <f>HYPERLINK("http://www.marinespecies.org/aphia.php?p=taxdetails&amp;id=126228","126228")</f>
        <v>126228</v>
      </c>
      <c r="I125" s="22" t="s">
        <v>94</v>
      </c>
      <c r="J125" s="24" t="str">
        <f t="shared" si="2"/>
        <v/>
      </c>
    </row>
    <row r="126">
      <c r="A126" s="22" t="s">
        <v>326</v>
      </c>
      <c r="B126" s="22">
        <v>4.0</v>
      </c>
      <c r="C126" s="23" t="str">
        <f>HYPERLINK("http://ecotaxoserver.obs-vlfr.fr/browsetaxo/?id=87824","87824")</f>
        <v>87824</v>
      </c>
      <c r="D126" s="23" t="str">
        <f>HYPERLINK("http://www.marinespecies.org/aphia.php?p=taxdetails&amp;id=135353","135353")</f>
        <v>135353</v>
      </c>
      <c r="E126" s="22" t="s">
        <v>95</v>
      </c>
      <c r="F126" s="22" t="s">
        <v>327</v>
      </c>
      <c r="G126" s="22" t="s">
        <v>94</v>
      </c>
      <c r="H126" s="23" t="str">
        <f>HYPERLINK("http://www.marinespecies.org/aphia.php?p=taxdetails&amp;id=135353","135353")</f>
        <v>135353</v>
      </c>
      <c r="I126" s="22" t="s">
        <v>94</v>
      </c>
      <c r="J126" s="24" t="str">
        <f t="shared" si="2"/>
        <v>!=</v>
      </c>
    </row>
    <row r="127">
      <c r="A127" s="22" t="s">
        <v>328</v>
      </c>
      <c r="B127" s="22">
        <v>26.0</v>
      </c>
      <c r="C127" s="23" t="str">
        <f>HYPERLINK("http://ecotaxoserver.obs-vlfr.fr/browsetaxo/?id=90386","90386")</f>
        <v>90386</v>
      </c>
      <c r="D127" s="23" t="str">
        <f>HYPERLINK("http://www.marinespecies.org/aphia.php?p=taxdetails&amp;id=135404","135404")</f>
        <v>135404</v>
      </c>
      <c r="E127" s="22" t="s">
        <v>326</v>
      </c>
      <c r="F127" s="22" t="s">
        <v>326</v>
      </c>
      <c r="G127" s="22" t="s">
        <v>94</v>
      </c>
      <c r="H127" s="23" t="str">
        <f>HYPERLINK("http://www.marinespecies.org/aphia.php?p=taxdetails&amp;id=135404","135404")</f>
        <v>135404</v>
      </c>
      <c r="I127" s="22" t="s">
        <v>94</v>
      </c>
      <c r="J127" s="24" t="str">
        <f t="shared" si="2"/>
        <v/>
      </c>
    </row>
    <row r="128">
      <c r="A128" s="22" t="s">
        <v>329</v>
      </c>
      <c r="B128" s="22">
        <v>1.0</v>
      </c>
      <c r="C128" s="23" t="str">
        <f>HYPERLINK("http://ecotaxoserver.obs-vlfr.fr/browsetaxo/?id=93087","93087")</f>
        <v>93087</v>
      </c>
      <c r="D128" s="23" t="str">
        <f>HYPERLINK("http://www.marinespecies.org/aphia.php?p=taxdetails&amp;id=103362","103362")</f>
        <v>103362</v>
      </c>
      <c r="E128" s="22" t="s">
        <v>330</v>
      </c>
      <c r="F128" s="22" t="s">
        <v>330</v>
      </c>
      <c r="G128" s="22" t="s">
        <v>94</v>
      </c>
      <c r="H128" s="23" t="str">
        <f>HYPERLINK("http://www.marinespecies.org/aphia.php?p=taxdetails&amp;id=103362","103362")</f>
        <v>103362</v>
      </c>
      <c r="I128" s="22" t="s">
        <v>94</v>
      </c>
      <c r="J128" s="24" t="str">
        <f t="shared" si="2"/>
        <v/>
      </c>
    </row>
    <row r="129">
      <c r="A129" s="22" t="s">
        <v>331</v>
      </c>
      <c r="B129" s="22">
        <v>1.0</v>
      </c>
      <c r="C129" s="23" t="str">
        <f>HYPERLINK("http://ecotaxoserver.obs-vlfr.fr/browsetaxo/?id=93288","93288")</f>
        <v>93288</v>
      </c>
      <c r="D129" s="23" t="str">
        <f>HYPERLINK("http://www.marinespecies.org/aphia.php?p=taxdetails&amp;id=126203","126203")</f>
        <v>126203</v>
      </c>
      <c r="E129" s="22" t="s">
        <v>332</v>
      </c>
      <c r="F129" s="22" t="s">
        <v>332</v>
      </c>
      <c r="G129" s="22" t="s">
        <v>94</v>
      </c>
      <c r="H129" s="23" t="str">
        <f>HYPERLINK("http://www.marinespecies.org/aphia.php?p=taxdetails&amp;id=126203","126203")</f>
        <v>126203</v>
      </c>
      <c r="I129" s="22" t="s">
        <v>94</v>
      </c>
      <c r="J129" s="24" t="str">
        <f t="shared" si="2"/>
        <v/>
      </c>
    </row>
    <row r="130">
      <c r="A130" s="22" t="s">
        <v>333</v>
      </c>
      <c r="B130" s="22">
        <v>1.0</v>
      </c>
      <c r="C130" s="23" t="str">
        <f>HYPERLINK("http://ecotaxoserver.obs-vlfr.fr/browsetaxo/?id=93207","93207")</f>
        <v>93207</v>
      </c>
      <c r="D130" s="23" t="str">
        <f>HYPERLINK("http://www.marinespecies.org/aphia.php?p=taxdetails&amp;id=135383","135383")</f>
        <v>135383</v>
      </c>
      <c r="E130" s="22" t="s">
        <v>334</v>
      </c>
      <c r="F130" s="22" t="s">
        <v>334</v>
      </c>
      <c r="G130" s="22" t="s">
        <v>94</v>
      </c>
      <c r="H130" s="23" t="str">
        <f>HYPERLINK("http://www.marinespecies.org/aphia.php?p=taxdetails&amp;id=135383","135383")</f>
        <v>135383</v>
      </c>
      <c r="I130" s="22" t="s">
        <v>94</v>
      </c>
      <c r="J130" s="24" t="str">
        <f t="shared" si="2"/>
        <v/>
      </c>
    </row>
    <row r="131">
      <c r="A131" s="22" t="s">
        <v>335</v>
      </c>
      <c r="B131" s="22">
        <v>1.0</v>
      </c>
      <c r="C131" s="23" t="str">
        <f>HYPERLINK("http://ecotaxoserver.obs-vlfr.fr/browsetaxo/?id=93197","93197")</f>
        <v>93197</v>
      </c>
      <c r="D131" s="23" t="str">
        <f>HYPERLINK("http://www.marinespecies.org/aphia.php?p=taxdetails&amp;id=125669","125669")</f>
        <v>125669</v>
      </c>
      <c r="E131" s="22" t="s">
        <v>336</v>
      </c>
      <c r="F131" s="22" t="s">
        <v>336</v>
      </c>
      <c r="G131" s="22" t="s">
        <v>94</v>
      </c>
      <c r="H131" s="23" t="str">
        <f>HYPERLINK("http://www.marinespecies.org/aphia.php?p=taxdetails&amp;id=125669","125669")</f>
        <v>125669</v>
      </c>
      <c r="I131" s="22" t="s">
        <v>94</v>
      </c>
      <c r="J131" s="24" t="str">
        <f t="shared" si="2"/>
        <v/>
      </c>
    </row>
    <row r="132">
      <c r="A132" s="22" t="s">
        <v>337</v>
      </c>
      <c r="B132" s="22">
        <v>466.0</v>
      </c>
      <c r="C132" s="23" t="str">
        <f>HYPERLINK("http://ecotaxoserver.obs-vlfr.fr/browsetaxo/?id=92099","92099")</f>
        <v>92099</v>
      </c>
      <c r="D132" s="23" t="str">
        <f>HYPERLINK("http://www.marinespecies.org/aphia.php?p=taxdetails&amp;id=883867","883867")</f>
        <v>883867</v>
      </c>
      <c r="E132" s="22" t="s">
        <v>338</v>
      </c>
      <c r="F132" s="22" t="s">
        <v>338</v>
      </c>
      <c r="G132" s="22" t="s">
        <v>94</v>
      </c>
      <c r="H132" s="23" t="str">
        <f>HYPERLINK("http://www.marinespecies.org/aphia.php?p=taxdetails&amp;id=883867","883867")</f>
        <v>883867</v>
      </c>
      <c r="I132" s="22" t="s">
        <v>94</v>
      </c>
      <c r="J132" s="24" t="str">
        <f t="shared" si="2"/>
        <v/>
      </c>
    </row>
    <row r="133">
      <c r="A133" s="22" t="s">
        <v>339</v>
      </c>
      <c r="B133" s="22">
        <v>582.0</v>
      </c>
      <c r="C133" s="23" t="str">
        <f>HYPERLINK("http://ecotaxoserver.obs-vlfr.fr/browsetaxo/?id=81902","81902")</f>
        <v>81902</v>
      </c>
      <c r="D133" s="23" t="str">
        <f>HYPERLINK("http://www.marinespecies.org/aphia.php?p=taxdetails&amp;id=106726","106726")</f>
        <v>106726</v>
      </c>
      <c r="E133" s="22" t="s">
        <v>340</v>
      </c>
      <c r="F133" s="22" t="s">
        <v>340</v>
      </c>
      <c r="G133" s="22" t="s">
        <v>94</v>
      </c>
      <c r="H133" s="23" t="str">
        <f>HYPERLINK("http://www.marinespecies.org/aphia.php?p=taxdetails&amp;id=106726","106726")</f>
        <v>106726</v>
      </c>
      <c r="I133" s="22" t="s">
        <v>94</v>
      </c>
      <c r="J133" s="24" t="str">
        <f t="shared" si="2"/>
        <v/>
      </c>
    </row>
    <row r="134">
      <c r="A134" s="22" t="s">
        <v>341</v>
      </c>
      <c r="B134" s="22">
        <v>688.0</v>
      </c>
      <c r="C134" s="23" t="str">
        <f>HYPERLINK("http://ecotaxoserver.obs-vlfr.fr/browsetaxo/?id=51498","51498")</f>
        <v>51498</v>
      </c>
      <c r="D134" s="23" t="str">
        <f>HYPERLINK("http://www.marinespecies.org/aphia.php?p=taxdetails&amp;id=1434803","1434803")</f>
        <v>1434803</v>
      </c>
      <c r="E134" s="22" t="s">
        <v>342</v>
      </c>
      <c r="F134" s="22" t="s">
        <v>342</v>
      </c>
      <c r="G134" s="22" t="s">
        <v>94</v>
      </c>
      <c r="H134" s="23" t="str">
        <f>HYPERLINK("http://www.marinespecies.org/aphia.php?p=taxdetails&amp;id=1434803","1434803")</f>
        <v>1434803</v>
      </c>
      <c r="I134" s="22" t="s">
        <v>94</v>
      </c>
      <c r="J134" s="24" t="str">
        <f t="shared" si="2"/>
        <v/>
      </c>
    </row>
    <row r="135">
      <c r="A135" s="22" t="s">
        <v>343</v>
      </c>
      <c r="B135" s="22">
        <v>7.0</v>
      </c>
      <c r="C135" s="23" t="str">
        <f>HYPERLINK("http://ecotaxoserver.obs-vlfr.fr/browsetaxo/?id=72851","72851")</f>
        <v>72851</v>
      </c>
      <c r="D135" s="23" t="str">
        <f>HYPERLINK("http://www.marinespecies.org/aphia.php?p=taxdetails&amp;id=106358","106358")</f>
        <v>106358</v>
      </c>
      <c r="E135" s="22" t="s">
        <v>341</v>
      </c>
      <c r="F135" s="22" t="s">
        <v>341</v>
      </c>
      <c r="G135" s="22" t="s">
        <v>94</v>
      </c>
      <c r="H135" s="23" t="str">
        <f>HYPERLINK("http://www.marinespecies.org/aphia.php?p=taxdetails&amp;id=106358","106358")</f>
        <v>106358</v>
      </c>
      <c r="I135" s="22" t="s">
        <v>94</v>
      </c>
      <c r="J135" s="24" t="str">
        <f t="shared" si="2"/>
        <v/>
      </c>
    </row>
    <row r="136">
      <c r="A136" s="22" t="s">
        <v>344</v>
      </c>
      <c r="B136" s="22">
        <v>3.0</v>
      </c>
      <c r="C136" s="23" t="str">
        <f>HYPERLINK("http://ecotaxoserver.obs-vlfr.fr/browsetaxo/?id=72850","72850")</f>
        <v>72850</v>
      </c>
      <c r="D136" s="23" t="str">
        <f>HYPERLINK("http://www.marinespecies.org/aphia.php?p=taxdetails&amp;id=106360","106360")</f>
        <v>106360</v>
      </c>
      <c r="E136" s="22" t="s">
        <v>341</v>
      </c>
      <c r="F136" s="22" t="s">
        <v>341</v>
      </c>
      <c r="G136" s="22" t="s">
        <v>94</v>
      </c>
      <c r="H136" s="23" t="str">
        <f>HYPERLINK("http://www.marinespecies.org/aphia.php?p=taxdetails&amp;id=106360","106360")</f>
        <v>106360</v>
      </c>
      <c r="I136" s="22" t="s">
        <v>94</v>
      </c>
      <c r="J136" s="24" t="str">
        <f t="shared" si="2"/>
        <v/>
      </c>
    </row>
    <row r="137">
      <c r="A137" s="22" t="s">
        <v>345</v>
      </c>
      <c r="B137" s="22">
        <v>1.0</v>
      </c>
      <c r="C137" s="23" t="str">
        <f>HYPERLINK("http://ecotaxoserver.obs-vlfr.fr/browsetaxo/?id=72848","72848")</f>
        <v>72848</v>
      </c>
      <c r="D137" s="23" t="str">
        <f>HYPERLINK("http://www.marinespecies.org/aphia.php?p=taxdetails&amp;id=106362","106362")</f>
        <v>106362</v>
      </c>
      <c r="E137" s="22" t="s">
        <v>341</v>
      </c>
      <c r="F137" s="22" t="s">
        <v>341</v>
      </c>
      <c r="G137" s="22" t="s">
        <v>94</v>
      </c>
      <c r="H137" s="23" t="str">
        <f>HYPERLINK("http://www.marinespecies.org/aphia.php?p=taxdetails&amp;id=106362","106362")</f>
        <v>106362</v>
      </c>
      <c r="I137" s="22" t="s">
        <v>94</v>
      </c>
      <c r="J137" s="24" t="str">
        <f t="shared" si="2"/>
        <v/>
      </c>
    </row>
    <row r="138">
      <c r="A138" s="22" t="s">
        <v>346</v>
      </c>
      <c r="B138" s="22">
        <v>146.0</v>
      </c>
      <c r="C138" s="23" t="str">
        <f>HYPERLINK("http://ecotaxoserver.obs-vlfr.fr/browsetaxo/?id=17515","17515")</f>
        <v>17515</v>
      </c>
      <c r="D138" s="23" t="str">
        <f>HYPERLINK("http://www.marinespecies.org/aphia.php?p=taxdetails&amp;id=163735","163735")</f>
        <v>163735</v>
      </c>
      <c r="E138" s="22" t="s">
        <v>347</v>
      </c>
      <c r="F138" s="22" t="s">
        <v>258</v>
      </c>
      <c r="G138" s="22" t="s">
        <v>94</v>
      </c>
      <c r="H138" s="23" t="str">
        <f>HYPERLINK("http://www.marinespecies.org/aphia.php?p=taxdetails&amp;id=163735","163735")</f>
        <v>163735</v>
      </c>
      <c r="I138" s="22" t="s">
        <v>94</v>
      </c>
      <c r="J138" s="24" t="str">
        <f t="shared" si="2"/>
        <v>!=</v>
      </c>
    </row>
    <row r="139">
      <c r="A139" s="22" t="s">
        <v>348</v>
      </c>
      <c r="B139" s="22">
        <v>6.0</v>
      </c>
      <c r="C139" s="23" t="str">
        <f>HYPERLINK("http://ecotaxoserver.obs-vlfr.fr/browsetaxo/?id=93336","93336")</f>
        <v>93336</v>
      </c>
      <c r="D139" s="23" t="str">
        <f>HYPERLINK("http://www.marinespecies.org/aphia.php?p=taxdetails&amp;id=125519","125519")</f>
        <v>125519</v>
      </c>
      <c r="E139" s="22" t="s">
        <v>349</v>
      </c>
      <c r="F139" s="22" t="s">
        <v>349</v>
      </c>
      <c r="G139" s="22" t="s">
        <v>94</v>
      </c>
      <c r="H139" s="23" t="str">
        <f>HYPERLINK("http://www.marinespecies.org/aphia.php?p=taxdetails&amp;id=125519","125519")</f>
        <v>125519</v>
      </c>
      <c r="I139" s="22" t="s">
        <v>94</v>
      </c>
      <c r="J139" s="24" t="str">
        <f t="shared" si="2"/>
        <v/>
      </c>
    </row>
    <row r="140">
      <c r="A140" s="22" t="s">
        <v>350</v>
      </c>
      <c r="B140" s="22">
        <v>1.0</v>
      </c>
      <c r="C140" s="23" t="str">
        <f>HYPERLINK("http://ecotaxoserver.obs-vlfr.fr/browsetaxo/?id=18779","18779")</f>
        <v>18779</v>
      </c>
      <c r="D140" s="23" t="str">
        <f>HYPERLINK("http://www.marinespecies.org/aphia.php?p=taxdetails&amp;id=109548","109548")</f>
        <v>109548</v>
      </c>
      <c r="E140" s="22" t="s">
        <v>351</v>
      </c>
      <c r="F140" s="22" t="s">
        <v>351</v>
      </c>
      <c r="G140" s="22" t="s">
        <v>94</v>
      </c>
      <c r="H140" s="23" t="str">
        <f>HYPERLINK("http://www.marinespecies.org/aphia.php?p=taxdetails&amp;id=109548","109548")</f>
        <v>109548</v>
      </c>
      <c r="I140" s="22" t="s">
        <v>94</v>
      </c>
      <c r="J140" s="24" t="str">
        <f t="shared" si="2"/>
        <v/>
      </c>
    </row>
    <row r="141">
      <c r="A141" s="22" t="s">
        <v>352</v>
      </c>
      <c r="B141" s="22">
        <v>25.0</v>
      </c>
      <c r="C141" s="23" t="str">
        <f>HYPERLINK("http://ecotaxoserver.obs-vlfr.fr/browsetaxo/?id=92416","92416")</f>
        <v>92416</v>
      </c>
      <c r="D141" s="23" t="str">
        <f>HYPERLINK("http://www.marinespecies.org/aphia.php?p=taxdetails&amp;id=110179","110179")</f>
        <v>110179</v>
      </c>
      <c r="E141" s="22" t="s">
        <v>128</v>
      </c>
      <c r="F141" s="22" t="s">
        <v>350</v>
      </c>
      <c r="G141" s="22" t="s">
        <v>94</v>
      </c>
      <c r="H141" s="23" t="str">
        <f>HYPERLINK("http://www.marinespecies.org/aphia.php?p=taxdetails&amp;id=110179","110179")</f>
        <v>110179</v>
      </c>
      <c r="I141" s="22" t="s">
        <v>94</v>
      </c>
      <c r="J141" s="24" t="str">
        <f t="shared" si="2"/>
        <v>!=</v>
      </c>
    </row>
    <row r="142">
      <c r="A142" s="22" t="s">
        <v>353</v>
      </c>
      <c r="B142" s="22">
        <v>1.0</v>
      </c>
      <c r="C142" s="23" t="str">
        <f>HYPERLINK("http://ecotaxoserver.obs-vlfr.fr/browsetaxo/?id=93130","93130")</f>
        <v>93130</v>
      </c>
      <c r="D142" s="23" t="str">
        <f>HYPERLINK("http://www.marinespecies.org/aphia.php?p=taxdetails&amp;id=106396","106396")</f>
        <v>106396</v>
      </c>
      <c r="E142" s="22" t="s">
        <v>354</v>
      </c>
      <c r="F142" s="22" t="s">
        <v>354</v>
      </c>
      <c r="G142" s="22" t="s">
        <v>94</v>
      </c>
      <c r="H142" s="23" t="str">
        <f>HYPERLINK("http://www.marinespecies.org/aphia.php?p=taxdetails&amp;id=106396","106396")</f>
        <v>106396</v>
      </c>
      <c r="I142" s="22" t="s">
        <v>94</v>
      </c>
      <c r="J142" s="24" t="str">
        <f t="shared" si="2"/>
        <v/>
      </c>
    </row>
    <row r="143">
      <c r="A143" s="22" t="s">
        <v>355</v>
      </c>
      <c r="B143" s="22">
        <v>1424.0</v>
      </c>
      <c r="C143" s="23" t="str">
        <f>HYPERLINK("http://ecotaxoserver.obs-vlfr.fr/browsetaxo/?id=81919","81919")</f>
        <v>81919</v>
      </c>
      <c r="D143" s="23" t="str">
        <f>HYPERLINK("http://www.marinespecies.org/aphia.php?p=taxdetails&amp;id=106265","106265")</f>
        <v>106265</v>
      </c>
      <c r="E143" s="22" t="s">
        <v>356</v>
      </c>
      <c r="F143" s="22" t="s">
        <v>356</v>
      </c>
      <c r="G143" s="22" t="s">
        <v>94</v>
      </c>
      <c r="H143" s="23" t="str">
        <f>HYPERLINK("http://www.marinespecies.org/aphia.php?p=taxdetails&amp;id=106265","106265")</f>
        <v>106265</v>
      </c>
      <c r="I143" s="22" t="s">
        <v>94</v>
      </c>
      <c r="J143" s="24" t="str">
        <f t="shared" si="2"/>
        <v/>
      </c>
    </row>
    <row r="144">
      <c r="A144" s="22" t="s">
        <v>356</v>
      </c>
      <c r="B144" s="22">
        <v>3039.0</v>
      </c>
      <c r="C144" s="23" t="str">
        <f>HYPERLINK("http://ecotaxoserver.obs-vlfr.fr/browsetaxo/?id=78396","78396")</f>
        <v>78396</v>
      </c>
      <c r="D144" s="23" t="str">
        <f>HYPERLINK("http://www.marinespecies.org/aphia.php?p=taxdetails&amp;id=106262","106262")</f>
        <v>106262</v>
      </c>
      <c r="E144" s="22" t="s">
        <v>357</v>
      </c>
      <c r="F144" s="22" t="s">
        <v>358</v>
      </c>
      <c r="G144" s="22" t="s">
        <v>94</v>
      </c>
      <c r="H144" s="23" t="str">
        <f>HYPERLINK("http://www.marinespecies.org/aphia.php?p=taxdetails&amp;id=106262","106262")</f>
        <v>106262</v>
      </c>
      <c r="I144" s="22" t="s">
        <v>94</v>
      </c>
      <c r="J144" s="24" t="str">
        <f t="shared" si="2"/>
        <v>!=</v>
      </c>
    </row>
    <row r="145">
      <c r="A145" s="22" t="s">
        <v>359</v>
      </c>
      <c r="B145" s="22">
        <v>20.0</v>
      </c>
      <c r="C145" s="23" t="str">
        <f>HYPERLINK("http://ecotaxoserver.obs-vlfr.fr/browsetaxo/?id=92894","92894")</f>
        <v>92894</v>
      </c>
      <c r="D145" s="23" t="str">
        <f>HYPERLINK("http://www.marinespecies.org/aphia.php?p=taxdetails&amp;id=125576","125576")</f>
        <v>125576</v>
      </c>
      <c r="E145" s="22" t="s">
        <v>132</v>
      </c>
      <c r="F145" s="22" t="s">
        <v>117</v>
      </c>
      <c r="G145" s="22" t="s">
        <v>94</v>
      </c>
      <c r="H145" s="23" t="str">
        <f>HYPERLINK("http://www.marinespecies.org/aphia.php?p=taxdetails&amp;id=125576","125576")</f>
        <v>125576</v>
      </c>
      <c r="I145" s="22" t="s">
        <v>94</v>
      </c>
      <c r="J145" s="24" t="str">
        <f t="shared" si="2"/>
        <v>!=</v>
      </c>
    </row>
    <row r="146">
      <c r="A146" s="22" t="s">
        <v>360</v>
      </c>
      <c r="B146" s="22">
        <v>2.0</v>
      </c>
      <c r="C146" s="23" t="str">
        <f>HYPERLINK("http://ecotaxoserver.obs-vlfr.fr/browsetaxo/?id=93187","93187")</f>
        <v>93187</v>
      </c>
      <c r="D146" s="23" t="str">
        <f>HYPERLINK("http://www.marinespecies.org/aphia.php?p=taxdetails&amp;id=159275","159275")</f>
        <v>159275</v>
      </c>
      <c r="E146" s="22" t="s">
        <v>361</v>
      </c>
      <c r="F146" s="22" t="s">
        <v>361</v>
      </c>
      <c r="G146" s="22" t="s">
        <v>94</v>
      </c>
      <c r="H146" s="23" t="str">
        <f>HYPERLINK("http://www.marinespecies.org/aphia.php?p=taxdetails&amp;id=159275","159275")</f>
        <v>159275</v>
      </c>
      <c r="I146" s="22" t="s">
        <v>94</v>
      </c>
      <c r="J146" s="24" t="str">
        <f t="shared" si="2"/>
        <v/>
      </c>
    </row>
    <row r="147">
      <c r="A147" s="22" t="s">
        <v>362</v>
      </c>
      <c r="B147" s="22">
        <v>2.0</v>
      </c>
      <c r="C147" s="23" t="str">
        <f>HYPERLINK("http://ecotaxoserver.obs-vlfr.fr/browsetaxo/?id=72427","72427")</f>
        <v>72427</v>
      </c>
      <c r="D147" s="23" t="str">
        <f>HYPERLINK("http://www.marinespecies.org/aphia.php?p=taxdetails&amp;id=117107","117107")</f>
        <v>117107</v>
      </c>
      <c r="E147" s="22" t="s">
        <v>363</v>
      </c>
      <c r="F147" s="22" t="s">
        <v>363</v>
      </c>
      <c r="G147" s="22" t="s">
        <v>94</v>
      </c>
      <c r="H147" s="23" t="str">
        <f>HYPERLINK("http://www.marinespecies.org/aphia.php?p=taxdetails&amp;id=117107","117107")</f>
        <v>117107</v>
      </c>
      <c r="I147" s="22" t="s">
        <v>94</v>
      </c>
      <c r="J147" s="24" t="str">
        <f t="shared" si="2"/>
        <v/>
      </c>
    </row>
    <row r="148">
      <c r="A148" s="22" t="s">
        <v>364</v>
      </c>
      <c r="B148" s="22">
        <v>7.0</v>
      </c>
      <c r="C148" s="23" t="str">
        <f>HYPERLINK("http://ecotaxoserver.obs-vlfr.fr/browsetaxo/?id=92766","92766")</f>
        <v>92766</v>
      </c>
      <c r="D148" s="23" t="str">
        <f>HYPERLINK("http://www.marinespecies.org/aphia.php?p=taxdetails&amp;id=117616","117616")</f>
        <v>117616</v>
      </c>
      <c r="E148" s="22" t="s">
        <v>362</v>
      </c>
      <c r="F148" s="22" t="s">
        <v>362</v>
      </c>
      <c r="G148" s="22" t="s">
        <v>94</v>
      </c>
      <c r="H148" s="23" t="str">
        <f>HYPERLINK("http://www.marinespecies.org/aphia.php?p=taxdetails&amp;id=117616","117616")</f>
        <v>117616</v>
      </c>
      <c r="I148" s="22" t="s">
        <v>94</v>
      </c>
      <c r="J148" s="24" t="str">
        <f t="shared" si="2"/>
        <v/>
      </c>
    </row>
    <row r="149">
      <c r="A149" s="22" t="s">
        <v>365</v>
      </c>
      <c r="B149" s="22">
        <v>1.0</v>
      </c>
      <c r="C149" s="23" t="str">
        <f>HYPERLINK("http://ecotaxoserver.obs-vlfr.fr/browsetaxo/?id=51358","51358")</f>
        <v>51358</v>
      </c>
      <c r="D149" s="23" t="str">
        <f>HYPERLINK("http://www.marinespecies.org/aphia.php?p=taxdetails&amp;id=1594","1594")</f>
        <v>1594</v>
      </c>
      <c r="E149" s="22" t="s">
        <v>226</v>
      </c>
      <c r="F149" s="22" t="s">
        <v>366</v>
      </c>
      <c r="G149" s="22" t="s">
        <v>94</v>
      </c>
      <c r="H149" s="23" t="str">
        <f>HYPERLINK("http://www.marinespecies.org/aphia.php?p=taxdetails&amp;id=1594","1594")</f>
        <v>1594</v>
      </c>
      <c r="I149" s="22" t="s">
        <v>94</v>
      </c>
      <c r="J149" s="24" t="str">
        <f t="shared" si="2"/>
        <v>!=</v>
      </c>
    </row>
    <row r="150">
      <c r="A150" s="22" t="s">
        <v>367</v>
      </c>
      <c r="B150" s="22">
        <v>3.0</v>
      </c>
      <c r="C150" s="23" t="str">
        <f>HYPERLINK("http://ecotaxoserver.obs-vlfr.fr/browsetaxo/?id=27189","27189")</f>
        <v>27189</v>
      </c>
      <c r="D150" s="23" t="str">
        <f>HYPERLINK("http://www.marinespecies.org/aphia.php?p=taxdetails&amp;id=134918","134918")</f>
        <v>134918</v>
      </c>
      <c r="E150" s="22" t="s">
        <v>368</v>
      </c>
      <c r="F150" s="22" t="s">
        <v>369</v>
      </c>
      <c r="G150" s="22" t="s">
        <v>94</v>
      </c>
      <c r="H150" s="23" t="str">
        <f>HYPERLINK("http://www.marinespecies.org/aphia.php?p=taxdetails&amp;id=134918","134918")</f>
        <v>134918</v>
      </c>
      <c r="I150" s="22" t="s">
        <v>94</v>
      </c>
      <c r="J150" s="24" t="str">
        <f t="shared" si="2"/>
        <v>!=</v>
      </c>
    </row>
    <row r="151">
      <c r="A151" s="22" t="s">
        <v>370</v>
      </c>
      <c r="B151" s="22">
        <v>165.0</v>
      </c>
      <c r="C151" s="23" t="str">
        <f>HYPERLINK("http://ecotaxoserver.obs-vlfr.fr/browsetaxo/?id=11516","11516")</f>
        <v>11516</v>
      </c>
      <c r="D151" s="23" t="str">
        <f>HYPERLINK("http://www.marinespecies.org/aphia.php?p=taxdetails&amp;id=1803","1803")</f>
        <v>1803</v>
      </c>
      <c r="E151" s="22" t="s">
        <v>223</v>
      </c>
      <c r="F151" s="22" t="s">
        <v>224</v>
      </c>
      <c r="G151" s="22" t="s">
        <v>94</v>
      </c>
      <c r="H151" s="23" t="str">
        <f>HYPERLINK("http://www.marinespecies.org/aphia.php?p=taxdetails&amp;id=1803","1803")</f>
        <v>1803</v>
      </c>
      <c r="I151" s="22" t="s">
        <v>94</v>
      </c>
      <c r="J151" s="24" t="str">
        <f t="shared" si="2"/>
        <v>!=</v>
      </c>
    </row>
    <row r="152">
      <c r="A152" s="22" t="s">
        <v>371</v>
      </c>
      <c r="B152" s="22">
        <v>2788.0</v>
      </c>
      <c r="C152" s="23" t="str">
        <f>HYPERLINK("http://ecotaxoserver.obs-vlfr.fr/browsetaxo/?id=81916","81916")</f>
        <v>81916</v>
      </c>
      <c r="D152" s="23" t="str">
        <f>HYPERLINK("http://www.marinespecies.org/aphia.php?p=taxdetails&amp;id=106673","106673")</f>
        <v>106673</v>
      </c>
      <c r="E152" s="22" t="s">
        <v>113</v>
      </c>
      <c r="F152" s="22" t="s">
        <v>113</v>
      </c>
      <c r="G152" s="22" t="s">
        <v>94</v>
      </c>
      <c r="H152" s="23" t="str">
        <f>HYPERLINK("http://www.marinespecies.org/aphia.php?p=taxdetails&amp;id=106673","106673")</f>
        <v>106673</v>
      </c>
      <c r="I152" s="22" t="s">
        <v>94</v>
      </c>
      <c r="J152" s="24" t="str">
        <f t="shared" si="2"/>
        <v/>
      </c>
    </row>
    <row r="153">
      <c r="A153" s="22" t="s">
        <v>372</v>
      </c>
      <c r="B153" s="22">
        <v>3.0</v>
      </c>
      <c r="C153" s="23" t="str">
        <f>HYPERLINK("http://ecotaxoserver.obs-vlfr.fr/browsetaxo/?id=93249","93249")</f>
        <v>93249</v>
      </c>
      <c r="D153" s="23" t="str">
        <f>HYPERLINK("http://www.marinespecies.org/aphia.php?p=taxdetails&amp;id=125520","125520")</f>
        <v>125520</v>
      </c>
      <c r="E153" s="22" t="s">
        <v>242</v>
      </c>
      <c r="F153" s="22" t="s">
        <v>242</v>
      </c>
      <c r="G153" s="22" t="s">
        <v>94</v>
      </c>
      <c r="H153" s="23" t="str">
        <f>HYPERLINK("http://www.marinespecies.org/aphia.php?p=taxdetails&amp;id=125520","125520")</f>
        <v>125520</v>
      </c>
      <c r="I153" s="22" t="s">
        <v>94</v>
      </c>
      <c r="J153" s="24" t="str">
        <f t="shared" si="2"/>
        <v/>
      </c>
    </row>
    <row r="154">
      <c r="A154" s="22" t="s">
        <v>373</v>
      </c>
      <c r="B154" s="22">
        <v>26.0</v>
      </c>
      <c r="C154" s="23" t="str">
        <f>HYPERLINK("http://ecotaxoserver.obs-vlfr.fr/browsetaxo/?id=25925","25925")</f>
        <v>25925</v>
      </c>
      <c r="D154" s="23" t="str">
        <f>HYPERLINK("http://www.marinespecies.org/aphia.php?p=taxdetails&amp;id=104902","104902")</f>
        <v>104902</v>
      </c>
      <c r="E154" s="22" t="s">
        <v>374</v>
      </c>
      <c r="F154" s="22" t="s">
        <v>375</v>
      </c>
      <c r="G154" s="22" t="s">
        <v>94</v>
      </c>
      <c r="H154" s="23" t="str">
        <f>HYPERLINK("http://www.marinespecies.org/aphia.php?p=taxdetails&amp;id=104902","104902")</f>
        <v>104902</v>
      </c>
      <c r="I154" s="22" t="s">
        <v>94</v>
      </c>
      <c r="J154" s="24" t="str">
        <f t="shared" si="2"/>
        <v>!=</v>
      </c>
    </row>
    <row r="155">
      <c r="A155" s="22" t="s">
        <v>376</v>
      </c>
      <c r="B155" s="22">
        <v>184.0</v>
      </c>
      <c r="C155" s="23" t="str">
        <f>HYPERLINK("http://ecotaxoserver.obs-vlfr.fr/browsetaxo/?id=51173","51173")</f>
        <v>51173</v>
      </c>
      <c r="D155" s="23" t="str">
        <f>HYPERLINK("http://www.marinespecies.org/aphia.php?p=taxdetails&amp;id=104906","104906")</f>
        <v>104906</v>
      </c>
      <c r="E155" s="22" t="s">
        <v>373</v>
      </c>
      <c r="F155" s="22" t="s">
        <v>373</v>
      </c>
      <c r="G155" s="22" t="s">
        <v>94</v>
      </c>
      <c r="H155" s="23" t="str">
        <f>HYPERLINK("http://www.marinespecies.org/aphia.php?p=taxdetails&amp;id=104906","104906")</f>
        <v>104906</v>
      </c>
      <c r="I155" s="22" t="s">
        <v>94</v>
      </c>
      <c r="J155" s="24" t="str">
        <f t="shared" si="2"/>
        <v/>
      </c>
    </row>
    <row r="156">
      <c r="A156" s="22" t="s">
        <v>377</v>
      </c>
      <c r="B156" s="22">
        <v>3555.0</v>
      </c>
      <c r="C156" s="23" t="str">
        <f>HYPERLINK("http://ecotaxoserver.obs-vlfr.fr/browsetaxo/?id=11515","11515")</f>
        <v>11515</v>
      </c>
      <c r="D156" s="23" t="str">
        <f>HYPERLINK("http://www.marinespecies.org/aphia.php?p=taxdetails&amp;id=146142","146142")</f>
        <v>146142</v>
      </c>
      <c r="E156" s="22" t="s">
        <v>223</v>
      </c>
      <c r="F156" s="22" t="s">
        <v>224</v>
      </c>
      <c r="G156" s="22" t="s">
        <v>94</v>
      </c>
      <c r="H156" s="23" t="str">
        <f>HYPERLINK("http://www.marinespecies.org/aphia.php?p=taxdetails&amp;id=146142","146142")</f>
        <v>146142</v>
      </c>
      <c r="I156" s="22" t="s">
        <v>94</v>
      </c>
      <c r="J156" s="24" t="str">
        <f t="shared" si="2"/>
        <v>!=</v>
      </c>
    </row>
    <row r="157">
      <c r="A157" s="22" t="s">
        <v>378</v>
      </c>
      <c r="B157" s="22">
        <v>3.0</v>
      </c>
      <c r="C157" s="23" t="str">
        <f>HYPERLINK("http://ecotaxoserver.obs-vlfr.fr/browsetaxo/?id=56402","56402")</f>
        <v>56402</v>
      </c>
      <c r="D157" s="23" t="str">
        <f>HYPERLINK("http://www.marinespecies.org/aphia.php?p=taxdetails&amp;id=137716","137716")</f>
        <v>137716</v>
      </c>
      <c r="E157" s="22" t="s">
        <v>379</v>
      </c>
      <c r="F157" s="22" t="s">
        <v>379</v>
      </c>
      <c r="G157" s="22" t="s">
        <v>94</v>
      </c>
      <c r="H157" s="23" t="str">
        <f>HYPERLINK("http://www.marinespecies.org/aphia.php?p=taxdetails&amp;id=137716","137716")</f>
        <v>137716</v>
      </c>
      <c r="I157" s="22" t="s">
        <v>94</v>
      </c>
      <c r="J157" s="24" t="str">
        <f t="shared" si="2"/>
        <v/>
      </c>
    </row>
    <row r="158">
      <c r="A158" s="22" t="s">
        <v>380</v>
      </c>
      <c r="B158" s="22">
        <v>1.0</v>
      </c>
      <c r="C158" s="23" t="str">
        <f>HYPERLINK("http://ecotaxoserver.obs-vlfr.fr/browsetaxo/?id=93095","93095")</f>
        <v>93095</v>
      </c>
      <c r="D158" s="23" t="str">
        <f>HYPERLINK("http://www.marinespecies.org/aphia.php?p=taxdetails&amp;id=231542","231542")</f>
        <v>231542</v>
      </c>
      <c r="E158" s="22" t="s">
        <v>366</v>
      </c>
      <c r="F158" s="22" t="s">
        <v>366</v>
      </c>
      <c r="G158" s="22" t="s">
        <v>94</v>
      </c>
      <c r="H158" s="23" t="str">
        <f>HYPERLINK("http://www.marinespecies.org/aphia.php?p=taxdetails&amp;id=231542","231542")</f>
        <v>231542</v>
      </c>
      <c r="I158" s="22" t="s">
        <v>94</v>
      </c>
      <c r="J158" s="24" t="str">
        <f t="shared" si="2"/>
        <v/>
      </c>
    </row>
    <row r="159">
      <c r="A159" s="22" t="s">
        <v>381</v>
      </c>
      <c r="B159" s="22">
        <v>52.0</v>
      </c>
      <c r="C159" s="23" t="str">
        <f>HYPERLINK("http://ecotaxoserver.obs-vlfr.fr/browsetaxo/?id=16803","16803")</f>
        <v>16803</v>
      </c>
      <c r="D159" s="23" t="str">
        <f>HYPERLINK("http://www.marinespecies.org/aphia.php?p=taxdetails&amp;id=224570","224570")</f>
        <v>224570</v>
      </c>
      <c r="E159" s="22" t="s">
        <v>275</v>
      </c>
      <c r="F159" s="22" t="s">
        <v>275</v>
      </c>
      <c r="G159" s="22" t="s">
        <v>94</v>
      </c>
      <c r="H159" s="23" t="str">
        <f>HYPERLINK("http://www.marinespecies.org/aphia.php?p=taxdetails&amp;id=224570","224570")</f>
        <v>224570</v>
      </c>
      <c r="I159" s="22" t="s">
        <v>94</v>
      </c>
      <c r="J159" s="24" t="str">
        <f t="shared" si="2"/>
        <v/>
      </c>
    </row>
    <row r="160">
      <c r="A160" s="22" t="s">
        <v>382</v>
      </c>
      <c r="B160" s="22">
        <v>302257.0</v>
      </c>
      <c r="C160" s="23" t="str">
        <f>HYPERLINK("http://ecotaxoserver.obs-vlfr.fr/browsetaxo/?id=61993","61993")</f>
        <v>61993</v>
      </c>
      <c r="D160" s="23" t="str">
        <f>HYPERLINK("http://www.marinespecies.org/aphia.php?p=taxdetails&amp;id=104079","104079")</f>
        <v>104079</v>
      </c>
      <c r="E160" s="22" t="s">
        <v>111</v>
      </c>
      <c r="F160" s="22" t="s">
        <v>111</v>
      </c>
      <c r="G160" s="22" t="s">
        <v>94</v>
      </c>
      <c r="H160" s="23" t="str">
        <f>HYPERLINK("http://www.marinespecies.org/aphia.php?p=taxdetails&amp;id=104079","104079")</f>
        <v>104079</v>
      </c>
      <c r="I160" s="22" t="s">
        <v>94</v>
      </c>
      <c r="J160" s="24" t="str">
        <f t="shared" si="2"/>
        <v/>
      </c>
    </row>
    <row r="161">
      <c r="A161" s="22" t="s">
        <v>111</v>
      </c>
      <c r="B161" s="22">
        <v>2302097.0</v>
      </c>
      <c r="C161" s="23" t="str">
        <f>HYPERLINK("http://ecotaxoserver.obs-vlfr.fr/browsetaxo/?id=45074","45074")</f>
        <v>45074</v>
      </c>
      <c r="D161" s="23" t="str">
        <f>HYPERLINK("http://www.marinespecies.org/aphia.php?p=taxdetails&amp;id=1100","1100")</f>
        <v>1100</v>
      </c>
      <c r="E161" s="22" t="s">
        <v>383</v>
      </c>
      <c r="F161" s="22" t="s">
        <v>384</v>
      </c>
      <c r="G161" s="22" t="s">
        <v>94</v>
      </c>
      <c r="H161" s="23" t="str">
        <f>HYPERLINK("http://www.marinespecies.org/aphia.php?p=taxdetails&amp;id=1100","1100")</f>
        <v>1100</v>
      </c>
      <c r="I161" s="22" t="s">
        <v>94</v>
      </c>
      <c r="J161" s="24" t="str">
        <f t="shared" si="2"/>
        <v>!=</v>
      </c>
    </row>
    <row r="162">
      <c r="A162" s="22" t="s">
        <v>385</v>
      </c>
      <c r="B162" s="22">
        <v>969.0</v>
      </c>
      <c r="C162" s="23" t="str">
        <f>HYPERLINK("http://ecotaxoserver.obs-vlfr.fr/browsetaxo/?id=80127","80127")</f>
        <v>80127</v>
      </c>
      <c r="D162" s="23" t="str">
        <f>HYPERLINK("http://www.marinespecies.org/aphia.php?p=taxdetails&amp;id=104151","104151")</f>
        <v>104151</v>
      </c>
      <c r="E162" s="22" t="s">
        <v>382</v>
      </c>
      <c r="F162" s="22" t="s">
        <v>382</v>
      </c>
      <c r="G162" s="22" t="s">
        <v>94</v>
      </c>
      <c r="H162" s="23" t="str">
        <f>HYPERLINK("http://www.marinespecies.org/aphia.php?p=taxdetails&amp;id=104151","104151")</f>
        <v>104151</v>
      </c>
      <c r="I162" s="22" t="s">
        <v>94</v>
      </c>
      <c r="J162" s="24" t="str">
        <f t="shared" si="2"/>
        <v/>
      </c>
    </row>
    <row r="163">
      <c r="A163" s="22" t="s">
        <v>386</v>
      </c>
      <c r="B163" s="22">
        <v>78976.0</v>
      </c>
      <c r="C163" s="23" t="str">
        <f>HYPERLINK("http://ecotaxoserver.obs-vlfr.fr/browsetaxo/?id=80126","80126")</f>
        <v>80126</v>
      </c>
      <c r="D163" s="23" t="str">
        <f>HYPERLINK("http://www.marinespecies.org/aphia.php?p=taxdetails&amp;id=104152","104152")</f>
        <v>104152</v>
      </c>
      <c r="E163" s="22" t="s">
        <v>382</v>
      </c>
      <c r="F163" s="22" t="s">
        <v>382</v>
      </c>
      <c r="G163" s="22" t="s">
        <v>94</v>
      </c>
      <c r="H163" s="23" t="str">
        <f>HYPERLINK("http://www.marinespecies.org/aphia.php?p=taxdetails&amp;id=104152","104152")</f>
        <v>104152</v>
      </c>
      <c r="I163" s="22" t="s">
        <v>94</v>
      </c>
      <c r="J163" s="24" t="str">
        <f t="shared" si="2"/>
        <v/>
      </c>
    </row>
    <row r="164">
      <c r="A164" s="22" t="s">
        <v>387</v>
      </c>
      <c r="B164" s="22">
        <v>1.0</v>
      </c>
      <c r="C164" s="23" t="str">
        <f>HYPERLINK("http://ecotaxoserver.obs-vlfr.fr/browsetaxo/?id=92278","92278")</f>
        <v>92278</v>
      </c>
      <c r="D164" s="23" t="str">
        <f>HYPERLINK("http://www.marinespecies.org/aphia.php?p=taxdetails&amp;id=104465","104465")</f>
        <v>104465</v>
      </c>
      <c r="E164" s="22" t="s">
        <v>386</v>
      </c>
      <c r="F164" s="22" t="s">
        <v>386</v>
      </c>
      <c r="G164" s="22" t="s">
        <v>94</v>
      </c>
      <c r="H164" s="23" t="str">
        <f>HYPERLINK("http://www.marinespecies.org/aphia.php?p=taxdetails&amp;id=104465","104465")</f>
        <v>104465</v>
      </c>
      <c r="I164" s="22" t="s">
        <v>94</v>
      </c>
      <c r="J164" s="24" t="str">
        <f t="shared" si="2"/>
        <v/>
      </c>
    </row>
    <row r="165">
      <c r="A165" s="22" t="s">
        <v>388</v>
      </c>
      <c r="B165" s="22">
        <v>360.0</v>
      </c>
      <c r="C165" s="23" t="str">
        <f>HYPERLINK("http://ecotaxoserver.obs-vlfr.fr/browsetaxo/?id=92286","92286")</f>
        <v>92286</v>
      </c>
      <c r="D165" s="23" t="str">
        <f>HYPERLINK("http://www.marinespecies.org/aphia.php?p=taxdetails&amp;id=104467","104467")</f>
        <v>104467</v>
      </c>
      <c r="E165" s="22" t="s">
        <v>386</v>
      </c>
      <c r="F165" s="22" t="s">
        <v>386</v>
      </c>
      <c r="G165" s="22" t="s">
        <v>94</v>
      </c>
      <c r="H165" s="23" t="str">
        <f>HYPERLINK("http://www.marinespecies.org/aphia.php?p=taxdetails&amp;id=104467","104467")</f>
        <v>104467</v>
      </c>
      <c r="I165" s="22" t="s">
        <v>94</v>
      </c>
      <c r="J165" s="24" t="str">
        <f t="shared" si="2"/>
        <v/>
      </c>
    </row>
    <row r="166">
      <c r="A166" s="22" t="s">
        <v>389</v>
      </c>
      <c r="B166" s="22">
        <v>1783.0</v>
      </c>
      <c r="C166" s="23" t="str">
        <f>HYPERLINK("http://ecotaxoserver.obs-vlfr.fr/browsetaxo/?id=82428","82428")</f>
        <v>82428</v>
      </c>
      <c r="D166" s="23" t="str">
        <f>HYPERLINK("http://www.marinespecies.org/aphia.php?p=taxdetails&amp;id=346214","346214")</f>
        <v>346214</v>
      </c>
      <c r="E166" s="22" t="s">
        <v>386</v>
      </c>
      <c r="F166" s="22" t="s">
        <v>386</v>
      </c>
      <c r="G166" s="22" t="s">
        <v>94</v>
      </c>
      <c r="H166" s="23" t="str">
        <f>HYPERLINK("http://www.marinespecies.org/aphia.php?p=taxdetails&amp;id=346214","346214")</f>
        <v>346214</v>
      </c>
      <c r="I166" s="22" t="s">
        <v>94</v>
      </c>
      <c r="J166" s="24" t="str">
        <f t="shared" si="2"/>
        <v/>
      </c>
    </row>
    <row r="167">
      <c r="A167" s="22" t="s">
        <v>390</v>
      </c>
      <c r="B167" s="22">
        <v>1.0</v>
      </c>
      <c r="C167" s="23" t="str">
        <f>HYPERLINK("http://ecotaxoserver.obs-vlfr.fr/browsetaxo/?id=92627","92627")</f>
        <v>92627</v>
      </c>
      <c r="D167" s="23" t="str">
        <f>HYPERLINK("http://www.marinespecies.org/aphia.php?p=taxdetails&amp;id=235923","235923")</f>
        <v>235923</v>
      </c>
      <c r="E167" s="22" t="s">
        <v>128</v>
      </c>
      <c r="F167" s="22" t="s">
        <v>391</v>
      </c>
      <c r="G167" s="22" t="s">
        <v>94</v>
      </c>
      <c r="H167" s="23" t="str">
        <f>HYPERLINK("http://www.marinespecies.org/aphia.php?p=taxdetails&amp;id=235923","235923")</f>
        <v>235923</v>
      </c>
      <c r="I167" s="22" t="s">
        <v>94</v>
      </c>
      <c r="J167" s="24" t="str">
        <f t="shared" si="2"/>
        <v>!=</v>
      </c>
    </row>
    <row r="168">
      <c r="A168" s="22" t="s">
        <v>392</v>
      </c>
      <c r="B168" s="22">
        <v>17.0</v>
      </c>
      <c r="C168" s="23" t="str">
        <f>HYPERLINK("http://ecotaxoserver.obs-vlfr.fr/browsetaxo/?id=62092","62092")</f>
        <v>62092</v>
      </c>
      <c r="D168" s="23" t="str">
        <f>HYPERLINK("http://www.marinespecies.org/aphia.php?p=taxdetails&amp;id=135566","135566")</f>
        <v>135566</v>
      </c>
      <c r="E168" s="22" t="s">
        <v>393</v>
      </c>
      <c r="F168" s="22" t="s">
        <v>394</v>
      </c>
      <c r="G168" s="22" t="s">
        <v>94</v>
      </c>
      <c r="H168" s="23" t="str">
        <f>HYPERLINK("http://www.marinespecies.org/aphia.php?p=taxdetails&amp;id=135566","135566")</f>
        <v>135566</v>
      </c>
      <c r="I168" s="22" t="s">
        <v>94</v>
      </c>
      <c r="J168" s="24" t="str">
        <f t="shared" si="2"/>
        <v>!=</v>
      </c>
    </row>
    <row r="169">
      <c r="A169" s="22" t="s">
        <v>395</v>
      </c>
      <c r="B169" s="22">
        <v>220.0</v>
      </c>
      <c r="C169" s="23" t="str">
        <f>HYPERLINK("http://ecotaxoserver.obs-vlfr.fr/browsetaxo/?id=80273","80273")</f>
        <v>80273</v>
      </c>
      <c r="D169" s="23" t="str">
        <f>HYPERLINK("http://www.marinespecies.org/aphia.php?p=taxdetails&amp;id=135754","135754")</f>
        <v>135754</v>
      </c>
      <c r="E169" s="22" t="s">
        <v>392</v>
      </c>
      <c r="F169" s="22" t="s">
        <v>392</v>
      </c>
      <c r="G169" s="22" t="s">
        <v>94</v>
      </c>
      <c r="H169" s="23" t="str">
        <f>HYPERLINK("http://www.marinespecies.org/aphia.php?p=taxdetails&amp;id=135754","135754")</f>
        <v>135754</v>
      </c>
      <c r="I169" s="22" t="s">
        <v>94</v>
      </c>
      <c r="J169" s="24" t="str">
        <f t="shared" si="2"/>
        <v/>
      </c>
    </row>
    <row r="170">
      <c r="A170" s="22" t="s">
        <v>396</v>
      </c>
      <c r="B170" s="22">
        <v>2.0</v>
      </c>
      <c r="C170" s="23" t="str">
        <f>HYPERLINK("http://ecotaxoserver.obs-vlfr.fr/browsetaxo/?id=92743","92743")</f>
        <v>92743</v>
      </c>
      <c r="D170" s="23" t="str">
        <f>HYPERLINK("http://www.marinespecies.org/aphia.php?p=taxdetails&amp;id=106373","106373")</f>
        <v>106373</v>
      </c>
      <c r="E170" s="22" t="s">
        <v>397</v>
      </c>
      <c r="F170" s="22" t="s">
        <v>397</v>
      </c>
      <c r="G170" s="22" t="s">
        <v>94</v>
      </c>
      <c r="H170" s="23" t="str">
        <f>HYPERLINK("http://www.marinespecies.org/aphia.php?p=taxdetails&amp;id=106373","106373")</f>
        <v>106373</v>
      </c>
      <c r="I170" s="22" t="s">
        <v>94</v>
      </c>
      <c r="J170" s="24" t="str">
        <f t="shared" si="2"/>
        <v/>
      </c>
    </row>
    <row r="171">
      <c r="A171" s="22" t="s">
        <v>398</v>
      </c>
      <c r="B171" s="22">
        <v>11.0</v>
      </c>
      <c r="C171" s="23" t="str">
        <f>HYPERLINK("http://ecotaxoserver.obs-vlfr.fr/browsetaxo/?id=92895","92895")</f>
        <v>92895</v>
      </c>
      <c r="D171" s="23" t="str">
        <f>HYPERLINK("http://www.marinespecies.org/aphia.php?p=taxdetails&amp;id=125522","125522")</f>
        <v>125522</v>
      </c>
      <c r="E171" s="22" t="s">
        <v>132</v>
      </c>
      <c r="F171" s="22" t="s">
        <v>399</v>
      </c>
      <c r="G171" s="22" t="s">
        <v>94</v>
      </c>
      <c r="H171" s="23" t="str">
        <f>HYPERLINK("http://www.marinespecies.org/aphia.php?p=taxdetails&amp;id=125522","125522")</f>
        <v>125522</v>
      </c>
      <c r="I171" s="22" t="s">
        <v>94</v>
      </c>
      <c r="J171" s="24" t="str">
        <f t="shared" si="2"/>
        <v>!=</v>
      </c>
    </row>
    <row r="172">
      <c r="A172" s="22" t="s">
        <v>400</v>
      </c>
      <c r="B172" s="22">
        <v>2969.0</v>
      </c>
      <c r="C172" s="23" t="str">
        <f>HYPERLINK("http://ecotaxoserver.obs-vlfr.fr/browsetaxo/?id=80164","80164")</f>
        <v>80164</v>
      </c>
      <c r="D172" s="23" t="str">
        <f>HYPERLINK("http://www.marinespecies.org/aphia.php?p=taxdetails&amp;id=104193","104193")</f>
        <v>104193</v>
      </c>
      <c r="E172" s="22" t="s">
        <v>122</v>
      </c>
      <c r="F172" s="22" t="s">
        <v>122</v>
      </c>
      <c r="G172" s="22" t="s">
        <v>94</v>
      </c>
      <c r="H172" s="23" t="str">
        <f>HYPERLINK("http://www.marinespecies.org/aphia.php?p=taxdetails&amp;id=104193","104193")</f>
        <v>104193</v>
      </c>
      <c r="I172" s="22" t="s">
        <v>94</v>
      </c>
      <c r="J172" s="24" t="str">
        <f t="shared" si="2"/>
        <v/>
      </c>
    </row>
    <row r="173">
      <c r="A173" s="22" t="s">
        <v>401</v>
      </c>
      <c r="B173" s="22">
        <v>1590.0</v>
      </c>
      <c r="C173" s="23" t="str">
        <f>HYPERLINK("http://ecotaxoserver.obs-vlfr.fr/browsetaxo/?id=82515","82515")</f>
        <v>82515</v>
      </c>
      <c r="D173" s="23" t="str">
        <f>HYPERLINK("http://www.marinespecies.org/aphia.php?p=taxdetails&amp;id=104669","104669")</f>
        <v>104669</v>
      </c>
      <c r="E173" s="22" t="s">
        <v>400</v>
      </c>
      <c r="F173" s="22" t="s">
        <v>400</v>
      </c>
      <c r="G173" s="22" t="s">
        <v>94</v>
      </c>
      <c r="H173" s="23" t="str">
        <f>HYPERLINK("http://www.marinespecies.org/aphia.php?p=taxdetails&amp;id=104669","104669")</f>
        <v>104669</v>
      </c>
      <c r="I173" s="22" t="s">
        <v>94</v>
      </c>
      <c r="J173" s="24" t="str">
        <f t="shared" si="2"/>
        <v/>
      </c>
    </row>
    <row r="174">
      <c r="A174" s="22" t="s">
        <v>402</v>
      </c>
      <c r="B174" s="22">
        <v>1429.0</v>
      </c>
      <c r="C174" s="23" t="str">
        <f>HYPERLINK("http://ecotaxoserver.obs-vlfr.fr/browsetaxo/?id=82514","82514")</f>
        <v>82514</v>
      </c>
      <c r="D174" s="23" t="str">
        <f>HYPERLINK("http://www.marinespecies.org/aphia.php?p=taxdetails&amp;id=211848","211848")</f>
        <v>211848</v>
      </c>
      <c r="E174" s="22" t="s">
        <v>400</v>
      </c>
      <c r="F174" s="22" t="s">
        <v>400</v>
      </c>
      <c r="G174" s="22" t="s">
        <v>94</v>
      </c>
      <c r="H174" s="23" t="str">
        <f>HYPERLINK("http://www.marinespecies.org/aphia.php?p=taxdetails&amp;id=211848","211848")</f>
        <v>211848</v>
      </c>
      <c r="I174" s="22" t="s">
        <v>94</v>
      </c>
      <c r="J174" s="24" t="str">
        <f t="shared" si="2"/>
        <v/>
      </c>
    </row>
    <row r="175">
      <c r="A175" s="22" t="s">
        <v>403</v>
      </c>
      <c r="B175" s="22">
        <v>57.0</v>
      </c>
      <c r="C175" s="23" t="str">
        <f>HYPERLINK("http://ecotaxoserver.obs-vlfr.fr/browsetaxo/?id=87716","87716")</f>
        <v>87716</v>
      </c>
      <c r="D175" s="23" t="str">
        <f>HYPERLINK("http://www.marinespecies.org/aphia.php?p=taxdetails&amp;id=237966","237966")</f>
        <v>237966</v>
      </c>
      <c r="E175" s="22" t="s">
        <v>400</v>
      </c>
      <c r="F175" s="22" t="s">
        <v>400</v>
      </c>
      <c r="G175" s="22" t="s">
        <v>94</v>
      </c>
      <c r="H175" s="23" t="str">
        <f>HYPERLINK("http://www.marinespecies.org/aphia.php?p=taxdetails&amp;id=237966","237966")</f>
        <v>237966</v>
      </c>
      <c r="I175" s="22" t="s">
        <v>94</v>
      </c>
      <c r="J175" s="24" t="str">
        <f t="shared" si="2"/>
        <v/>
      </c>
    </row>
    <row r="176">
      <c r="A176" s="22" t="s">
        <v>96</v>
      </c>
      <c r="B176" s="22">
        <v>1050.0</v>
      </c>
      <c r="C176" s="23" t="str">
        <f>HYPERLINK("http://ecotaxoserver.obs-vlfr.fr/browsetaxo/?id=51383","51383")</f>
        <v>51383</v>
      </c>
      <c r="D176" s="23" t="str">
        <f>HYPERLINK("http://www.marinespecies.org/aphia.php?p=taxdetails&amp;id=135333","135333")</f>
        <v>135333</v>
      </c>
      <c r="E176" s="22" t="s">
        <v>404</v>
      </c>
      <c r="F176" s="22" t="s">
        <v>404</v>
      </c>
      <c r="G176" s="22" t="s">
        <v>94</v>
      </c>
      <c r="H176" s="23" t="str">
        <f>HYPERLINK("http://www.marinespecies.org/aphia.php?p=taxdetails&amp;id=135333","135333")</f>
        <v>135333</v>
      </c>
      <c r="I176" s="22" t="s">
        <v>94</v>
      </c>
      <c r="J176" s="24" t="str">
        <f t="shared" si="2"/>
        <v/>
      </c>
    </row>
    <row r="177">
      <c r="A177" s="22" t="s">
        <v>405</v>
      </c>
      <c r="B177" s="22">
        <v>7.0</v>
      </c>
      <c r="C177" s="23" t="str">
        <f>HYPERLINK("http://ecotaxoserver.obs-vlfr.fr/browsetaxo/?id=13188","13188")</f>
        <v>13188</v>
      </c>
      <c r="D177" s="23" t="str">
        <f>HYPERLINK("http://www.marinespecies.org/aphia.php?p=taxdetails&amp;id=115064","115064")</f>
        <v>115064</v>
      </c>
      <c r="E177" s="22" t="s">
        <v>406</v>
      </c>
      <c r="F177" s="22" t="s">
        <v>406</v>
      </c>
      <c r="G177" s="22" t="s">
        <v>94</v>
      </c>
      <c r="H177" s="23" t="str">
        <f>HYPERLINK("http://www.marinespecies.org/aphia.php?p=taxdetails&amp;id=115064","115064")</f>
        <v>115064</v>
      </c>
      <c r="I177" s="22" t="s">
        <v>94</v>
      </c>
      <c r="J177" s="24" t="str">
        <f t="shared" si="2"/>
        <v/>
      </c>
    </row>
    <row r="178">
      <c r="A178" s="22" t="s">
        <v>407</v>
      </c>
      <c r="B178" s="22">
        <v>2.0</v>
      </c>
      <c r="C178" s="23" t="str">
        <f>HYPERLINK("http://ecotaxoserver.obs-vlfr.fr/browsetaxo/?id=28260","28260")</f>
        <v>28260</v>
      </c>
      <c r="D178" s="23" t="str">
        <f>HYPERLINK("http://www.marinespecies.org/aphia.php?p=taxdetails&amp;id=149356","149356")</f>
        <v>149356</v>
      </c>
      <c r="E178" s="22" t="s">
        <v>281</v>
      </c>
      <c r="F178" s="22" t="s">
        <v>408</v>
      </c>
      <c r="G178" s="22" t="s">
        <v>94</v>
      </c>
      <c r="H178" s="23" t="str">
        <f>HYPERLINK("http://www.marinespecies.org/aphia.php?p=taxdetails&amp;id=149356","149356")</f>
        <v>149356</v>
      </c>
      <c r="I178" s="22" t="s">
        <v>94</v>
      </c>
      <c r="J178" s="24" t="str">
        <f t="shared" si="2"/>
        <v>!=</v>
      </c>
    </row>
    <row r="179">
      <c r="A179" s="22" t="s">
        <v>409</v>
      </c>
      <c r="B179" s="22">
        <v>162.0</v>
      </c>
      <c r="C179" s="23" t="str">
        <f>HYPERLINK("http://ecotaxoserver.obs-vlfr.fr/browsetaxo/?id=80129","80129")</f>
        <v>80129</v>
      </c>
      <c r="D179" s="23" t="str">
        <f>HYPERLINK("http://www.marinespecies.org/aphia.php?p=taxdetails&amp;id=104157","104157")</f>
        <v>104157</v>
      </c>
      <c r="E179" s="22" t="s">
        <v>410</v>
      </c>
      <c r="F179" s="22" t="s">
        <v>410</v>
      </c>
      <c r="G179" s="22" t="s">
        <v>94</v>
      </c>
      <c r="H179" s="23" t="str">
        <f>HYPERLINK("http://www.marinespecies.org/aphia.php?p=taxdetails&amp;id=104157","104157")</f>
        <v>104157</v>
      </c>
      <c r="I179" s="22" t="s">
        <v>94</v>
      </c>
      <c r="J179" s="24" t="str">
        <f t="shared" si="2"/>
        <v/>
      </c>
    </row>
    <row r="180">
      <c r="A180" s="22" t="s">
        <v>411</v>
      </c>
      <c r="B180" s="22">
        <v>2.0</v>
      </c>
      <c r="C180" s="23" t="str">
        <f>HYPERLINK("http://ecotaxoserver.obs-vlfr.fr/browsetaxo/?id=82443","82443")</f>
        <v>82443</v>
      </c>
      <c r="D180" s="23" t="str">
        <f>HYPERLINK("http://www.marinespecies.org/aphia.php?p=taxdetails&amp;id=104483","104483")</f>
        <v>104483</v>
      </c>
      <c r="E180" s="22" t="s">
        <v>409</v>
      </c>
      <c r="F180" s="22" t="s">
        <v>409</v>
      </c>
      <c r="G180" s="22" t="s">
        <v>94</v>
      </c>
      <c r="H180" s="23" t="str">
        <f>HYPERLINK("http://www.marinespecies.org/aphia.php?p=taxdetails&amp;id=104483","104483")</f>
        <v>104483</v>
      </c>
      <c r="I180" s="22" t="s">
        <v>94</v>
      </c>
      <c r="J180" s="24" t="str">
        <f t="shared" si="2"/>
        <v/>
      </c>
    </row>
    <row r="181">
      <c r="A181" s="22" t="s">
        <v>410</v>
      </c>
      <c r="B181" s="22">
        <v>40075.0</v>
      </c>
      <c r="C181" s="23" t="str">
        <f>HYPERLINK("http://ecotaxoserver.obs-vlfr.fr/browsetaxo/?id=61991","61991")</f>
        <v>61991</v>
      </c>
      <c r="D181" s="23" t="str">
        <f>HYPERLINK("http://www.marinespecies.org/aphia.php?p=taxdetails&amp;id=104080","104080")</f>
        <v>104080</v>
      </c>
      <c r="E181" s="22" t="s">
        <v>111</v>
      </c>
      <c r="F181" s="22" t="s">
        <v>111</v>
      </c>
      <c r="G181" s="22" t="s">
        <v>94</v>
      </c>
      <c r="H181" s="23" t="str">
        <f>HYPERLINK("http://www.marinespecies.org/aphia.php?p=taxdetails&amp;id=104080","104080")</f>
        <v>104080</v>
      </c>
      <c r="I181" s="22" t="s">
        <v>94</v>
      </c>
      <c r="J181" s="24" t="str">
        <f t="shared" si="2"/>
        <v/>
      </c>
    </row>
    <row r="182">
      <c r="A182" s="22" t="s">
        <v>412</v>
      </c>
      <c r="B182" s="22">
        <v>3454.0</v>
      </c>
      <c r="C182" s="23" t="str">
        <f>HYPERLINK("http://ecotaxoserver.obs-vlfr.fr/browsetaxo/?id=92043","92043")</f>
        <v>92043</v>
      </c>
      <c r="D182" s="23" t="str">
        <f>HYPERLINK("http://www.marinespecies.org/aphia.php?p=taxdetails&amp;id=367361","367361")</f>
        <v>367361</v>
      </c>
      <c r="E182" s="22" t="s">
        <v>297</v>
      </c>
      <c r="F182" s="22" t="s">
        <v>297</v>
      </c>
      <c r="G182" s="22" t="s">
        <v>94</v>
      </c>
      <c r="H182" s="23" t="str">
        <f>HYPERLINK("http://www.marinespecies.org/aphia.php?p=taxdetails&amp;id=367361","367361")</f>
        <v>367361</v>
      </c>
      <c r="I182" s="22" t="s">
        <v>94</v>
      </c>
      <c r="J182" s="24" t="str">
        <f t="shared" si="2"/>
        <v/>
      </c>
    </row>
    <row r="183">
      <c r="A183" s="22" t="s">
        <v>413</v>
      </c>
      <c r="B183" s="22">
        <v>1.0</v>
      </c>
      <c r="C183" s="23" t="str">
        <f>HYPERLINK("http://ecotaxoserver.obs-vlfr.fr/browsetaxo/?id=93193","93193")</f>
        <v>93193</v>
      </c>
      <c r="D183" s="23" t="str">
        <f>HYPERLINK("http://www.marinespecies.org/aphia.php?p=taxdetails&amp;id=127411","127411")</f>
        <v>127411</v>
      </c>
      <c r="E183" s="22" t="s">
        <v>414</v>
      </c>
      <c r="F183" s="22" t="s">
        <v>414</v>
      </c>
      <c r="G183" s="22" t="s">
        <v>94</v>
      </c>
      <c r="H183" s="23" t="str">
        <f>HYPERLINK("http://www.marinespecies.org/aphia.php?p=taxdetails&amp;id=127411","127411")</f>
        <v>127411</v>
      </c>
      <c r="I183" s="22" t="s">
        <v>94</v>
      </c>
      <c r="J183" s="24" t="str">
        <f t="shared" si="2"/>
        <v/>
      </c>
    </row>
    <row r="184">
      <c r="A184" s="22" t="s">
        <v>415</v>
      </c>
      <c r="B184" s="22">
        <v>56.0</v>
      </c>
      <c r="C184" s="23" t="str">
        <f>HYPERLINK("http://ecotaxoserver.obs-vlfr.fr/browsetaxo/?id=83760","83760")</f>
        <v>83760</v>
      </c>
      <c r="D184" s="23" t="str">
        <f>HYPERLINK("http://www.marinespecies.org/aphia.php?p=taxdetails&amp;id=101361","101361")</f>
        <v>101361</v>
      </c>
      <c r="E184" s="22" t="s">
        <v>416</v>
      </c>
      <c r="F184" s="22" t="s">
        <v>416</v>
      </c>
      <c r="G184" s="22" t="s">
        <v>94</v>
      </c>
      <c r="H184" s="23" t="str">
        <f>HYPERLINK("http://www.marinespecies.org/aphia.php?p=taxdetails&amp;id=101361","101361")</f>
        <v>101361</v>
      </c>
      <c r="I184" s="22" t="s">
        <v>94</v>
      </c>
      <c r="J184" s="24" t="str">
        <f t="shared" si="2"/>
        <v/>
      </c>
    </row>
    <row r="185">
      <c r="A185" s="22" t="s">
        <v>417</v>
      </c>
      <c r="B185" s="22">
        <v>77.0</v>
      </c>
      <c r="C185" s="23" t="str">
        <f>HYPERLINK("http://ecotaxoserver.obs-vlfr.fr/browsetaxo/?id=92896","92896")</f>
        <v>92896</v>
      </c>
      <c r="D185" s="23" t="str">
        <f>HYPERLINK("http://www.marinespecies.org/aphia.php?p=taxdetails&amp;id=125523","125523")</f>
        <v>125523</v>
      </c>
      <c r="E185" s="22" t="s">
        <v>132</v>
      </c>
      <c r="F185" s="22" t="s">
        <v>242</v>
      </c>
      <c r="G185" s="22" t="s">
        <v>94</v>
      </c>
      <c r="H185" s="23" t="str">
        <f>HYPERLINK("http://www.marinespecies.org/aphia.php?p=taxdetails&amp;id=125523","125523")</f>
        <v>125523</v>
      </c>
      <c r="I185" s="22" t="s">
        <v>94</v>
      </c>
      <c r="J185" s="24" t="str">
        <f t="shared" si="2"/>
        <v>!=</v>
      </c>
    </row>
    <row r="186">
      <c r="A186" s="22" t="s">
        <v>418</v>
      </c>
      <c r="B186" s="22">
        <v>1.0</v>
      </c>
      <c r="C186" s="23" t="str">
        <f>HYPERLINK("http://ecotaxoserver.obs-vlfr.fr/browsetaxo/?id=93268","93268")</f>
        <v>93268</v>
      </c>
      <c r="D186" s="23" t="str">
        <f>HYPERLINK("http://www.marinespecies.org/aphia.php?p=taxdetails&amp;id=126802","126802")</f>
        <v>126802</v>
      </c>
      <c r="E186" s="22" t="s">
        <v>419</v>
      </c>
      <c r="F186" s="22" t="s">
        <v>419</v>
      </c>
      <c r="G186" s="22" t="s">
        <v>94</v>
      </c>
      <c r="H186" s="23" t="str">
        <f>HYPERLINK("http://www.marinespecies.org/aphia.php?p=taxdetails&amp;id=126802","126802")</f>
        <v>126802</v>
      </c>
      <c r="I186" s="22" t="s">
        <v>94</v>
      </c>
      <c r="J186" s="24" t="str">
        <f t="shared" si="2"/>
        <v/>
      </c>
    </row>
    <row r="187">
      <c r="A187" s="22" t="s">
        <v>420</v>
      </c>
      <c r="B187" s="22">
        <v>4.0</v>
      </c>
      <c r="C187" s="23" t="str">
        <f>HYPERLINK("http://ecotaxoserver.obs-vlfr.fr/browsetaxo/?id=93142","93142")</f>
        <v>93142</v>
      </c>
      <c r="D187" s="23" t="str">
        <f>HYPERLINK("http://www.marinespecies.org/aphia.php?p=taxdetails&amp;id=125504","125504")</f>
        <v>125504</v>
      </c>
      <c r="E187" s="22" t="s">
        <v>421</v>
      </c>
      <c r="F187" s="22" t="s">
        <v>421</v>
      </c>
      <c r="G187" s="22" t="s">
        <v>94</v>
      </c>
      <c r="H187" s="23" t="str">
        <f>HYPERLINK("http://www.marinespecies.org/aphia.php?p=taxdetails&amp;id=125504","125504")</f>
        <v>125504</v>
      </c>
      <c r="I187" s="22" t="s">
        <v>94</v>
      </c>
      <c r="J187" s="24" t="str">
        <f t="shared" si="2"/>
        <v/>
      </c>
    </row>
    <row r="188">
      <c r="A188" s="22" t="s">
        <v>422</v>
      </c>
      <c r="B188" s="22">
        <v>1.0</v>
      </c>
      <c r="C188" s="23" t="str">
        <f>HYPERLINK("http://ecotaxoserver.obs-vlfr.fr/browsetaxo/?id=93226","93226")</f>
        <v>93226</v>
      </c>
      <c r="D188" s="23" t="str">
        <f>HYPERLINK("http://www.marinespecies.org/aphia.php?p=taxdetails&amp;id=225068","225068")</f>
        <v>225068</v>
      </c>
      <c r="E188" s="22" t="s">
        <v>423</v>
      </c>
      <c r="F188" s="22" t="s">
        <v>423</v>
      </c>
      <c r="G188" s="22" t="s">
        <v>94</v>
      </c>
      <c r="H188" s="23" t="str">
        <f>HYPERLINK("http://www.marinespecies.org/aphia.php?p=taxdetails&amp;id=225068","225068")</f>
        <v>225068</v>
      </c>
      <c r="I188" s="22" t="s">
        <v>94</v>
      </c>
      <c r="J188" s="24" t="str">
        <f t="shared" si="2"/>
        <v/>
      </c>
    </row>
    <row r="189">
      <c r="A189" s="22" t="s">
        <v>424</v>
      </c>
      <c r="B189" s="22">
        <v>5742.0</v>
      </c>
      <c r="C189" s="23" t="str">
        <f>HYPERLINK("http://ecotaxoserver.obs-vlfr.fr/browsetaxo/?id=81911","81911")</f>
        <v>81911</v>
      </c>
      <c r="D189" s="23" t="str">
        <f>HYPERLINK("http://www.marinespecies.org/aphia.php?p=taxdetails&amp;id=106674","106674")</f>
        <v>106674</v>
      </c>
      <c r="E189" s="22" t="s">
        <v>113</v>
      </c>
      <c r="F189" s="22" t="s">
        <v>113</v>
      </c>
      <c r="G189" s="22" t="s">
        <v>94</v>
      </c>
      <c r="H189" s="23" t="str">
        <f>HYPERLINK("http://www.marinespecies.org/aphia.php?p=taxdetails&amp;id=106674","106674")</f>
        <v>106674</v>
      </c>
      <c r="I189" s="22" t="s">
        <v>94</v>
      </c>
      <c r="J189" s="24" t="str">
        <f t="shared" si="2"/>
        <v/>
      </c>
    </row>
    <row r="190">
      <c r="A190" s="22" t="s">
        <v>425</v>
      </c>
      <c r="B190" s="22">
        <v>2372.0</v>
      </c>
      <c r="C190" s="23" t="str">
        <f>HYPERLINK("http://ecotaxoserver.obs-vlfr.fr/browsetaxo/?id=92776","92776")</f>
        <v>92776</v>
      </c>
      <c r="D190" s="23" t="str">
        <f>HYPERLINK("http://www.marinespecies.org/aphia.php?p=taxdetails&amp;id=367364","367364")</f>
        <v>367364</v>
      </c>
      <c r="E190" s="22" t="s">
        <v>426</v>
      </c>
      <c r="F190" s="22" t="s">
        <v>427</v>
      </c>
      <c r="G190" s="22" t="s">
        <v>94</v>
      </c>
      <c r="H190" s="23" t="str">
        <f>HYPERLINK("http://www.marinespecies.org/aphia.php?p=taxdetails&amp;id=367364","367364")</f>
        <v>367364</v>
      </c>
      <c r="I190" s="22" t="s">
        <v>94</v>
      </c>
      <c r="J190" s="24" t="str">
        <f t="shared" si="2"/>
        <v>!=</v>
      </c>
    </row>
    <row r="191">
      <c r="A191" s="22" t="s">
        <v>428</v>
      </c>
      <c r="B191" s="22">
        <v>755.0</v>
      </c>
      <c r="C191" s="23" t="str">
        <f>HYPERLINK("http://ecotaxoserver.obs-vlfr.fr/browsetaxo/?id=56459","56459")</f>
        <v>56459</v>
      </c>
      <c r="D191" s="23" t="str">
        <f>HYPERLINK("http://www.marinespecies.org/aphia.php?p=taxdetails&amp;id=137750","137750")</f>
        <v>137750</v>
      </c>
      <c r="E191" s="22" t="s">
        <v>429</v>
      </c>
      <c r="F191" s="22" t="s">
        <v>429</v>
      </c>
      <c r="G191" s="22" t="s">
        <v>94</v>
      </c>
      <c r="H191" s="23" t="str">
        <f>HYPERLINK("http://www.marinespecies.org/aphia.php?p=taxdetails&amp;id=137750","137750")</f>
        <v>137750</v>
      </c>
      <c r="I191" s="22" t="s">
        <v>94</v>
      </c>
      <c r="J191" s="24" t="str">
        <f t="shared" si="2"/>
        <v/>
      </c>
    </row>
    <row r="192">
      <c r="A192" s="22" t="s">
        <v>430</v>
      </c>
      <c r="B192" s="22">
        <v>26315.0</v>
      </c>
      <c r="C192" s="23" t="str">
        <f>HYPERLINK("http://ecotaxoserver.obs-vlfr.fr/browsetaxo/?id=74144","74144")</f>
        <v>74144</v>
      </c>
      <c r="D192" s="23" t="str">
        <f>HYPERLINK("http://www.marinespecies.org/aphia.php?p=taxdetails&amp;id=139029","139029")</f>
        <v>139029</v>
      </c>
      <c r="E192" s="22" t="s">
        <v>428</v>
      </c>
      <c r="F192" s="22" t="s">
        <v>428</v>
      </c>
      <c r="G192" s="22" t="s">
        <v>94</v>
      </c>
      <c r="H192" s="23" t="str">
        <f>HYPERLINK("http://www.marinespecies.org/aphia.php?p=taxdetails&amp;id=139029","139029")</f>
        <v>139029</v>
      </c>
      <c r="I192" s="22" t="s">
        <v>94</v>
      </c>
      <c r="J192" s="24" t="str">
        <f t="shared" si="2"/>
        <v/>
      </c>
    </row>
    <row r="193">
      <c r="A193" s="22" t="s">
        <v>431</v>
      </c>
      <c r="B193" s="22">
        <v>3.0</v>
      </c>
      <c r="C193" s="23" t="str">
        <f>HYPERLINK("http://ecotaxoserver.obs-vlfr.fr/browsetaxo/?id=93115","93115")</f>
        <v>93115</v>
      </c>
      <c r="D193" s="23" t="str">
        <f>HYPERLINK("http://www.marinespecies.org/aphia.php?p=taxdetails&amp;id=139030","139030")</f>
        <v>139030</v>
      </c>
      <c r="E193" s="22" t="s">
        <v>428</v>
      </c>
      <c r="F193" s="22" t="s">
        <v>428</v>
      </c>
      <c r="G193" s="22" t="s">
        <v>94</v>
      </c>
      <c r="H193" s="23" t="str">
        <f>HYPERLINK("http://www.marinespecies.org/aphia.php?p=taxdetails&amp;id=139030","139030")</f>
        <v>139030</v>
      </c>
      <c r="I193" s="22" t="s">
        <v>94</v>
      </c>
      <c r="J193" s="24" t="str">
        <f t="shared" si="2"/>
        <v/>
      </c>
    </row>
    <row r="194">
      <c r="A194" s="22" t="s">
        <v>429</v>
      </c>
      <c r="B194" s="22">
        <v>4303.0</v>
      </c>
      <c r="C194" s="23" t="str">
        <f>HYPERLINK("http://ecotaxoserver.obs-vlfr.fr/browsetaxo/?id=26480","26480")</f>
        <v>26480</v>
      </c>
      <c r="D194" s="23" t="str">
        <f>HYPERLINK("http://www.marinespecies.org/aphia.php?p=taxdetails&amp;id=23000","23000")</f>
        <v>23000</v>
      </c>
      <c r="E194" s="22" t="s">
        <v>432</v>
      </c>
      <c r="F194" s="22" t="s">
        <v>433</v>
      </c>
      <c r="G194" s="22" t="s">
        <v>94</v>
      </c>
      <c r="H194" s="23" t="str">
        <f>HYPERLINK("http://www.marinespecies.org/aphia.php?p=taxdetails&amp;id=23000","23000")</f>
        <v>23000</v>
      </c>
      <c r="I194" s="22" t="s">
        <v>94</v>
      </c>
      <c r="J194" s="24" t="str">
        <f t="shared" si="2"/>
        <v>!=</v>
      </c>
    </row>
    <row r="195">
      <c r="A195" s="22" t="s">
        <v>434</v>
      </c>
      <c r="B195" s="22">
        <v>315563.0</v>
      </c>
      <c r="C195" s="23" t="str">
        <f>HYPERLINK("http://ecotaxoserver.obs-vlfr.fr/browsetaxo/?id=80133","80133")</f>
        <v>80133</v>
      </c>
      <c r="D195" s="23" t="str">
        <f>HYPERLINK("http://www.marinespecies.org/aphia.php?p=taxdetails&amp;id=104159","104159")</f>
        <v>104159</v>
      </c>
      <c r="E195" s="22" t="s">
        <v>435</v>
      </c>
      <c r="F195" s="22" t="s">
        <v>435</v>
      </c>
      <c r="G195" s="22" t="s">
        <v>94</v>
      </c>
      <c r="H195" s="23" t="str">
        <f>HYPERLINK("http://www.marinespecies.org/aphia.php?p=taxdetails&amp;id=104159","104159")</f>
        <v>104159</v>
      </c>
      <c r="I195" s="22" t="s">
        <v>94</v>
      </c>
      <c r="J195" s="24" t="str">
        <f t="shared" si="2"/>
        <v/>
      </c>
    </row>
    <row r="196">
      <c r="A196" s="22" t="s">
        <v>436</v>
      </c>
      <c r="B196" s="22">
        <v>6288.0</v>
      </c>
      <c r="C196" s="23" t="str">
        <f>HYPERLINK("http://ecotaxoserver.obs-vlfr.fr/browsetaxo/?id=82454","82454")</f>
        <v>82454</v>
      </c>
      <c r="D196" s="23" t="str">
        <f>HYPERLINK("http://www.marinespecies.org/aphia.php?p=taxdetails&amp;id=196774","196774")</f>
        <v>196774</v>
      </c>
      <c r="E196" s="22" t="s">
        <v>434</v>
      </c>
      <c r="F196" s="22" t="s">
        <v>434</v>
      </c>
      <c r="G196" s="22" t="s">
        <v>94</v>
      </c>
      <c r="H196" s="23" t="str">
        <f>HYPERLINK("http://www.marinespecies.org/aphia.php?p=taxdetails&amp;id=196774","196774")</f>
        <v>196774</v>
      </c>
      <c r="I196" s="22" t="s">
        <v>94</v>
      </c>
      <c r="J196" s="24" t="str">
        <f t="shared" si="2"/>
        <v/>
      </c>
    </row>
    <row r="197">
      <c r="A197" s="22" t="s">
        <v>437</v>
      </c>
      <c r="B197" s="22">
        <v>207.0</v>
      </c>
      <c r="C197" s="23" t="str">
        <f>HYPERLINK("http://ecotaxoserver.obs-vlfr.fr/browsetaxo/?id=82448","82448")</f>
        <v>82448</v>
      </c>
      <c r="D197" s="23" t="str">
        <f>HYPERLINK("http://www.marinespecies.org/aphia.php?p=taxdetails&amp;id=104496","104496")</f>
        <v>104496</v>
      </c>
      <c r="E197" s="22" t="s">
        <v>434</v>
      </c>
      <c r="F197" s="22" t="s">
        <v>434</v>
      </c>
      <c r="G197" s="22" t="s">
        <v>94</v>
      </c>
      <c r="H197" s="23" t="str">
        <f>HYPERLINK("http://www.marinespecies.org/aphia.php?p=taxdetails&amp;id=104496","104496")</f>
        <v>104496</v>
      </c>
      <c r="I197" s="22" t="s">
        <v>94</v>
      </c>
      <c r="J197" s="24" t="str">
        <f t="shared" si="2"/>
        <v/>
      </c>
    </row>
    <row r="198">
      <c r="A198" s="22" t="s">
        <v>438</v>
      </c>
      <c r="B198" s="22">
        <v>53.0</v>
      </c>
      <c r="C198" s="23" t="str">
        <f>HYPERLINK("http://ecotaxoserver.obs-vlfr.fr/browsetaxo/?id=82451","82451")</f>
        <v>82451</v>
      </c>
      <c r="D198" s="23" t="str">
        <f>HYPERLINK("http://www.marinespecies.org/aphia.php?p=taxdetails&amp;id=104499","104499")</f>
        <v>104499</v>
      </c>
      <c r="E198" s="22" t="s">
        <v>434</v>
      </c>
      <c r="F198" s="22" t="s">
        <v>434</v>
      </c>
      <c r="G198" s="22" t="s">
        <v>94</v>
      </c>
      <c r="H198" s="23" t="str">
        <f>HYPERLINK("http://www.marinespecies.org/aphia.php?p=taxdetails&amp;id=104499","104499")</f>
        <v>104499</v>
      </c>
      <c r="I198" s="22" t="s">
        <v>94</v>
      </c>
      <c r="J198" s="24" t="str">
        <f t="shared" si="2"/>
        <v/>
      </c>
    </row>
    <row r="199">
      <c r="A199" s="22" t="s">
        <v>439</v>
      </c>
      <c r="B199" s="22">
        <v>55.0</v>
      </c>
      <c r="C199" s="23" t="str">
        <f>HYPERLINK("http://ecotaxoserver.obs-vlfr.fr/browsetaxo/?id=82450","82450")</f>
        <v>82450</v>
      </c>
      <c r="D199" s="23" t="str">
        <f>HYPERLINK("http://www.marinespecies.org/aphia.php?p=taxdetails&amp;id=104500","104500")</f>
        <v>104500</v>
      </c>
      <c r="E199" s="22" t="s">
        <v>434</v>
      </c>
      <c r="F199" s="22" t="s">
        <v>434</v>
      </c>
      <c r="G199" s="22" t="s">
        <v>94</v>
      </c>
      <c r="H199" s="23" t="str">
        <f>HYPERLINK("http://www.marinespecies.org/aphia.php?p=taxdetails&amp;id=104500","104500")</f>
        <v>104500</v>
      </c>
      <c r="I199" s="22" t="s">
        <v>94</v>
      </c>
      <c r="J199" s="24" t="str">
        <f t="shared" si="2"/>
        <v/>
      </c>
    </row>
    <row r="200">
      <c r="A200" s="22" t="s">
        <v>435</v>
      </c>
      <c r="B200" s="22">
        <v>173380.0</v>
      </c>
      <c r="C200" s="23" t="str">
        <f>HYPERLINK("http://ecotaxoserver.obs-vlfr.fr/browsetaxo/?id=61990","61990")</f>
        <v>61990</v>
      </c>
      <c r="D200" s="23" t="str">
        <f>HYPERLINK("http://www.marinespecies.org/aphia.php?p=taxdetails&amp;id=104081","104081")</f>
        <v>104081</v>
      </c>
      <c r="E200" s="22" t="s">
        <v>111</v>
      </c>
      <c r="F200" s="22" t="s">
        <v>111</v>
      </c>
      <c r="G200" s="22" t="s">
        <v>94</v>
      </c>
      <c r="H200" s="23" t="str">
        <f>HYPERLINK("http://www.marinespecies.org/aphia.php?p=taxdetails&amp;id=104081","104081")</f>
        <v>104081</v>
      </c>
      <c r="I200" s="22" t="s">
        <v>94</v>
      </c>
      <c r="J200" s="24" t="str">
        <f t="shared" si="2"/>
        <v/>
      </c>
    </row>
    <row r="201">
      <c r="A201" s="22" t="s">
        <v>440</v>
      </c>
      <c r="B201" s="22">
        <v>1.0</v>
      </c>
      <c r="C201" s="23" t="str">
        <f>HYPERLINK("http://ecotaxoserver.obs-vlfr.fr/browsetaxo/?id=93278","93278")</f>
        <v>93278</v>
      </c>
      <c r="D201" s="23" t="str">
        <f>HYPERLINK("http://www.marinespecies.org/aphia.php?p=taxdetails&amp;id=278827","278827")</f>
        <v>278827</v>
      </c>
      <c r="E201" s="22" t="s">
        <v>441</v>
      </c>
      <c r="F201" s="22" t="s">
        <v>441</v>
      </c>
      <c r="G201" s="22" t="s">
        <v>94</v>
      </c>
      <c r="H201" s="23" t="str">
        <f>HYPERLINK("http://www.marinespecies.org/aphia.php?p=taxdetails&amp;id=278827","278827")</f>
        <v>278827</v>
      </c>
      <c r="I201" s="22" t="s">
        <v>94</v>
      </c>
      <c r="J201" s="24" t="str">
        <f t="shared" si="2"/>
        <v/>
      </c>
    </row>
    <row r="202">
      <c r="A202" s="22" t="s">
        <v>442</v>
      </c>
      <c r="B202" s="22">
        <v>171.0</v>
      </c>
      <c r="C202" s="23" t="str">
        <f>HYPERLINK("http://ecotaxoserver.obs-vlfr.fr/browsetaxo/?id=12862","12862")</f>
        <v>12862</v>
      </c>
      <c r="D202" s="23" t="str">
        <f>HYPERLINK("http://www.marinespecies.org/aphia.php?p=taxdetails&amp;id=1824","1824")</f>
        <v>1824</v>
      </c>
      <c r="E202" s="22" t="s">
        <v>443</v>
      </c>
      <c r="F202" s="22" t="s">
        <v>443</v>
      </c>
      <c r="G202" s="22" t="s">
        <v>94</v>
      </c>
      <c r="H202" s="23" t="str">
        <f>HYPERLINK("http://www.marinespecies.org/aphia.php?p=taxdetails&amp;id=1824","1824")</f>
        <v>1824</v>
      </c>
      <c r="I202" s="22" t="s">
        <v>94</v>
      </c>
      <c r="J202" s="24" t="str">
        <f t="shared" si="2"/>
        <v/>
      </c>
    </row>
    <row r="203">
      <c r="A203" s="22" t="s">
        <v>444</v>
      </c>
      <c r="B203" s="22">
        <v>375.0</v>
      </c>
      <c r="C203" s="23" t="str">
        <f>HYPERLINK("http://ecotaxoserver.obs-vlfr.fr/browsetaxo/?id=12906","12906")</f>
        <v>12906</v>
      </c>
      <c r="D203" s="23" t="str">
        <f>HYPERLINK("http://www.marinespecies.org/aphia.php?p=taxdetails&amp;id=11707","11707")</f>
        <v>11707</v>
      </c>
      <c r="E203" s="22" t="s">
        <v>445</v>
      </c>
      <c r="F203" s="22" t="s">
        <v>445</v>
      </c>
      <c r="G203" s="22" t="s">
        <v>94</v>
      </c>
      <c r="H203" s="23" t="str">
        <f>HYPERLINK("http://www.marinespecies.org/aphia.php?p=taxdetails&amp;id=11707","11707")</f>
        <v>11707</v>
      </c>
      <c r="I203" s="22" t="s">
        <v>94</v>
      </c>
      <c r="J203" s="24" t="str">
        <f t="shared" si="2"/>
        <v/>
      </c>
    </row>
    <row r="204">
      <c r="A204" s="22" t="s">
        <v>446</v>
      </c>
      <c r="B204" s="22">
        <v>3.0</v>
      </c>
      <c r="C204" s="23" t="str">
        <f>HYPERLINK("http://ecotaxoserver.obs-vlfr.fr/browsetaxo/?id=93234","93234")</f>
        <v>93234</v>
      </c>
      <c r="D204" s="23" t="str">
        <f>HYPERLINK("http://www.marinespecies.org/aphia.php?p=taxdetails&amp;id=140776","140776")</f>
        <v>140776</v>
      </c>
      <c r="E204" s="22" t="s">
        <v>447</v>
      </c>
      <c r="F204" s="22" t="s">
        <v>447</v>
      </c>
      <c r="G204" s="22" t="s">
        <v>94</v>
      </c>
      <c r="H204" s="23" t="str">
        <f>HYPERLINK("http://www.marinespecies.org/aphia.php?p=taxdetails&amp;id=140776","140776")</f>
        <v>140776</v>
      </c>
      <c r="I204" s="22" t="s">
        <v>94</v>
      </c>
      <c r="J204" s="24" t="str">
        <f t="shared" si="2"/>
        <v/>
      </c>
    </row>
    <row r="205">
      <c r="A205" s="22" t="s">
        <v>448</v>
      </c>
      <c r="B205" s="22">
        <v>2.0</v>
      </c>
      <c r="C205" s="23" t="str">
        <f>HYPERLINK("http://ecotaxoserver.obs-vlfr.fr/browsetaxo/?id=83835","83835")</f>
        <v>83835</v>
      </c>
      <c r="D205" s="23" t="str">
        <f>HYPERLINK("http://www.marinespecies.org/aphia.php?p=taxdetails&amp;id=589793","589793")</f>
        <v>589793</v>
      </c>
      <c r="E205" s="22" t="s">
        <v>449</v>
      </c>
      <c r="F205" s="22" t="s">
        <v>449</v>
      </c>
      <c r="G205" s="22" t="s">
        <v>94</v>
      </c>
      <c r="H205" s="23" t="str">
        <f>HYPERLINK("http://www.marinespecies.org/aphia.php?p=taxdetails&amp;id=589793","589793")</f>
        <v>589793</v>
      </c>
      <c r="I205" s="22" t="s">
        <v>94</v>
      </c>
      <c r="J205" s="24" t="str">
        <f t="shared" si="2"/>
        <v/>
      </c>
    </row>
    <row r="206">
      <c r="A206" s="22" t="s">
        <v>450</v>
      </c>
      <c r="B206" s="22">
        <v>6.0</v>
      </c>
      <c r="C206" s="23" t="str">
        <f>HYPERLINK("http://ecotaxoserver.obs-vlfr.fr/browsetaxo/?id=28259","28259")</f>
        <v>28259</v>
      </c>
      <c r="D206" s="23" t="str">
        <f>HYPERLINK("http://www.marinespecies.org/aphia.php?p=taxdetails&amp;id=149236","149236")</f>
        <v>149236</v>
      </c>
      <c r="E206" s="22" t="s">
        <v>281</v>
      </c>
      <c r="F206" s="22" t="s">
        <v>451</v>
      </c>
      <c r="G206" s="22" t="s">
        <v>94</v>
      </c>
      <c r="H206" s="23" t="str">
        <f>HYPERLINK("http://www.marinespecies.org/aphia.php?p=taxdetails&amp;id=149236","149236")</f>
        <v>149236</v>
      </c>
      <c r="I206" s="22" t="s">
        <v>94</v>
      </c>
      <c r="J206" s="24" t="str">
        <f t="shared" si="2"/>
        <v>!=</v>
      </c>
    </row>
    <row r="207">
      <c r="A207" s="22" t="s">
        <v>452</v>
      </c>
      <c r="B207" s="22">
        <v>14.0</v>
      </c>
      <c r="C207" s="23" t="str">
        <f>HYPERLINK("http://ecotaxoserver.obs-vlfr.fr/browsetaxo/?id=18806","18806")</f>
        <v>18806</v>
      </c>
      <c r="D207" s="23" t="str">
        <f>HYPERLINK("http://www.marinespecies.org/aphia.php?p=taxdetails&amp;id=109421","109421")</f>
        <v>109421</v>
      </c>
      <c r="E207" s="22" t="s">
        <v>453</v>
      </c>
      <c r="F207" s="22" t="s">
        <v>453</v>
      </c>
      <c r="G207" s="22" t="s">
        <v>94</v>
      </c>
      <c r="H207" s="23" t="str">
        <f>HYPERLINK("http://www.marinespecies.org/aphia.php?p=taxdetails&amp;id=109421","109421")</f>
        <v>109421</v>
      </c>
      <c r="I207" s="22" t="s">
        <v>94</v>
      </c>
      <c r="J207" s="24" t="str">
        <f t="shared" si="2"/>
        <v/>
      </c>
    </row>
    <row r="208">
      <c r="A208" s="22" t="s">
        <v>454</v>
      </c>
      <c r="B208" s="22">
        <v>5578.0</v>
      </c>
      <c r="C208" s="23" t="str">
        <f>HYPERLINK("http://ecotaxoserver.obs-vlfr.fr/browsetaxo/?id=85708","85708")</f>
        <v>85708</v>
      </c>
      <c r="D208" s="23" t="str">
        <f>HYPERLINK("http://www.marinespecies.org/aphia.php?p=taxdetails&amp;id=109506","109506")</f>
        <v>109506</v>
      </c>
      <c r="E208" s="22" t="s">
        <v>452</v>
      </c>
      <c r="F208" s="22" t="s">
        <v>452</v>
      </c>
      <c r="G208" s="22" t="s">
        <v>94</v>
      </c>
      <c r="H208" s="23" t="str">
        <f>HYPERLINK("http://www.marinespecies.org/aphia.php?p=taxdetails&amp;id=109506","109506")</f>
        <v>109506</v>
      </c>
      <c r="I208" s="22" t="s">
        <v>94</v>
      </c>
      <c r="J208" s="24" t="str">
        <f t="shared" si="2"/>
        <v/>
      </c>
    </row>
    <row r="209">
      <c r="A209" s="22" t="s">
        <v>455</v>
      </c>
      <c r="B209" s="22">
        <v>231.0</v>
      </c>
      <c r="C209" s="23" t="str">
        <f>HYPERLINK("http://ecotaxoserver.obs-vlfr.fr/browsetaxo/?id=31677","31677")</f>
        <v>31677</v>
      </c>
      <c r="D209" s="23" t="str">
        <f>HYPERLINK("http://www.marinespecies.org/aphia.php?p=taxdetails&amp;id=109507","109507")</f>
        <v>109507</v>
      </c>
      <c r="E209" s="22" t="s">
        <v>456</v>
      </c>
      <c r="F209" s="22" t="s">
        <v>456</v>
      </c>
      <c r="G209" s="22" t="s">
        <v>94</v>
      </c>
      <c r="H209" s="23" t="str">
        <f>HYPERLINK("http://www.marinespecies.org/aphia.php?p=taxdetails&amp;id=109507","109507")</f>
        <v>109507</v>
      </c>
      <c r="I209" s="22" t="s">
        <v>94</v>
      </c>
      <c r="J209" s="24" t="str">
        <f t="shared" si="2"/>
        <v/>
      </c>
    </row>
    <row r="210">
      <c r="A210" s="22" t="s">
        <v>457</v>
      </c>
      <c r="B210" s="22">
        <v>5.0</v>
      </c>
      <c r="C210" s="23" t="str">
        <f>HYPERLINK("http://ecotaxoserver.obs-vlfr.fr/browsetaxo/?id=92424","92424")</f>
        <v>92424</v>
      </c>
      <c r="D210" s="23" t="str">
        <f>HYPERLINK("http://www.marinespecies.org/aphia.php?p=taxdetails&amp;id=109985","109985")</f>
        <v>109985</v>
      </c>
      <c r="E210" s="22" t="s">
        <v>128</v>
      </c>
      <c r="F210" s="22" t="s">
        <v>455</v>
      </c>
      <c r="G210" s="22" t="s">
        <v>94</v>
      </c>
      <c r="H210" s="23" t="str">
        <f>HYPERLINK("http://www.marinespecies.org/aphia.php?p=taxdetails&amp;id=109985","109985")</f>
        <v>109985</v>
      </c>
      <c r="I210" s="22" t="s">
        <v>94</v>
      </c>
      <c r="J210" s="24" t="str">
        <f t="shared" si="2"/>
        <v>!=</v>
      </c>
    </row>
    <row r="211">
      <c r="A211" s="22" t="s">
        <v>458</v>
      </c>
      <c r="B211" s="22">
        <v>618.0</v>
      </c>
      <c r="C211" s="23" t="str">
        <f>HYPERLINK("http://ecotaxoserver.obs-vlfr.fr/browsetaxo/?id=58229","58229")</f>
        <v>58229</v>
      </c>
      <c r="D211" s="23" t="str">
        <f>HYPERLINK("http://www.marinespecies.org/aphia.php?p=taxdetails&amp;id=109986","109986")</f>
        <v>109986</v>
      </c>
      <c r="E211" s="22" t="s">
        <v>455</v>
      </c>
      <c r="F211" s="22" t="s">
        <v>455</v>
      </c>
      <c r="G211" s="22" t="s">
        <v>94</v>
      </c>
      <c r="H211" s="23" t="str">
        <f>HYPERLINK("http://www.marinespecies.org/aphia.php?p=taxdetails&amp;id=109986","109986")</f>
        <v>109986</v>
      </c>
      <c r="I211" s="22" t="s">
        <v>94</v>
      </c>
      <c r="J211" s="24" t="str">
        <f t="shared" si="2"/>
        <v/>
      </c>
    </row>
    <row r="212">
      <c r="A212" s="22" t="s">
        <v>459</v>
      </c>
      <c r="B212" s="22">
        <v>1.0</v>
      </c>
      <c r="C212" s="23" t="str">
        <f>HYPERLINK("http://ecotaxoserver.obs-vlfr.fr/browsetaxo/?id=93206","93206")</f>
        <v>93206</v>
      </c>
      <c r="D212" s="23" t="str">
        <f>HYPERLINK("http://www.marinespecies.org/aphia.php?p=taxdetails&amp;id=135354","135354")</f>
        <v>135354</v>
      </c>
      <c r="E212" s="22" t="s">
        <v>93</v>
      </c>
      <c r="F212" s="22" t="s">
        <v>93</v>
      </c>
      <c r="G212" s="22" t="s">
        <v>94</v>
      </c>
      <c r="H212" s="23" t="str">
        <f>HYPERLINK("http://www.marinespecies.org/aphia.php?p=taxdetails&amp;id=135354","135354")</f>
        <v>135354</v>
      </c>
      <c r="I212" s="22" t="s">
        <v>94</v>
      </c>
      <c r="J212" s="24" t="str">
        <f t="shared" si="2"/>
        <v/>
      </c>
    </row>
    <row r="213">
      <c r="A213" s="22" t="s">
        <v>244</v>
      </c>
      <c r="B213" s="22">
        <v>6.0</v>
      </c>
      <c r="C213" s="23" t="str">
        <f>HYPERLINK("http://ecotaxoserver.obs-vlfr.fr/browsetaxo/?id=87818","87818")</f>
        <v>87818</v>
      </c>
      <c r="D213" s="23" t="str">
        <f>HYPERLINK("http://www.marinespecies.org/aphia.php?p=taxdetails&amp;id=1361","1361")</f>
        <v>1361</v>
      </c>
      <c r="E213" s="22" t="s">
        <v>228</v>
      </c>
      <c r="F213" s="22" t="s">
        <v>228</v>
      </c>
      <c r="G213" s="22" t="s">
        <v>94</v>
      </c>
      <c r="H213" s="23" t="str">
        <f>HYPERLINK("http://www.marinespecies.org/aphia.php?p=taxdetails&amp;id=1361","1361")</f>
        <v>1361</v>
      </c>
      <c r="I213" s="22" t="s">
        <v>94</v>
      </c>
      <c r="J213" s="24" t="str">
        <f t="shared" si="2"/>
        <v/>
      </c>
    </row>
    <row r="214">
      <c r="A214" s="22" t="s">
        <v>460</v>
      </c>
      <c r="B214" s="22">
        <v>1255.0</v>
      </c>
      <c r="C214" s="23" t="str">
        <f>HYPERLINK("http://ecotaxoserver.obs-vlfr.fr/browsetaxo/?id=81933","81933")</f>
        <v>81933</v>
      </c>
      <c r="D214" s="23" t="str">
        <f>HYPERLINK("http://www.marinespecies.org/aphia.php?p=taxdetails&amp;id=148376","148376")</f>
        <v>148376</v>
      </c>
      <c r="E214" s="22" t="s">
        <v>461</v>
      </c>
      <c r="F214" s="22" t="s">
        <v>461</v>
      </c>
      <c r="G214" s="22" t="s">
        <v>94</v>
      </c>
      <c r="H214" s="23" t="str">
        <f>HYPERLINK("http://www.marinespecies.org/aphia.php?p=taxdetails&amp;id=148376","148376")</f>
        <v>148376</v>
      </c>
      <c r="I214" s="22" t="s">
        <v>94</v>
      </c>
      <c r="J214" s="24" t="str">
        <f t="shared" si="2"/>
        <v/>
      </c>
    </row>
    <row r="215">
      <c r="A215" s="22" t="s">
        <v>462</v>
      </c>
      <c r="B215" s="22">
        <v>99.0</v>
      </c>
      <c r="C215" s="23" t="str">
        <f>HYPERLINK("http://ecotaxoserver.obs-vlfr.fr/browsetaxo/?id=26051","26051")</f>
        <v>26051</v>
      </c>
      <c r="D215" s="23" t="str">
        <f>HYPERLINK("http://www.marinespecies.org/aphia.php?p=taxdetails&amp;id=106318","106318")</f>
        <v>106318</v>
      </c>
      <c r="E215" s="22" t="s">
        <v>463</v>
      </c>
      <c r="F215" s="22" t="s">
        <v>463</v>
      </c>
      <c r="G215" s="22" t="s">
        <v>94</v>
      </c>
      <c r="H215" s="23" t="str">
        <f>HYPERLINK("http://www.marinespecies.org/aphia.php?p=taxdetails&amp;id=106318","106318")</f>
        <v>106318</v>
      </c>
      <c r="I215" s="22" t="s">
        <v>94</v>
      </c>
      <c r="J215" s="24" t="str">
        <f t="shared" si="2"/>
        <v/>
      </c>
    </row>
    <row r="216">
      <c r="A216" s="22" t="s">
        <v>464</v>
      </c>
      <c r="B216" s="22">
        <v>10.0</v>
      </c>
      <c r="C216" s="23" t="str">
        <f>HYPERLINK("http://ecotaxoserver.obs-vlfr.fr/browsetaxo/?id=72853","72853")</f>
        <v>72853</v>
      </c>
      <c r="D216" s="23" t="str">
        <f>HYPERLINK("http://www.marinespecies.org/aphia.php?p=taxdetails&amp;id=106363","106363")</f>
        <v>106363</v>
      </c>
      <c r="E216" s="22" t="s">
        <v>465</v>
      </c>
      <c r="F216" s="22" t="s">
        <v>465</v>
      </c>
      <c r="G216" s="22" t="s">
        <v>94</v>
      </c>
      <c r="H216" s="23" t="str">
        <f>HYPERLINK("http://www.marinespecies.org/aphia.php?p=taxdetails&amp;id=106363","106363")</f>
        <v>106363</v>
      </c>
      <c r="I216" s="22" t="s">
        <v>94</v>
      </c>
      <c r="J216" s="24" t="str">
        <f t="shared" si="2"/>
        <v/>
      </c>
    </row>
    <row r="217">
      <c r="A217" s="22" t="s">
        <v>466</v>
      </c>
      <c r="B217" s="22">
        <v>17.0</v>
      </c>
      <c r="C217" s="23" t="str">
        <f>HYPERLINK("http://ecotaxoserver.obs-vlfr.fr/browsetaxo/?id=55861","55861")</f>
        <v>55861</v>
      </c>
      <c r="D217" s="23" t="str">
        <f>HYPERLINK("http://www.marinespecies.org/aphia.php?p=taxdetails&amp;id=149241","149241")</f>
        <v>149241</v>
      </c>
      <c r="E217" s="22" t="s">
        <v>467</v>
      </c>
      <c r="F217" s="22" t="s">
        <v>467</v>
      </c>
      <c r="G217" s="22" t="s">
        <v>94</v>
      </c>
      <c r="H217" s="23" t="str">
        <f>HYPERLINK("http://www.marinespecies.org/aphia.php?p=taxdetails&amp;id=149241","149241")</f>
        <v>149241</v>
      </c>
      <c r="I217" s="22" t="s">
        <v>94</v>
      </c>
      <c r="J217" s="24" t="str">
        <f t="shared" si="2"/>
        <v/>
      </c>
    </row>
    <row r="218">
      <c r="A218" s="22" t="s">
        <v>468</v>
      </c>
      <c r="B218" s="22">
        <v>10.0</v>
      </c>
      <c r="C218" s="23" t="str">
        <f>HYPERLINK("http://ecotaxoserver.obs-vlfr.fr/browsetaxo/?id=85496","85496")</f>
        <v>85496</v>
      </c>
      <c r="D218" s="23" t="str">
        <f>HYPERLINK("http://www.marinespecies.org/aphia.php?p=taxdetails&amp;id=149288","149288")</f>
        <v>149288</v>
      </c>
      <c r="E218" s="22" t="s">
        <v>467</v>
      </c>
      <c r="F218" s="22" t="s">
        <v>467</v>
      </c>
      <c r="G218" s="22" t="s">
        <v>94</v>
      </c>
      <c r="H218" s="23" t="str">
        <f>HYPERLINK("http://www.marinespecies.org/aphia.php?p=taxdetails&amp;id=149288","149288")</f>
        <v>149288</v>
      </c>
      <c r="I218" s="22" t="s">
        <v>94</v>
      </c>
      <c r="J218" s="24" t="str">
        <f t="shared" si="2"/>
        <v/>
      </c>
    </row>
    <row r="219">
      <c r="A219" s="22" t="s">
        <v>469</v>
      </c>
      <c r="B219" s="22">
        <v>1.0</v>
      </c>
      <c r="C219" s="23" t="str">
        <f>HYPERLINK("http://ecotaxoserver.obs-vlfr.fr/browsetaxo/?id=92179","92179")</f>
        <v>92179</v>
      </c>
      <c r="D219" s="23" t="str">
        <f>HYPERLINK("http://www.marinespecies.org/aphia.php?p=taxdetails&amp;id=178221","178221")</f>
        <v>178221</v>
      </c>
      <c r="E219" s="22" t="s">
        <v>467</v>
      </c>
      <c r="F219" s="22" t="s">
        <v>468</v>
      </c>
      <c r="G219" s="22" t="s">
        <v>94</v>
      </c>
      <c r="H219" s="23" t="str">
        <f>HYPERLINK("http://www.marinespecies.org/aphia.php?p=taxdetails&amp;id=178221","178221")</f>
        <v>178221</v>
      </c>
      <c r="I219" s="22" t="s">
        <v>94</v>
      </c>
      <c r="J219" s="24" t="str">
        <f t="shared" si="2"/>
        <v>!=</v>
      </c>
    </row>
    <row r="220">
      <c r="A220" s="22" t="s">
        <v>470</v>
      </c>
      <c r="B220" s="22">
        <v>21.0</v>
      </c>
      <c r="C220" s="23" t="str">
        <f>HYPERLINK("http://ecotaxoserver.obs-vlfr.fr/browsetaxo/?id=55860","55860")</f>
        <v>55860</v>
      </c>
      <c r="D220" s="23" t="str">
        <f>HYPERLINK("http://www.marinespecies.org/aphia.php?p=taxdetails&amp;id=149291","149291")</f>
        <v>149291</v>
      </c>
      <c r="E220" s="22" t="s">
        <v>467</v>
      </c>
      <c r="F220" s="22" t="s">
        <v>467</v>
      </c>
      <c r="G220" s="22" t="s">
        <v>94</v>
      </c>
      <c r="H220" s="23" t="str">
        <f>HYPERLINK("http://www.marinespecies.org/aphia.php?p=taxdetails&amp;id=149291","149291")</f>
        <v>149291</v>
      </c>
      <c r="I220" s="22" t="s">
        <v>94</v>
      </c>
      <c r="J220" s="24" t="str">
        <f t="shared" si="2"/>
        <v/>
      </c>
    </row>
    <row r="221">
      <c r="A221" s="22" t="s">
        <v>471</v>
      </c>
      <c r="B221" s="22">
        <v>104.0</v>
      </c>
      <c r="C221" s="23" t="str">
        <f>HYPERLINK("http://ecotaxoserver.obs-vlfr.fr/browsetaxo/?id=92186","92186")</f>
        <v>92186</v>
      </c>
      <c r="D221" s="23" t="str">
        <f>HYPERLINK("http://www.marinespecies.org/aphia.php?p=taxdetails&amp;id=156611","156611")</f>
        <v>156611</v>
      </c>
      <c r="E221" s="22" t="s">
        <v>467</v>
      </c>
      <c r="F221" s="22" t="s">
        <v>467</v>
      </c>
      <c r="G221" s="22" t="s">
        <v>94</v>
      </c>
      <c r="H221" s="23" t="str">
        <f>HYPERLINK("http://www.marinespecies.org/aphia.php?p=taxdetails&amp;id=156611","156611")</f>
        <v>156611</v>
      </c>
      <c r="I221" s="22" t="s">
        <v>94</v>
      </c>
      <c r="J221" s="24" t="str">
        <f t="shared" si="2"/>
        <v/>
      </c>
    </row>
    <row r="222">
      <c r="A222" s="22" t="s">
        <v>472</v>
      </c>
      <c r="B222" s="22">
        <v>31.0</v>
      </c>
      <c r="C222" s="23" t="str">
        <f>HYPERLINK("http://ecotaxoserver.obs-vlfr.fr/browsetaxo/?id=92189","92189")</f>
        <v>92189</v>
      </c>
      <c r="D222" s="23" t="str">
        <f>HYPERLINK("http://www.marinespecies.org/aphia.php?p=taxdetails&amp;id=465389","465389")</f>
        <v>465389</v>
      </c>
      <c r="E222" s="22" t="s">
        <v>467</v>
      </c>
      <c r="F222" s="22" t="s">
        <v>467</v>
      </c>
      <c r="G222" s="22" t="s">
        <v>94</v>
      </c>
      <c r="H222" s="23" t="str">
        <f>HYPERLINK("http://www.marinespecies.org/aphia.php?p=taxdetails&amp;id=465389","465389")</f>
        <v>465389</v>
      </c>
      <c r="I222" s="22" t="s">
        <v>94</v>
      </c>
      <c r="J222" s="24" t="str">
        <f t="shared" si="2"/>
        <v/>
      </c>
    </row>
    <row r="223">
      <c r="A223" s="22" t="s">
        <v>473</v>
      </c>
      <c r="B223" s="22">
        <v>3.0</v>
      </c>
      <c r="C223" s="23" t="str">
        <f>HYPERLINK("http://ecotaxoserver.obs-vlfr.fr/browsetaxo/?id=92190","92190")</f>
        <v>92190</v>
      </c>
      <c r="D223" s="23" t="str">
        <f>HYPERLINK("http://www.marinespecies.org/aphia.php?p=taxdetails&amp;id=465390","465390")</f>
        <v>465390</v>
      </c>
      <c r="E223" s="22" t="s">
        <v>467</v>
      </c>
      <c r="F223" s="22" t="s">
        <v>467</v>
      </c>
      <c r="G223" s="22" t="s">
        <v>94</v>
      </c>
      <c r="H223" s="23" t="str">
        <f>HYPERLINK("http://www.marinespecies.org/aphia.php?p=taxdetails&amp;id=465390","465390")</f>
        <v>465390</v>
      </c>
      <c r="I223" s="22" t="s">
        <v>94</v>
      </c>
      <c r="J223" s="24" t="str">
        <f t="shared" si="2"/>
        <v/>
      </c>
    </row>
    <row r="224">
      <c r="A224" s="22" t="s">
        <v>474</v>
      </c>
      <c r="B224" s="22">
        <v>358.0</v>
      </c>
      <c r="C224" s="23" t="str">
        <f>HYPERLINK("http://ecotaxoserver.obs-vlfr.fr/browsetaxo/?id=55853","55853")</f>
        <v>55853</v>
      </c>
      <c r="D224" s="23" t="str">
        <f>HYPERLINK("http://www.marinespecies.org/aphia.php?p=taxdetails&amp;id=149126","149126")</f>
        <v>149126</v>
      </c>
      <c r="E224" s="22" t="s">
        <v>467</v>
      </c>
      <c r="F224" s="22" t="s">
        <v>467</v>
      </c>
      <c r="G224" s="22" t="s">
        <v>94</v>
      </c>
      <c r="H224" s="23" t="str">
        <f>HYPERLINK("http://www.marinespecies.org/aphia.php?p=taxdetails&amp;id=149126","149126")</f>
        <v>149126</v>
      </c>
      <c r="I224" s="22" t="s">
        <v>94</v>
      </c>
      <c r="J224" s="24" t="str">
        <f t="shared" si="2"/>
        <v/>
      </c>
    </row>
    <row r="225">
      <c r="A225" s="22" t="s">
        <v>475</v>
      </c>
      <c r="B225" s="22">
        <v>26.0</v>
      </c>
      <c r="C225" s="23" t="str">
        <f>HYPERLINK("http://ecotaxoserver.obs-vlfr.fr/browsetaxo/?id=55852","55852")</f>
        <v>55852</v>
      </c>
      <c r="D225" s="23" t="str">
        <f>HYPERLINK("http://www.marinespecies.org/aphia.php?p=taxdetails&amp;id=178215","178215")</f>
        <v>178215</v>
      </c>
      <c r="E225" s="22" t="s">
        <v>467</v>
      </c>
      <c r="F225" s="22" t="s">
        <v>467</v>
      </c>
      <c r="G225" s="22" t="s">
        <v>94</v>
      </c>
      <c r="H225" s="23" t="str">
        <f>HYPERLINK("http://www.marinespecies.org/aphia.php?p=taxdetails&amp;id=178215","178215")</f>
        <v>178215</v>
      </c>
      <c r="I225" s="22" t="s">
        <v>94</v>
      </c>
      <c r="J225" s="24" t="str">
        <f t="shared" si="2"/>
        <v/>
      </c>
    </row>
    <row r="226">
      <c r="A226" s="22" t="s">
        <v>476</v>
      </c>
      <c r="B226" s="22">
        <v>3.0</v>
      </c>
      <c r="C226" s="23" t="str">
        <f>HYPERLINK("http://ecotaxoserver.obs-vlfr.fr/browsetaxo/?id=55851","55851")</f>
        <v>55851</v>
      </c>
      <c r="D226" s="23" t="str">
        <f>HYPERLINK("http://www.marinespecies.org/aphia.php?p=taxdetails&amp;id=149122","149122")</f>
        <v>149122</v>
      </c>
      <c r="E226" s="22" t="s">
        <v>467</v>
      </c>
      <c r="F226" s="22" t="s">
        <v>467</v>
      </c>
      <c r="G226" s="22" t="s">
        <v>94</v>
      </c>
      <c r="H226" s="23" t="str">
        <f>HYPERLINK("http://www.marinespecies.org/aphia.php?p=taxdetails&amp;id=149122","149122")</f>
        <v>149122</v>
      </c>
      <c r="I226" s="22" t="s">
        <v>94</v>
      </c>
      <c r="J226" s="24" t="str">
        <f t="shared" si="2"/>
        <v/>
      </c>
    </row>
    <row r="227">
      <c r="A227" s="22" t="s">
        <v>477</v>
      </c>
      <c r="B227" s="22">
        <v>7.0</v>
      </c>
      <c r="C227" s="23" t="str">
        <f>HYPERLINK("http://ecotaxoserver.obs-vlfr.fr/browsetaxo/?id=92194","92194")</f>
        <v>92194</v>
      </c>
      <c r="D227" s="23" t="str">
        <f>HYPERLINK("http://www.marinespecies.org/aphia.php?p=taxdetails&amp;id=839985","839985")</f>
        <v>839985</v>
      </c>
      <c r="E227" s="22" t="s">
        <v>467</v>
      </c>
      <c r="F227" s="22" t="s">
        <v>467</v>
      </c>
      <c r="G227" s="22" t="s">
        <v>94</v>
      </c>
      <c r="H227" s="23" t="str">
        <f>HYPERLINK("http://www.marinespecies.org/aphia.php?p=taxdetails&amp;id=839985","839985")</f>
        <v>839985</v>
      </c>
      <c r="I227" s="22" t="s">
        <v>94</v>
      </c>
      <c r="J227" s="24" t="str">
        <f t="shared" si="2"/>
        <v/>
      </c>
    </row>
    <row r="228">
      <c r="A228" s="22" t="s">
        <v>478</v>
      </c>
      <c r="B228" s="22">
        <v>33.0</v>
      </c>
      <c r="C228" s="23" t="str">
        <f>HYPERLINK("http://ecotaxoserver.obs-vlfr.fr/browsetaxo/?id=85491","85491")</f>
        <v>85491</v>
      </c>
      <c r="D228" s="23" t="str">
        <f>HYPERLINK("http://www.marinespecies.org/aphia.php?p=taxdetails&amp;id=149228","149228")</f>
        <v>149228</v>
      </c>
      <c r="E228" s="22" t="s">
        <v>467</v>
      </c>
      <c r="F228" s="22" t="s">
        <v>467</v>
      </c>
      <c r="G228" s="22" t="s">
        <v>94</v>
      </c>
      <c r="H228" s="23" t="str">
        <f>HYPERLINK("http://www.marinespecies.org/aphia.php?p=taxdetails&amp;id=149228","149228")</f>
        <v>149228</v>
      </c>
      <c r="I228" s="22" t="s">
        <v>94</v>
      </c>
      <c r="J228" s="24" t="str">
        <f t="shared" si="2"/>
        <v/>
      </c>
    </row>
    <row r="229">
      <c r="A229" s="22" t="s">
        <v>479</v>
      </c>
      <c r="B229" s="22">
        <v>8.0</v>
      </c>
      <c r="C229" s="23" t="str">
        <f>HYPERLINK("http://ecotaxoserver.obs-vlfr.fr/browsetaxo/?id=85499","85499")</f>
        <v>85499</v>
      </c>
      <c r="D229" s="23" t="str">
        <f>HYPERLINK("http://www.marinespecies.org/aphia.php?p=taxdetails&amp;id=156617","156617")</f>
        <v>156617</v>
      </c>
      <c r="E229" s="22" t="s">
        <v>467</v>
      </c>
      <c r="F229" s="22" t="s">
        <v>467</v>
      </c>
      <c r="G229" s="22" t="s">
        <v>94</v>
      </c>
      <c r="H229" s="23" t="str">
        <f>HYPERLINK("http://www.marinespecies.org/aphia.php?p=taxdetails&amp;id=156617","156617")</f>
        <v>156617</v>
      </c>
      <c r="I229" s="22" t="s">
        <v>94</v>
      </c>
      <c r="J229" s="24" t="str">
        <f t="shared" si="2"/>
        <v/>
      </c>
    </row>
    <row r="230">
      <c r="A230" s="22" t="s">
        <v>480</v>
      </c>
      <c r="B230" s="22">
        <v>2.0</v>
      </c>
      <c r="C230" s="23" t="str">
        <f>HYPERLINK("http://ecotaxoserver.obs-vlfr.fr/browsetaxo/?id=92202","92202")</f>
        <v>92202</v>
      </c>
      <c r="D230" s="23" t="str">
        <f>HYPERLINK("http://www.marinespecies.org/aphia.php?p=taxdetails&amp;id=149238","149238")</f>
        <v>149238</v>
      </c>
      <c r="E230" s="22" t="s">
        <v>467</v>
      </c>
      <c r="F230" s="22" t="s">
        <v>467</v>
      </c>
      <c r="G230" s="22" t="s">
        <v>94</v>
      </c>
      <c r="H230" s="23" t="str">
        <f>HYPERLINK("http://www.marinespecies.org/aphia.php?p=taxdetails&amp;id=149238","149238")</f>
        <v>149238</v>
      </c>
      <c r="I230" s="22" t="s">
        <v>94</v>
      </c>
      <c r="J230" s="24" t="str">
        <f t="shared" si="2"/>
        <v/>
      </c>
    </row>
    <row r="231">
      <c r="A231" s="22" t="s">
        <v>481</v>
      </c>
      <c r="B231" s="22">
        <v>25.0</v>
      </c>
      <c r="C231" s="23" t="str">
        <f>HYPERLINK("http://ecotaxoserver.obs-vlfr.fr/browsetaxo/?id=55846","55846")</f>
        <v>55846</v>
      </c>
      <c r="D231" s="23" t="str">
        <f>HYPERLINK("http://www.marinespecies.org/aphia.php?p=taxdetails&amp;id=178185","178185")</f>
        <v>178185</v>
      </c>
      <c r="E231" s="22" t="s">
        <v>467</v>
      </c>
      <c r="F231" s="22" t="s">
        <v>467</v>
      </c>
      <c r="G231" s="22" t="s">
        <v>94</v>
      </c>
      <c r="H231" s="23" t="str">
        <f>HYPERLINK("http://www.marinespecies.org/aphia.php?p=taxdetails&amp;id=178185","178185")</f>
        <v>178185</v>
      </c>
      <c r="I231" s="22" t="s">
        <v>94</v>
      </c>
      <c r="J231" s="24" t="str">
        <f t="shared" si="2"/>
        <v/>
      </c>
    </row>
    <row r="232">
      <c r="A232" s="22" t="s">
        <v>482</v>
      </c>
      <c r="B232" s="22">
        <v>67.0</v>
      </c>
      <c r="C232" s="23" t="str">
        <f>HYPERLINK("http://ecotaxoserver.obs-vlfr.fr/browsetaxo/?id=92208","92208")</f>
        <v>92208</v>
      </c>
      <c r="D232" s="23" t="str">
        <f>HYPERLINK("http://www.marinespecies.org/aphia.php?p=taxdetails&amp;id=149294","149294")</f>
        <v>149294</v>
      </c>
      <c r="E232" s="22" t="s">
        <v>467</v>
      </c>
      <c r="F232" s="22" t="s">
        <v>467</v>
      </c>
      <c r="G232" s="22" t="s">
        <v>94</v>
      </c>
      <c r="H232" s="23" t="str">
        <f>HYPERLINK("http://www.marinespecies.org/aphia.php?p=taxdetails&amp;id=149294","149294")</f>
        <v>149294</v>
      </c>
      <c r="I232" s="22" t="s">
        <v>94</v>
      </c>
      <c r="J232" s="24" t="str">
        <f t="shared" si="2"/>
        <v/>
      </c>
    </row>
    <row r="233">
      <c r="A233" s="22" t="s">
        <v>483</v>
      </c>
      <c r="B233" s="22">
        <v>1551.0</v>
      </c>
      <c r="C233" s="23" t="str">
        <f>HYPERLINK("http://ecotaxoserver.obs-vlfr.fr/browsetaxo/?id=55843","55843")</f>
        <v>55843</v>
      </c>
      <c r="D233" s="23" t="str">
        <f>HYPERLINK("http://www.marinespecies.org/aphia.php?p=taxdetails&amp;id=149123","149123")</f>
        <v>149123</v>
      </c>
      <c r="E233" s="22" t="s">
        <v>467</v>
      </c>
      <c r="F233" s="22" t="s">
        <v>467</v>
      </c>
      <c r="G233" s="22" t="s">
        <v>94</v>
      </c>
      <c r="H233" s="23" t="str">
        <f>HYPERLINK("http://www.marinespecies.org/aphia.php?p=taxdetails&amp;id=149123","149123")</f>
        <v>149123</v>
      </c>
      <c r="I233" s="22" t="s">
        <v>94</v>
      </c>
      <c r="J233" s="24" t="str">
        <f t="shared" si="2"/>
        <v/>
      </c>
    </row>
    <row r="234">
      <c r="A234" s="22" t="s">
        <v>484</v>
      </c>
      <c r="B234" s="22">
        <v>2.0</v>
      </c>
      <c r="C234" s="23" t="str">
        <f>HYPERLINK("http://ecotaxoserver.obs-vlfr.fr/browsetaxo/?id=92209","92209")</f>
        <v>92209</v>
      </c>
      <c r="D234" s="23" t="str">
        <f>HYPERLINK("http://www.marinespecies.org/aphia.php?p=taxdetails&amp;id=156621","156621")</f>
        <v>156621</v>
      </c>
      <c r="E234" s="22" t="s">
        <v>467</v>
      </c>
      <c r="F234" s="22" t="s">
        <v>467</v>
      </c>
      <c r="G234" s="22" t="s">
        <v>94</v>
      </c>
      <c r="H234" s="23" t="str">
        <f>HYPERLINK("http://www.marinespecies.org/aphia.php?p=taxdetails&amp;id=156621","156621")</f>
        <v>156621</v>
      </c>
      <c r="I234" s="22" t="s">
        <v>94</v>
      </c>
      <c r="J234" s="24" t="str">
        <f t="shared" si="2"/>
        <v/>
      </c>
    </row>
    <row r="235">
      <c r="A235" s="22" t="s">
        <v>485</v>
      </c>
      <c r="B235" s="22">
        <v>2.0</v>
      </c>
      <c r="C235" s="23" t="str">
        <f>HYPERLINK("http://ecotaxoserver.obs-vlfr.fr/browsetaxo/?id=85498","85498")</f>
        <v>85498</v>
      </c>
      <c r="D235" s="23" t="str">
        <f>HYPERLINK("http://www.marinespecies.org/aphia.php?p=taxdetails&amp;id=156623","156623")</f>
        <v>156623</v>
      </c>
      <c r="E235" s="22" t="s">
        <v>467</v>
      </c>
      <c r="F235" s="22" t="s">
        <v>467</v>
      </c>
      <c r="G235" s="22" t="s">
        <v>94</v>
      </c>
      <c r="H235" s="23" t="str">
        <f>HYPERLINK("http://www.marinespecies.org/aphia.php?p=taxdetails&amp;id=156623","156623")</f>
        <v>156623</v>
      </c>
      <c r="I235" s="22" t="s">
        <v>94</v>
      </c>
      <c r="J235" s="24" t="str">
        <f t="shared" si="2"/>
        <v/>
      </c>
    </row>
    <row r="236">
      <c r="A236" s="22" t="s">
        <v>486</v>
      </c>
      <c r="B236" s="22">
        <v>3.0</v>
      </c>
      <c r="C236" s="23" t="str">
        <f>HYPERLINK("http://ecotaxoserver.obs-vlfr.fr/browsetaxo/?id=92210","92210")</f>
        <v>92210</v>
      </c>
      <c r="D236" s="23" t="str">
        <f>HYPERLINK("http://www.marinespecies.org/aphia.php?p=taxdetails&amp;id=149125","149125")</f>
        <v>149125</v>
      </c>
      <c r="E236" s="22" t="s">
        <v>467</v>
      </c>
      <c r="F236" s="22" t="s">
        <v>467</v>
      </c>
      <c r="G236" s="22" t="s">
        <v>94</v>
      </c>
      <c r="H236" s="23" t="str">
        <f>HYPERLINK("http://www.marinespecies.org/aphia.php?p=taxdetails&amp;id=149125","149125")</f>
        <v>149125</v>
      </c>
      <c r="I236" s="22" t="s">
        <v>94</v>
      </c>
      <c r="J236" s="24" t="str">
        <f t="shared" si="2"/>
        <v/>
      </c>
    </row>
    <row r="237">
      <c r="A237" s="22" t="s">
        <v>487</v>
      </c>
      <c r="B237" s="22">
        <v>344900.0</v>
      </c>
      <c r="C237" s="23" t="str">
        <f>HYPERLINK("http://ecotaxoserver.obs-vlfr.fr/browsetaxo/?id=11514","11514")</f>
        <v>11514</v>
      </c>
      <c r="D237" s="23" t="str">
        <f>HYPERLINK("http://www.marinespecies.org/aphia.php?p=taxdetails&amp;id=2081","2081")</f>
        <v>2081</v>
      </c>
      <c r="E237" s="22" t="s">
        <v>223</v>
      </c>
      <c r="F237" s="22" t="s">
        <v>224</v>
      </c>
      <c r="G237" s="22" t="s">
        <v>94</v>
      </c>
      <c r="H237" s="23" t="str">
        <f>HYPERLINK("http://www.marinespecies.org/aphia.php?p=taxdetails&amp;id=2081","2081")</f>
        <v>2081</v>
      </c>
      <c r="I237" s="22" t="s">
        <v>94</v>
      </c>
      <c r="J237" s="24" t="str">
        <f t="shared" si="2"/>
        <v>!=</v>
      </c>
    </row>
    <row r="238">
      <c r="A238" s="22" t="s">
        <v>488</v>
      </c>
      <c r="B238" s="22">
        <v>37.0</v>
      </c>
      <c r="C238" s="23" t="str">
        <f>HYPERLINK("http://ecotaxoserver.obs-vlfr.fr/browsetaxo/?id=60191","60191")</f>
        <v>60191</v>
      </c>
      <c r="D238" s="23" t="str">
        <f>HYPERLINK("http://www.marinespecies.org/aphia.php?p=taxdetails&amp;id=129229","129229")</f>
        <v>129229</v>
      </c>
      <c r="E238" s="22" t="s">
        <v>489</v>
      </c>
      <c r="F238" s="22" t="s">
        <v>490</v>
      </c>
      <c r="G238" s="22" t="s">
        <v>94</v>
      </c>
      <c r="H238" s="23" t="str">
        <f>HYPERLINK("http://www.marinespecies.org/aphia.php?p=taxdetails&amp;id=129229","129229")</f>
        <v>129229</v>
      </c>
      <c r="I238" s="22" t="s">
        <v>94</v>
      </c>
      <c r="J238" s="24" t="str">
        <f t="shared" si="2"/>
        <v>!=</v>
      </c>
    </row>
    <row r="239">
      <c r="A239" s="22" t="s">
        <v>491</v>
      </c>
      <c r="B239" s="22">
        <v>6.0</v>
      </c>
      <c r="C239" s="23" t="str">
        <f>HYPERLINK("http://ecotaxoserver.obs-vlfr.fr/browsetaxo/?id=27646","27646")</f>
        <v>27646</v>
      </c>
      <c r="D239" s="23" t="str">
        <f>HYPERLINK("http://www.marinespecies.org/aphia.php?p=taxdetails&amp;id=345870","345870")</f>
        <v>345870</v>
      </c>
      <c r="E239" s="22" t="s">
        <v>492</v>
      </c>
      <c r="F239" s="22" t="s">
        <v>492</v>
      </c>
      <c r="G239" s="22" t="s">
        <v>94</v>
      </c>
      <c r="H239" s="23" t="str">
        <f>HYPERLINK("http://www.marinespecies.org/aphia.php?p=taxdetails&amp;id=345870","345870")</f>
        <v>345870</v>
      </c>
      <c r="I239" s="22" t="s">
        <v>94</v>
      </c>
      <c r="J239" s="24" t="str">
        <f t="shared" si="2"/>
        <v/>
      </c>
    </row>
    <row r="240">
      <c r="A240" s="22" t="s">
        <v>493</v>
      </c>
      <c r="B240" s="22">
        <v>14.0</v>
      </c>
      <c r="C240" s="23" t="str">
        <f>HYPERLINK("http://ecotaxoserver.obs-vlfr.fr/browsetaxo/?id=54882","54882")</f>
        <v>54882</v>
      </c>
      <c r="D240" s="23" t="str">
        <f>HYPERLINK("http://www.marinespecies.org/aphia.php?p=taxdetails&amp;id=391891","391891")</f>
        <v>391891</v>
      </c>
      <c r="E240" s="22" t="s">
        <v>491</v>
      </c>
      <c r="F240" s="22" t="s">
        <v>491</v>
      </c>
      <c r="G240" s="22" t="s">
        <v>94</v>
      </c>
      <c r="H240" s="23" t="str">
        <f>HYPERLINK("http://www.marinespecies.org/aphia.php?p=taxdetails&amp;id=391891","391891")</f>
        <v>391891</v>
      </c>
      <c r="I240" s="22" t="s">
        <v>94</v>
      </c>
      <c r="J240" s="24" t="str">
        <f t="shared" si="2"/>
        <v/>
      </c>
    </row>
    <row r="241">
      <c r="A241" s="22" t="s">
        <v>494</v>
      </c>
      <c r="B241" s="22">
        <v>113.0</v>
      </c>
      <c r="C241" s="23" t="str">
        <f>HYPERLINK("http://ecotaxoserver.obs-vlfr.fr/browsetaxo/?id=81821","81821")</f>
        <v>81821</v>
      </c>
      <c r="D241" s="23" t="str">
        <f>HYPERLINK("http://www.marinespecies.org/aphia.php?p=taxdetails&amp;id=135360","135360")</f>
        <v>135360</v>
      </c>
      <c r="E241" s="22" t="s">
        <v>495</v>
      </c>
      <c r="F241" s="22" t="s">
        <v>496</v>
      </c>
      <c r="G241" s="22" t="s">
        <v>94</v>
      </c>
      <c r="H241" s="23" t="str">
        <f>HYPERLINK("http://www.marinespecies.org/aphia.php?p=taxdetails&amp;id=135360","135360")</f>
        <v>135360</v>
      </c>
      <c r="I241" s="22" t="s">
        <v>94</v>
      </c>
      <c r="J241" s="24" t="str">
        <f t="shared" si="2"/>
        <v>!=</v>
      </c>
    </row>
    <row r="242">
      <c r="A242" s="22" t="s">
        <v>497</v>
      </c>
      <c r="B242" s="22">
        <v>757.0</v>
      </c>
      <c r="C242" s="23" t="str">
        <f>HYPERLINK("http://ecotaxoserver.obs-vlfr.fr/browsetaxo/?id=83281","83281")</f>
        <v>83281</v>
      </c>
      <c r="D242" s="23" t="str">
        <f>HYPERLINK("http://www.marinespecies.org/aphia.php?p=taxdetails&amp;id=135417","135417")</f>
        <v>135417</v>
      </c>
      <c r="E242" s="22" t="s">
        <v>494</v>
      </c>
      <c r="F242" s="22" t="s">
        <v>494</v>
      </c>
      <c r="G242" s="22" t="s">
        <v>94</v>
      </c>
      <c r="H242" s="23" t="str">
        <f>HYPERLINK("http://www.marinespecies.org/aphia.php?p=taxdetails&amp;id=135417","135417")</f>
        <v>135417</v>
      </c>
      <c r="I242" s="22" t="s">
        <v>94</v>
      </c>
      <c r="J242" s="24" t="str">
        <f t="shared" si="2"/>
        <v/>
      </c>
    </row>
    <row r="243">
      <c r="A243" s="22" t="s">
        <v>498</v>
      </c>
      <c r="B243" s="22">
        <v>330.0</v>
      </c>
      <c r="C243" s="23" t="str">
        <f>HYPERLINK("http://ecotaxoserver.obs-vlfr.fr/browsetaxo/?id=50739","50739")</f>
        <v>50739</v>
      </c>
      <c r="D243" s="23" t="str">
        <f>HYPERLINK("http://www.marinespecies.org/aphia.php?p=taxdetails&amp;id=118100","118100")</f>
        <v>118100</v>
      </c>
      <c r="E243" s="22" t="s">
        <v>499</v>
      </c>
      <c r="F243" s="22" t="s">
        <v>500</v>
      </c>
      <c r="G243" s="22" t="s">
        <v>94</v>
      </c>
      <c r="H243" s="23" t="str">
        <f>HYPERLINK("http://www.marinespecies.org/aphia.php?p=taxdetails&amp;id=118100","118100")</f>
        <v>118100</v>
      </c>
      <c r="I243" s="22" t="s">
        <v>94</v>
      </c>
      <c r="J243" s="24" t="str">
        <f t="shared" si="2"/>
        <v>!=</v>
      </c>
    </row>
    <row r="244">
      <c r="A244" s="22" t="s">
        <v>501</v>
      </c>
      <c r="B244" s="22">
        <v>15364.0</v>
      </c>
      <c r="C244" s="23" t="str">
        <f>HYPERLINK("http://ecotaxoserver.obs-vlfr.fr/browsetaxo/?id=11358","11358")</f>
        <v>11358</v>
      </c>
      <c r="D244" s="23" t="str">
        <f>HYPERLINK("http://www.marinespecies.org/aphia.php?p=taxdetails&amp;id=802","802")</f>
        <v>802</v>
      </c>
      <c r="E244" s="22" t="s">
        <v>502</v>
      </c>
      <c r="F244" s="22" t="s">
        <v>503</v>
      </c>
      <c r="G244" s="22" t="s">
        <v>94</v>
      </c>
      <c r="H244" s="23" t="str">
        <f>HYPERLINK("http://www.marinespecies.org/aphia.php?p=taxdetails&amp;id=802","802")</f>
        <v>802</v>
      </c>
      <c r="I244" s="22" t="s">
        <v>94</v>
      </c>
      <c r="J244" s="24" t="str">
        <f t="shared" si="2"/>
        <v>!=</v>
      </c>
    </row>
    <row r="245">
      <c r="A245" s="22" t="s">
        <v>502</v>
      </c>
      <c r="B245" s="22">
        <v>4.0</v>
      </c>
      <c r="C245" s="23" t="str">
        <f>HYPERLINK("http://ecotaxoserver.obs-vlfr.fr/browsetaxo/?id=2385","2385")</f>
        <v>2385</v>
      </c>
      <c r="D245" s="23" t="str">
        <f>HYPERLINK("http://www.marinespecies.org/aphia.php?p=taxdetails&amp;id=801","801")</f>
        <v>801</v>
      </c>
      <c r="E245" s="22" t="s">
        <v>504</v>
      </c>
      <c r="F245" s="22" t="s">
        <v>504</v>
      </c>
      <c r="G245" s="22" t="s">
        <v>94</v>
      </c>
      <c r="H245" s="23" t="str">
        <f>HYPERLINK("http://www.marinespecies.org/aphia.php?p=taxdetails&amp;id=801","801")</f>
        <v>801</v>
      </c>
      <c r="I245" s="22" t="s">
        <v>94</v>
      </c>
      <c r="J245" s="24" t="str">
        <f t="shared" si="2"/>
        <v/>
      </c>
    </row>
    <row r="246">
      <c r="A246" s="22" t="s">
        <v>505</v>
      </c>
      <c r="B246" s="22">
        <v>131.0</v>
      </c>
      <c r="C246" s="23" t="str">
        <f>HYPERLINK("http://ecotaxoserver.obs-vlfr.fr/browsetaxo/?id=11477","11477")</f>
        <v>11477</v>
      </c>
      <c r="D246" s="23" t="str">
        <f>HYPERLINK("http://www.marinespecies.org/aphia.php?p=taxdetails&amp;id=580116","580116")</f>
        <v>580116</v>
      </c>
      <c r="E246" s="22" t="s">
        <v>506</v>
      </c>
      <c r="F246" s="22" t="s">
        <v>507</v>
      </c>
      <c r="G246" s="22" t="s">
        <v>94</v>
      </c>
      <c r="H246" s="23" t="str">
        <f>HYPERLINK("http://www.marinespecies.org/aphia.php?p=taxdetails&amp;id=580116","580116")</f>
        <v>580116</v>
      </c>
      <c r="I246" s="22" t="s">
        <v>94</v>
      </c>
      <c r="J246" s="24" t="str">
        <f t="shared" si="2"/>
        <v>!=</v>
      </c>
    </row>
    <row r="247">
      <c r="A247" s="22" t="s">
        <v>443</v>
      </c>
      <c r="B247" s="22">
        <v>1.0</v>
      </c>
      <c r="C247" s="23" t="str">
        <f>HYPERLINK("http://ecotaxoserver.obs-vlfr.fr/browsetaxo/?id=11513","11513")</f>
        <v>11513</v>
      </c>
      <c r="D247" s="23" t="str">
        <f>HYPERLINK("http://www.marinespecies.org/aphia.php?p=taxdetails&amp;id=1821","1821")</f>
        <v>1821</v>
      </c>
      <c r="E247" s="22" t="s">
        <v>223</v>
      </c>
      <c r="F247" s="22" t="s">
        <v>224</v>
      </c>
      <c r="G247" s="22" t="s">
        <v>94</v>
      </c>
      <c r="H247" s="23" t="str">
        <f>HYPERLINK("http://www.marinespecies.org/aphia.php?p=taxdetails&amp;id=1821","1821")</f>
        <v>1821</v>
      </c>
      <c r="I247" s="22" t="s">
        <v>94</v>
      </c>
      <c r="J247" s="24" t="str">
        <f t="shared" si="2"/>
        <v>!=</v>
      </c>
    </row>
    <row r="248">
      <c r="A248" s="22" t="s">
        <v>508</v>
      </c>
      <c r="B248" s="22">
        <v>10.0</v>
      </c>
      <c r="C248" s="23" t="str">
        <f>HYPERLINK("http://ecotaxoserver.obs-vlfr.fr/browsetaxo/?id=13901","13901")</f>
        <v>13901</v>
      </c>
      <c r="D248" s="23" t="str">
        <f>HYPERLINK("http://www.marinespecies.org/aphia.php?p=taxdetails&amp;id=425491","425491")</f>
        <v>425491</v>
      </c>
      <c r="E248" s="22" t="s">
        <v>509</v>
      </c>
      <c r="F248" s="22" t="s">
        <v>509</v>
      </c>
      <c r="G248" s="22" t="s">
        <v>94</v>
      </c>
      <c r="H248" s="23" t="str">
        <f>HYPERLINK("http://www.marinespecies.org/aphia.php?p=taxdetails&amp;id=425491","425491")</f>
        <v>425491</v>
      </c>
      <c r="I248" s="22" t="s">
        <v>94</v>
      </c>
      <c r="J248" s="24" t="str">
        <f t="shared" si="2"/>
        <v/>
      </c>
    </row>
    <row r="249">
      <c r="A249" s="22" t="s">
        <v>510</v>
      </c>
      <c r="B249" s="22">
        <v>191.0</v>
      </c>
      <c r="C249" s="23" t="str">
        <f>HYPERLINK("http://ecotaxoserver.obs-vlfr.fr/browsetaxo/?id=248","248")</f>
        <v>248</v>
      </c>
      <c r="D249" s="23" t="str">
        <f>HYPERLINK("http://www.marinespecies.org/aphia.php?p=taxdetails&amp;id=146543","146543")</f>
        <v>146543</v>
      </c>
      <c r="E249" s="22" t="s">
        <v>511</v>
      </c>
      <c r="F249" s="22" t="s">
        <v>512</v>
      </c>
      <c r="G249" s="22" t="s">
        <v>94</v>
      </c>
      <c r="H249" s="23" t="str">
        <f>HYPERLINK("http://www.marinespecies.org/aphia.php?p=taxdetails&amp;id=146543","146543")</f>
        <v>146543</v>
      </c>
      <c r="I249" s="22" t="s">
        <v>94</v>
      </c>
      <c r="J249" s="24" t="str">
        <f t="shared" si="2"/>
        <v>!=</v>
      </c>
    </row>
    <row r="250">
      <c r="A250" s="22" t="s">
        <v>513</v>
      </c>
      <c r="B250" s="22">
        <v>5.0</v>
      </c>
      <c r="C250" s="23" t="str">
        <f>HYPERLINK("http://ecotaxoserver.obs-vlfr.fr/browsetaxo/?id=11631","11631")</f>
        <v>11631</v>
      </c>
      <c r="D250" s="23" t="str">
        <f>HYPERLINK("http://www.marinespecies.org/aphia.php?p=taxdetails&amp;id=106281","106281")</f>
        <v>106281</v>
      </c>
      <c r="E250" s="22" t="s">
        <v>514</v>
      </c>
      <c r="F250" s="22" t="s">
        <v>515</v>
      </c>
      <c r="G250" s="22" t="s">
        <v>94</v>
      </c>
      <c r="H250" s="23" t="str">
        <f>HYPERLINK("http://www.marinespecies.org/aphia.php?p=taxdetails&amp;id=106281","106281")</f>
        <v>106281</v>
      </c>
      <c r="I250" s="22" t="s">
        <v>94</v>
      </c>
      <c r="J250" s="24" t="str">
        <f t="shared" si="2"/>
        <v>!=</v>
      </c>
    </row>
    <row r="251">
      <c r="A251" s="22" t="s">
        <v>516</v>
      </c>
      <c r="B251" s="22">
        <v>1.0</v>
      </c>
      <c r="C251" s="23" t="str">
        <f>HYPERLINK("http://ecotaxoserver.obs-vlfr.fr/browsetaxo/?id=92131","92131")</f>
        <v>92131</v>
      </c>
      <c r="D251" s="23" t="str">
        <f>HYPERLINK("http://www.marinespecies.org/aphia.php?p=taxdetails&amp;id=135304","135304")</f>
        <v>135304</v>
      </c>
      <c r="E251" s="22" t="s">
        <v>517</v>
      </c>
      <c r="F251" s="22" t="s">
        <v>517</v>
      </c>
      <c r="G251" s="22" t="s">
        <v>94</v>
      </c>
      <c r="H251" s="23" t="str">
        <f>HYPERLINK("http://www.marinespecies.org/aphia.php?p=taxdetails&amp;id=135304","135304")</f>
        <v>135304</v>
      </c>
      <c r="I251" s="22" t="s">
        <v>94</v>
      </c>
      <c r="J251" s="24" t="str">
        <f t="shared" si="2"/>
        <v/>
      </c>
    </row>
    <row r="252">
      <c r="A252" s="22" t="s">
        <v>518</v>
      </c>
      <c r="B252" s="22">
        <v>156.0</v>
      </c>
      <c r="C252" s="23" t="str">
        <f>HYPERLINK("http://ecotaxoserver.obs-vlfr.fr/browsetaxo/?id=17049","17049")</f>
        <v>17049</v>
      </c>
      <c r="D252" s="23" t="str">
        <f>HYPERLINK("http://www.marinespecies.org/aphia.php?p=taxdetails&amp;id=115090","115090")</f>
        <v>115090</v>
      </c>
      <c r="E252" s="22" t="s">
        <v>519</v>
      </c>
      <c r="F252" s="22" t="s">
        <v>519</v>
      </c>
      <c r="G252" s="22" t="s">
        <v>94</v>
      </c>
      <c r="H252" s="23" t="str">
        <f>HYPERLINK("http://www.marinespecies.org/aphia.php?p=taxdetails&amp;id=115090","115090")</f>
        <v>115090</v>
      </c>
      <c r="I252" s="22" t="s">
        <v>94</v>
      </c>
      <c r="J252" s="24" t="str">
        <f t="shared" si="2"/>
        <v/>
      </c>
    </row>
    <row r="253">
      <c r="A253" s="22" t="s">
        <v>520</v>
      </c>
      <c r="B253" s="22">
        <v>38.0</v>
      </c>
      <c r="C253" s="23" t="str">
        <f>HYPERLINK("http://ecotaxoserver.obs-vlfr.fr/browsetaxo/?id=11813","11813")</f>
        <v>11813</v>
      </c>
      <c r="D253" s="23" t="str">
        <f>HYPERLINK("http://www.marinespecies.org/aphia.php?p=taxdetails&amp;id=146230","146230")</f>
        <v>146230</v>
      </c>
      <c r="E253" s="22" t="s">
        <v>521</v>
      </c>
      <c r="F253" s="22" t="s">
        <v>522</v>
      </c>
      <c r="G253" s="22" t="s">
        <v>94</v>
      </c>
      <c r="H253" s="23" t="str">
        <f>HYPERLINK("http://www.marinespecies.org/aphia.php?p=taxdetails&amp;id=146230","146230")</f>
        <v>146230</v>
      </c>
      <c r="I253" s="22" t="s">
        <v>94</v>
      </c>
      <c r="J253" s="24" t="str">
        <f t="shared" si="2"/>
        <v>!=</v>
      </c>
    </row>
    <row r="254">
      <c r="A254" s="22" t="s">
        <v>523</v>
      </c>
      <c r="B254" s="22">
        <v>2.0</v>
      </c>
      <c r="C254" s="23" t="str">
        <f>HYPERLINK("http://ecotaxoserver.obs-vlfr.fr/browsetaxo/?id=93072","93072")</f>
        <v>93072</v>
      </c>
      <c r="D254" s="23" t="str">
        <f>HYPERLINK("http://www.marinespecies.org/aphia.php?p=taxdetails&amp;id=135408","135408")</f>
        <v>135408</v>
      </c>
      <c r="E254" s="22" t="s">
        <v>524</v>
      </c>
      <c r="F254" s="22" t="s">
        <v>524</v>
      </c>
      <c r="G254" s="22" t="s">
        <v>94</v>
      </c>
      <c r="H254" s="23" t="str">
        <f>HYPERLINK("http://www.marinespecies.org/aphia.php?p=taxdetails&amp;id=135408","135408")</f>
        <v>135408</v>
      </c>
      <c r="I254" s="22" t="s">
        <v>94</v>
      </c>
      <c r="J254" s="24" t="str">
        <f t="shared" si="2"/>
        <v/>
      </c>
    </row>
    <row r="255">
      <c r="A255" s="22" t="s">
        <v>124</v>
      </c>
      <c r="B255" s="22">
        <v>106.0</v>
      </c>
      <c r="C255" s="23" t="str">
        <f>HYPERLINK("http://ecotaxoserver.obs-vlfr.fr/browsetaxo/?id=78395","78395")</f>
        <v>78395</v>
      </c>
      <c r="D255" s="23" t="str">
        <f>HYPERLINK("http://www.marinespecies.org/aphia.php?p=taxdetails&amp;id=148356","148356")</f>
        <v>148356</v>
      </c>
      <c r="E255" s="22" t="s">
        <v>357</v>
      </c>
      <c r="F255" s="22" t="s">
        <v>358</v>
      </c>
      <c r="G255" s="22" t="s">
        <v>94</v>
      </c>
      <c r="H255" s="23" t="str">
        <f>HYPERLINK("http://www.marinespecies.org/aphia.php?p=taxdetails&amp;id=148356","148356")</f>
        <v>148356</v>
      </c>
      <c r="I255" s="22" t="s">
        <v>94</v>
      </c>
      <c r="J255" s="24" t="str">
        <f t="shared" si="2"/>
        <v>!=</v>
      </c>
    </row>
    <row r="256">
      <c r="A256" s="22" t="s">
        <v>525</v>
      </c>
      <c r="B256" s="22">
        <v>47.0</v>
      </c>
      <c r="C256" s="23" t="str">
        <f>HYPERLINK("http://ecotaxoserver.obs-vlfr.fr/browsetaxo/?id=81926","81926")</f>
        <v>81926</v>
      </c>
      <c r="D256" s="23" t="str">
        <f>HYPERLINK("http://www.marinespecies.org/aphia.php?p=taxdetails&amp;id=148377","148377")</f>
        <v>148377</v>
      </c>
      <c r="E256" s="22" t="s">
        <v>124</v>
      </c>
      <c r="F256" s="22" t="s">
        <v>124</v>
      </c>
      <c r="G256" s="22" t="s">
        <v>94</v>
      </c>
      <c r="H256" s="23" t="str">
        <f>HYPERLINK("http://www.marinespecies.org/aphia.php?p=taxdetails&amp;id=148377","148377")</f>
        <v>148377</v>
      </c>
      <c r="I256" s="22" t="s">
        <v>94</v>
      </c>
      <c r="J256" s="24" t="str">
        <f t="shared" si="2"/>
        <v/>
      </c>
    </row>
    <row r="257">
      <c r="A257" s="22" t="s">
        <v>526</v>
      </c>
      <c r="B257" s="22">
        <v>17984.0</v>
      </c>
      <c r="C257" s="23" t="str">
        <f>HYPERLINK("http://ecotaxoserver.obs-vlfr.fr/browsetaxo/?id=2250","2250")</f>
        <v>2250</v>
      </c>
      <c r="D257" s="23" t="str">
        <f>HYPERLINK("http://www.marinespecies.org/aphia.php?p=taxdetails&amp;id=11","11")</f>
        <v>11</v>
      </c>
      <c r="E257" s="22" t="s">
        <v>283</v>
      </c>
      <c r="F257" s="22" t="s">
        <v>283</v>
      </c>
      <c r="G257" s="22" t="s">
        <v>94</v>
      </c>
      <c r="H257" s="23" t="str">
        <f>HYPERLINK("http://www.marinespecies.org/aphia.php?p=taxdetails&amp;id=11","11")</f>
        <v>11</v>
      </c>
      <c r="I257" s="22" t="s">
        <v>94</v>
      </c>
      <c r="J257" s="24" t="str">
        <f t="shared" si="2"/>
        <v/>
      </c>
    </row>
    <row r="258">
      <c r="A258" s="22" t="s">
        <v>527</v>
      </c>
      <c r="B258" s="22">
        <v>2.0</v>
      </c>
      <c r="C258" s="23" t="str">
        <f>HYPERLINK("http://ecotaxoserver.obs-vlfr.fr/browsetaxo/?id=93124","93124")</f>
        <v>93124</v>
      </c>
      <c r="D258" s="23" t="str">
        <f>HYPERLINK("http://www.marinespecies.org/aphia.php?p=taxdetails&amp;id=221193","221193")</f>
        <v>221193</v>
      </c>
      <c r="E258" s="22" t="s">
        <v>528</v>
      </c>
      <c r="F258" s="22" t="s">
        <v>528</v>
      </c>
      <c r="G258" s="22" t="s">
        <v>94</v>
      </c>
      <c r="H258" s="23" t="str">
        <f>HYPERLINK("http://www.marinespecies.org/aphia.php?p=taxdetails&amp;id=221193","221193")</f>
        <v>221193</v>
      </c>
      <c r="I258" s="22" t="s">
        <v>94</v>
      </c>
      <c r="J258" s="24" t="str">
        <f t="shared" si="2"/>
        <v/>
      </c>
    </row>
    <row r="259">
      <c r="A259" s="22" t="s">
        <v>321</v>
      </c>
      <c r="B259" s="22">
        <v>5193.0</v>
      </c>
      <c r="C259" s="23" t="str">
        <f>HYPERLINK("http://ecotaxoserver.obs-vlfr.fr/browsetaxo/?id=45079","45079")</f>
        <v>45079</v>
      </c>
      <c r="D259" s="23" t="str">
        <f>HYPERLINK("http://www.marinespecies.org/aphia.php?p=taxdetails&amp;id=1082","1082")</f>
        <v>1082</v>
      </c>
      <c r="E259" s="22" t="s">
        <v>529</v>
      </c>
      <c r="F259" s="22" t="s">
        <v>529</v>
      </c>
      <c r="G259" s="22" t="s">
        <v>94</v>
      </c>
      <c r="H259" s="23" t="str">
        <f>HYPERLINK("http://www.marinespecies.org/aphia.php?p=taxdetails&amp;id=1082","1082")</f>
        <v>1082</v>
      </c>
      <c r="I259" s="22" t="s">
        <v>94</v>
      </c>
      <c r="J259" s="24" t="str">
        <f t="shared" si="2"/>
        <v/>
      </c>
    </row>
    <row r="260">
      <c r="A260" s="22" t="s">
        <v>530</v>
      </c>
      <c r="B260" s="22">
        <v>3.0</v>
      </c>
      <c r="C260" s="23" t="str">
        <f>HYPERLINK("http://ecotaxoserver.obs-vlfr.fr/browsetaxo/?id=92427","92427")</f>
        <v>92427</v>
      </c>
      <c r="D260" s="23" t="str">
        <f>HYPERLINK("http://www.marinespecies.org/aphia.php?p=taxdetails&amp;id=109602","109602")</f>
        <v>109602</v>
      </c>
      <c r="E260" s="22" t="s">
        <v>128</v>
      </c>
      <c r="F260" s="22" t="s">
        <v>531</v>
      </c>
      <c r="G260" s="22" t="s">
        <v>94</v>
      </c>
      <c r="H260" s="23" t="str">
        <f>HYPERLINK("http://www.marinespecies.org/aphia.php?p=taxdetails&amp;id=109602","109602")</f>
        <v>109602</v>
      </c>
      <c r="I260" s="22" t="s">
        <v>94</v>
      </c>
      <c r="J260" s="24" t="str">
        <f t="shared" si="2"/>
        <v>!=</v>
      </c>
    </row>
    <row r="261">
      <c r="A261" s="22" t="s">
        <v>357</v>
      </c>
      <c r="B261" s="22">
        <v>192581.0</v>
      </c>
      <c r="C261" s="23" t="str">
        <f>HYPERLINK("http://ecotaxoserver.obs-vlfr.fr/browsetaxo/?id=45036","45036")</f>
        <v>45036</v>
      </c>
      <c r="D261" s="23" t="str">
        <f>HYPERLINK("http://www.marinespecies.org/aphia.php?p=taxdetails&amp;id=1076","1076")</f>
        <v>1076</v>
      </c>
      <c r="E261" s="22" t="s">
        <v>532</v>
      </c>
      <c r="F261" s="22" t="s">
        <v>533</v>
      </c>
      <c r="G261" s="22" t="s">
        <v>94</v>
      </c>
      <c r="H261" s="23" t="str">
        <f>HYPERLINK("http://www.marinespecies.org/aphia.php?p=taxdetails&amp;id=1076","1076")</f>
        <v>1076</v>
      </c>
      <c r="I261" s="22" t="s">
        <v>94</v>
      </c>
      <c r="J261" s="24" t="str">
        <f t="shared" si="2"/>
        <v>!=</v>
      </c>
    </row>
    <row r="262">
      <c r="A262" s="22" t="s">
        <v>534</v>
      </c>
      <c r="B262" s="22">
        <v>113.0</v>
      </c>
      <c r="C262" s="23" t="str">
        <f>HYPERLINK("http://ecotaxoserver.obs-vlfr.fr/browsetaxo/?id=92753","92753")</f>
        <v>92753</v>
      </c>
      <c r="D262" s="23" t="str">
        <f>HYPERLINK("http://www.marinespecies.org/aphia.php?p=taxdetails&amp;id=109509","109509")</f>
        <v>109509</v>
      </c>
      <c r="E262" s="22" t="s">
        <v>535</v>
      </c>
      <c r="F262" s="22" t="s">
        <v>535</v>
      </c>
      <c r="G262" s="22" t="s">
        <v>94</v>
      </c>
      <c r="H262" s="23" t="str">
        <f>HYPERLINK("http://www.marinespecies.org/aphia.php?p=taxdetails&amp;id=109509","109509")</f>
        <v>109509</v>
      </c>
      <c r="I262" s="22" t="s">
        <v>94</v>
      </c>
      <c r="J262" s="24" t="str">
        <f t="shared" si="2"/>
        <v/>
      </c>
    </row>
    <row r="263">
      <c r="A263" s="22" t="s">
        <v>536</v>
      </c>
      <c r="B263" s="22">
        <v>102.0</v>
      </c>
      <c r="C263" s="23" t="str">
        <f>HYPERLINK("http://ecotaxoserver.obs-vlfr.fr/browsetaxo/?id=92428","92428")</f>
        <v>92428</v>
      </c>
      <c r="D263" s="23" t="str">
        <f>HYPERLINK("http://www.marinespecies.org/aphia.php?p=taxdetails&amp;id=109989","109989")</f>
        <v>109989</v>
      </c>
      <c r="E263" s="22" t="s">
        <v>128</v>
      </c>
      <c r="F263" s="22" t="s">
        <v>534</v>
      </c>
      <c r="G263" s="22" t="s">
        <v>94</v>
      </c>
      <c r="H263" s="23" t="str">
        <f>HYPERLINK("http://www.marinespecies.org/aphia.php?p=taxdetails&amp;id=109989","109989")</f>
        <v>109989</v>
      </c>
      <c r="I263" s="22" t="s">
        <v>94</v>
      </c>
      <c r="J263" s="24" t="str">
        <f t="shared" si="2"/>
        <v>!=</v>
      </c>
    </row>
    <row r="264">
      <c r="A264" s="22" t="s">
        <v>537</v>
      </c>
      <c r="B264" s="22">
        <v>3.0</v>
      </c>
      <c r="C264" s="23" t="str">
        <f>HYPERLINK("http://ecotaxoserver.obs-vlfr.fr/browsetaxo/?id=92429","92429")</f>
        <v>92429</v>
      </c>
      <c r="D264" s="23" t="str">
        <f>HYPERLINK("http://www.marinespecies.org/aphia.php?p=taxdetails&amp;id=109990","109990")</f>
        <v>109990</v>
      </c>
      <c r="E264" s="22" t="s">
        <v>128</v>
      </c>
      <c r="F264" s="22" t="s">
        <v>534</v>
      </c>
      <c r="G264" s="22" t="s">
        <v>94</v>
      </c>
      <c r="H264" s="23" t="str">
        <f>HYPERLINK("http://www.marinespecies.org/aphia.php?p=taxdetails&amp;id=109990","109990")</f>
        <v>109990</v>
      </c>
      <c r="I264" s="22" t="s">
        <v>94</v>
      </c>
      <c r="J264" s="24" t="str">
        <f t="shared" si="2"/>
        <v>!=</v>
      </c>
    </row>
    <row r="265">
      <c r="A265" s="22" t="s">
        <v>538</v>
      </c>
      <c r="B265" s="22">
        <v>157.0</v>
      </c>
      <c r="C265" s="23" t="str">
        <f>HYPERLINK("http://ecotaxoserver.obs-vlfr.fr/browsetaxo/?id=61989","61989")</f>
        <v>61989</v>
      </c>
      <c r="D265" s="23" t="str">
        <f>HYPERLINK("http://www.marinespecies.org/aphia.php?p=taxdetails&amp;id=104082","104082")</f>
        <v>104082</v>
      </c>
      <c r="E265" s="22" t="s">
        <v>111</v>
      </c>
      <c r="F265" s="22" t="s">
        <v>111</v>
      </c>
      <c r="G265" s="22" t="s">
        <v>94</v>
      </c>
      <c r="H265" s="23" t="str">
        <f>HYPERLINK("http://www.marinespecies.org/aphia.php?p=taxdetails&amp;id=104082","104082")</f>
        <v>104082</v>
      </c>
      <c r="I265" s="22" t="s">
        <v>94</v>
      </c>
      <c r="J265" s="24" t="str">
        <f t="shared" si="2"/>
        <v/>
      </c>
    </row>
    <row r="266">
      <c r="A266" s="22" t="s">
        <v>539</v>
      </c>
      <c r="B266" s="22">
        <v>1518.0</v>
      </c>
      <c r="C266" s="23" t="str">
        <f>HYPERLINK("http://ecotaxoserver.obs-vlfr.fr/browsetaxo/?id=80136","80136")</f>
        <v>80136</v>
      </c>
      <c r="D266" s="23" t="str">
        <f>HYPERLINK("http://www.marinespecies.org/aphia.php?p=taxdetails&amp;id=104161","104161")</f>
        <v>104161</v>
      </c>
      <c r="E266" s="22" t="s">
        <v>538</v>
      </c>
      <c r="F266" s="22" t="s">
        <v>538</v>
      </c>
      <c r="G266" s="22" t="s">
        <v>94</v>
      </c>
      <c r="H266" s="23" t="str">
        <f>HYPERLINK("http://www.marinespecies.org/aphia.php?p=taxdetails&amp;id=104161","104161")</f>
        <v>104161</v>
      </c>
      <c r="I266" s="22" t="s">
        <v>94</v>
      </c>
      <c r="J266" s="24" t="str">
        <f t="shared" si="2"/>
        <v/>
      </c>
    </row>
    <row r="267">
      <c r="A267" s="22" t="s">
        <v>540</v>
      </c>
      <c r="B267" s="22">
        <v>371.0</v>
      </c>
      <c r="C267" s="23" t="str">
        <f>HYPERLINK("http://ecotaxoserver.obs-vlfr.fr/browsetaxo/?id=82458","82458")</f>
        <v>82458</v>
      </c>
      <c r="D267" s="23" t="str">
        <f>HYPERLINK("http://www.marinespecies.org/aphia.php?p=taxdetails&amp;id=104503","104503")</f>
        <v>104503</v>
      </c>
      <c r="E267" s="22" t="s">
        <v>539</v>
      </c>
      <c r="F267" s="22" t="s">
        <v>539</v>
      </c>
      <c r="G267" s="22" t="s">
        <v>94</v>
      </c>
      <c r="H267" s="23" t="str">
        <f>HYPERLINK("http://www.marinespecies.org/aphia.php?p=taxdetails&amp;id=104503","104503")</f>
        <v>104503</v>
      </c>
      <c r="I267" s="22" t="s">
        <v>94</v>
      </c>
      <c r="J267" s="24" t="str">
        <f t="shared" si="2"/>
        <v/>
      </c>
    </row>
    <row r="268">
      <c r="A268" s="22" t="s">
        <v>541</v>
      </c>
      <c r="B268" s="22">
        <v>214.0</v>
      </c>
      <c r="C268" s="23" t="str">
        <f>HYPERLINK("http://ecotaxoserver.obs-vlfr.fr/browsetaxo/?id=26475","26475")</f>
        <v>26475</v>
      </c>
      <c r="D268" s="23" t="str">
        <f>HYPERLINK("http://www.marinespecies.org/aphia.php?p=taxdetails&amp;id=411904","411904")</f>
        <v>411904</v>
      </c>
      <c r="E268" s="22" t="s">
        <v>432</v>
      </c>
      <c r="F268" s="22" t="s">
        <v>433</v>
      </c>
      <c r="G268" s="22" t="s">
        <v>94</v>
      </c>
      <c r="H268" s="23" t="str">
        <f>HYPERLINK("http://www.marinespecies.org/aphia.php?p=taxdetails&amp;id=411904","411904")</f>
        <v>411904</v>
      </c>
      <c r="I268" s="22" t="s">
        <v>94</v>
      </c>
      <c r="J268" s="24" t="str">
        <f t="shared" si="2"/>
        <v>!=</v>
      </c>
    </row>
    <row r="269">
      <c r="A269" s="22" t="s">
        <v>542</v>
      </c>
      <c r="B269" s="22">
        <v>827.0</v>
      </c>
      <c r="C269" s="23" t="str">
        <f>HYPERLINK("http://ecotaxoserver.obs-vlfr.fr/browsetaxo/?id=92214","92214")</f>
        <v>92214</v>
      </c>
      <c r="D269" s="23" t="str">
        <f>HYPERLINK("http://www.marinespecies.org/aphia.php?p=taxdetails&amp;id=196803","196803")</f>
        <v>196803</v>
      </c>
      <c r="E269" s="22" t="s">
        <v>543</v>
      </c>
      <c r="F269" s="22" t="s">
        <v>451</v>
      </c>
      <c r="G269" s="22" t="s">
        <v>94</v>
      </c>
      <c r="H269" s="23" t="str">
        <f>HYPERLINK("http://www.marinespecies.org/aphia.php?p=taxdetails&amp;id=196803","196803")</f>
        <v>196803</v>
      </c>
      <c r="I269" s="22" t="s">
        <v>94</v>
      </c>
      <c r="J269" s="24" t="str">
        <f t="shared" si="2"/>
        <v>!=</v>
      </c>
    </row>
    <row r="270">
      <c r="A270" s="22" t="s">
        <v>544</v>
      </c>
      <c r="B270" s="22">
        <v>1.0</v>
      </c>
      <c r="C270" s="23" t="str">
        <f>HYPERLINK("http://ecotaxoserver.obs-vlfr.fr/browsetaxo/?id=92215","92215")</f>
        <v>92215</v>
      </c>
      <c r="D270" s="23" t="str">
        <f>HYPERLINK("http://www.marinespecies.org/aphia.php?p=taxdetails&amp;id=196804","196804")</f>
        <v>196804</v>
      </c>
      <c r="E270" s="22" t="s">
        <v>543</v>
      </c>
      <c r="F270" s="22" t="s">
        <v>542</v>
      </c>
      <c r="G270" s="22" t="s">
        <v>94</v>
      </c>
      <c r="H270" s="23" t="str">
        <f>HYPERLINK("http://www.marinespecies.org/aphia.php?p=taxdetails&amp;id=196804","196804")</f>
        <v>196804</v>
      </c>
      <c r="I270" s="22" t="s">
        <v>94</v>
      </c>
      <c r="J270" s="24" t="str">
        <f t="shared" si="2"/>
        <v>!=</v>
      </c>
    </row>
    <row r="271">
      <c r="A271" s="22" t="s">
        <v>545</v>
      </c>
      <c r="B271" s="22">
        <v>53.0</v>
      </c>
      <c r="C271" s="23" t="str">
        <f>HYPERLINK("http://ecotaxoserver.obs-vlfr.fr/browsetaxo/?id=56468","56468")</f>
        <v>56468</v>
      </c>
      <c r="D271" s="23" t="str">
        <f>HYPERLINK("http://www.marinespecies.org/aphia.php?p=taxdetails&amp;id=137751","137751")</f>
        <v>137751</v>
      </c>
      <c r="E271" s="22" t="s">
        <v>541</v>
      </c>
      <c r="F271" s="22" t="s">
        <v>541</v>
      </c>
      <c r="G271" s="22" t="s">
        <v>94</v>
      </c>
      <c r="H271" s="23" t="str">
        <f>HYPERLINK("http://www.marinespecies.org/aphia.php?p=taxdetails&amp;id=137751","137751")</f>
        <v>137751</v>
      </c>
      <c r="I271" s="22" t="s">
        <v>94</v>
      </c>
      <c r="J271" s="24" t="str">
        <f t="shared" si="2"/>
        <v/>
      </c>
    </row>
    <row r="272">
      <c r="A272" s="22" t="s">
        <v>546</v>
      </c>
      <c r="B272" s="22">
        <v>14.0</v>
      </c>
      <c r="C272" s="23" t="str">
        <f>HYPERLINK("http://ecotaxoserver.obs-vlfr.fr/browsetaxo/?id=74166","74166")</f>
        <v>74166</v>
      </c>
      <c r="D272" s="23" t="str">
        <f>HYPERLINK("http://www.marinespecies.org/aphia.php?p=taxdetails&amp;id=139033","139033")</f>
        <v>139033</v>
      </c>
      <c r="E272" s="22" t="s">
        <v>545</v>
      </c>
      <c r="F272" s="22" t="s">
        <v>545</v>
      </c>
      <c r="G272" s="22" t="s">
        <v>94</v>
      </c>
      <c r="H272" s="23" t="str">
        <f>HYPERLINK("http://www.marinespecies.org/aphia.php?p=taxdetails&amp;id=139033","139033")</f>
        <v>139033</v>
      </c>
      <c r="I272" s="22" t="s">
        <v>94</v>
      </c>
      <c r="J272" s="24" t="str">
        <f t="shared" si="2"/>
        <v/>
      </c>
    </row>
    <row r="273">
      <c r="A273" s="22" t="s">
        <v>547</v>
      </c>
      <c r="B273" s="22">
        <v>472.0</v>
      </c>
      <c r="C273" s="23" t="str">
        <f>HYPERLINK("http://ecotaxoserver.obs-vlfr.fr/browsetaxo/?id=90509","90509")</f>
        <v>90509</v>
      </c>
      <c r="D273" s="23" t="str">
        <f>HYPERLINK("http://www.marinespecies.org/aphia.php?p=taxdetails&amp;id=137793","137793")</f>
        <v>137793</v>
      </c>
      <c r="E273" s="22" t="s">
        <v>548</v>
      </c>
      <c r="F273" s="22" t="s">
        <v>548</v>
      </c>
      <c r="G273" s="22" t="s">
        <v>94</v>
      </c>
      <c r="H273" s="23" t="str">
        <f>HYPERLINK("http://www.marinespecies.org/aphia.php?p=taxdetails&amp;id=137793","137793")</f>
        <v>137793</v>
      </c>
      <c r="I273" s="22" t="s">
        <v>94</v>
      </c>
      <c r="J273" s="24" t="str">
        <f t="shared" si="2"/>
        <v/>
      </c>
    </row>
    <row r="274">
      <c r="A274" s="22" t="s">
        <v>549</v>
      </c>
      <c r="B274" s="22">
        <v>49.0</v>
      </c>
      <c r="C274" s="23" t="str">
        <f>HYPERLINK("http://ecotaxoserver.obs-vlfr.fr/browsetaxo/?id=91702","91702")</f>
        <v>91702</v>
      </c>
      <c r="D274" s="23" t="str">
        <f>HYPERLINK("http://www.marinespecies.org/aphia.php?p=taxdetails&amp;id=139178","139178")</f>
        <v>139178</v>
      </c>
      <c r="E274" s="22" t="s">
        <v>547</v>
      </c>
      <c r="F274" s="22" t="s">
        <v>547</v>
      </c>
      <c r="G274" s="22" t="s">
        <v>94</v>
      </c>
      <c r="H274" s="23" t="str">
        <f>HYPERLINK("http://www.marinespecies.org/aphia.php?p=taxdetails&amp;id=139178","139178")</f>
        <v>139178</v>
      </c>
      <c r="I274" s="22" t="s">
        <v>94</v>
      </c>
      <c r="J274" s="24" t="str">
        <f t="shared" si="2"/>
        <v/>
      </c>
    </row>
    <row r="275">
      <c r="A275" s="22" t="s">
        <v>548</v>
      </c>
      <c r="B275" s="22">
        <v>1.0</v>
      </c>
      <c r="C275" s="23" t="str">
        <f>HYPERLINK("http://ecotaxoserver.obs-vlfr.fr/browsetaxo/?id=88107","88107")</f>
        <v>88107</v>
      </c>
      <c r="D275" s="23" t="str">
        <f>HYPERLINK("http://www.marinespecies.org/aphia.php?p=taxdetails&amp;id=166","166")</f>
        <v>166</v>
      </c>
      <c r="E275" s="22" t="s">
        <v>550</v>
      </c>
      <c r="F275" s="22" t="s">
        <v>551</v>
      </c>
      <c r="G275" s="22" t="s">
        <v>94</v>
      </c>
      <c r="H275" s="23" t="str">
        <f>HYPERLINK("http://www.marinespecies.org/aphia.php?p=taxdetails&amp;id=166","166")</f>
        <v>166</v>
      </c>
      <c r="I275" s="22" t="s">
        <v>94</v>
      </c>
      <c r="J275" s="24" t="str">
        <f t="shared" si="2"/>
        <v>!=</v>
      </c>
    </row>
    <row r="276">
      <c r="A276" s="22" t="s">
        <v>552</v>
      </c>
      <c r="B276" s="22">
        <v>976.0</v>
      </c>
      <c r="C276" s="23" t="str">
        <f>HYPERLINK("http://ecotaxoserver.obs-vlfr.fr/browsetaxo/?id=80738","80738")</f>
        <v>80738</v>
      </c>
      <c r="D276" s="23" t="str">
        <f>HYPERLINK("http://www.marinespecies.org/aphia.php?p=taxdetails&amp;id=126417","126417")</f>
        <v>126417</v>
      </c>
      <c r="E276" s="22" t="s">
        <v>553</v>
      </c>
      <c r="F276" s="22" t="s">
        <v>553</v>
      </c>
      <c r="G276" s="22" t="s">
        <v>94</v>
      </c>
      <c r="H276" s="23" t="str">
        <f>HYPERLINK("http://www.marinespecies.org/aphia.php?p=taxdetails&amp;id=126417","126417")</f>
        <v>126417</v>
      </c>
      <c r="I276" s="22" t="s">
        <v>94</v>
      </c>
      <c r="J276" s="24" t="str">
        <f t="shared" si="2"/>
        <v/>
      </c>
    </row>
    <row r="277">
      <c r="A277" s="22" t="s">
        <v>554</v>
      </c>
      <c r="B277" s="22">
        <v>132.0</v>
      </c>
      <c r="C277" s="23" t="str">
        <f>HYPERLINK("http://ecotaxoserver.obs-vlfr.fr/browsetaxo/?id=92717","92717")</f>
        <v>92717</v>
      </c>
      <c r="D277" s="23" t="str">
        <f>HYPERLINK("http://www.marinespecies.org/aphia.php?p=taxdetails&amp;id=125464","125464")</f>
        <v>125464</v>
      </c>
      <c r="E277" s="22" t="s">
        <v>132</v>
      </c>
      <c r="F277" s="22" t="s">
        <v>555</v>
      </c>
      <c r="G277" s="22" t="s">
        <v>94</v>
      </c>
      <c r="H277" s="23" t="str">
        <f>HYPERLINK("http://www.marinespecies.org/aphia.php?p=taxdetails&amp;id=125464","125464")</f>
        <v>125464</v>
      </c>
      <c r="I277" s="22" t="s">
        <v>94</v>
      </c>
      <c r="J277" s="24" t="str">
        <f t="shared" si="2"/>
        <v>!=</v>
      </c>
    </row>
    <row r="278">
      <c r="A278" s="22" t="s">
        <v>556</v>
      </c>
      <c r="B278" s="22">
        <v>1.0</v>
      </c>
      <c r="C278" s="23" t="str">
        <f>HYPERLINK("http://ecotaxoserver.obs-vlfr.fr/browsetaxo/?id=72348","72348")</f>
        <v>72348</v>
      </c>
      <c r="D278" s="23" t="str">
        <f>HYPERLINK("http://www.marinespecies.org/aphia.php?p=taxdetails&amp;id=117030","117030")</f>
        <v>117030</v>
      </c>
      <c r="E278" s="22" t="s">
        <v>557</v>
      </c>
      <c r="F278" s="22" t="s">
        <v>557</v>
      </c>
      <c r="G278" s="22" t="s">
        <v>94</v>
      </c>
      <c r="H278" s="23" t="str">
        <f>HYPERLINK("http://www.marinespecies.org/aphia.php?p=taxdetails&amp;id=117030","117030")</f>
        <v>117030</v>
      </c>
      <c r="I278" s="22" t="s">
        <v>94</v>
      </c>
      <c r="J278" s="24" t="str">
        <f t="shared" si="2"/>
        <v/>
      </c>
    </row>
    <row r="279">
      <c r="A279" s="22" t="s">
        <v>558</v>
      </c>
      <c r="B279" s="22">
        <v>23.0</v>
      </c>
      <c r="C279" s="23" t="str">
        <f>HYPERLINK("http://ecotaxoserver.obs-vlfr.fr/browsetaxo/?id=81709","81709")</f>
        <v>81709</v>
      </c>
      <c r="D279" s="23" t="str">
        <f>HYPERLINK("http://www.marinespecies.org/aphia.php?p=taxdetails&amp;id=117368","117368")</f>
        <v>117368</v>
      </c>
      <c r="E279" s="22" t="s">
        <v>556</v>
      </c>
      <c r="F279" s="22" t="s">
        <v>556</v>
      </c>
      <c r="G279" s="22" t="s">
        <v>94</v>
      </c>
      <c r="H279" s="23" t="str">
        <f>HYPERLINK("http://www.marinespecies.org/aphia.php?p=taxdetails&amp;id=117368","117368")</f>
        <v>117368</v>
      </c>
      <c r="I279" s="22" t="s">
        <v>94</v>
      </c>
      <c r="J279" s="24" t="str">
        <f t="shared" si="2"/>
        <v/>
      </c>
    </row>
    <row r="280">
      <c r="A280" s="22" t="s">
        <v>559</v>
      </c>
      <c r="B280" s="22">
        <v>414.0</v>
      </c>
      <c r="C280" s="23" t="str">
        <f>HYPERLINK("http://ecotaxoserver.obs-vlfr.fr/browsetaxo/?id=13187","13187")</f>
        <v>13187</v>
      </c>
      <c r="D280" s="23" t="str">
        <f>HYPERLINK("http://www.marinespecies.org/aphia.php?p=taxdetails&amp;id=178597","178597")</f>
        <v>178597</v>
      </c>
      <c r="E280" s="22" t="s">
        <v>406</v>
      </c>
      <c r="F280" s="22" t="s">
        <v>406</v>
      </c>
      <c r="G280" s="22" t="s">
        <v>94</v>
      </c>
      <c r="H280" s="23" t="str">
        <f>HYPERLINK("http://www.marinespecies.org/aphia.php?p=taxdetails&amp;id=178597","178597")</f>
        <v>178597</v>
      </c>
      <c r="I280" s="22" t="s">
        <v>94</v>
      </c>
      <c r="J280" s="24" t="str">
        <f t="shared" si="2"/>
        <v/>
      </c>
    </row>
    <row r="281">
      <c r="A281" s="22" t="s">
        <v>406</v>
      </c>
      <c r="B281" s="22">
        <v>244.0</v>
      </c>
      <c r="C281" s="23" t="str">
        <f>HYPERLINK("http://ecotaxoserver.obs-vlfr.fr/browsetaxo/?id=11691","11691")</f>
        <v>11691</v>
      </c>
      <c r="D281" s="23" t="str">
        <f>HYPERLINK("http://www.marinespecies.org/aphia.php?p=taxdetails&amp;id=493821","493821")</f>
        <v>493821</v>
      </c>
      <c r="E281" s="22" t="s">
        <v>560</v>
      </c>
      <c r="F281" s="22" t="s">
        <v>560</v>
      </c>
      <c r="G281" s="22" t="s">
        <v>94</v>
      </c>
      <c r="H281" s="23" t="str">
        <f>HYPERLINK("http://www.marinespecies.org/aphia.php?p=taxdetails&amp;id=493821","493821")</f>
        <v>493821</v>
      </c>
      <c r="I281" s="22" t="s">
        <v>94</v>
      </c>
      <c r="J281" s="24" t="str">
        <f t="shared" si="2"/>
        <v/>
      </c>
    </row>
    <row r="282">
      <c r="A282" s="22" t="s">
        <v>561</v>
      </c>
      <c r="B282" s="22">
        <v>16.0</v>
      </c>
      <c r="C282" s="23" t="str">
        <f>HYPERLINK("http://ecotaxoserver.obs-vlfr.fr/browsetaxo/?id=28198","28198")</f>
        <v>28198</v>
      </c>
      <c r="D282" s="23" t="str">
        <f>HYPERLINK("http://www.marinespecies.org/aphia.php?p=taxdetails&amp;id=148989","148989")</f>
        <v>148989</v>
      </c>
      <c r="E282" s="22" t="s">
        <v>119</v>
      </c>
      <c r="F282" s="22" t="s">
        <v>562</v>
      </c>
      <c r="G282" s="22" t="s">
        <v>94</v>
      </c>
      <c r="H282" s="23" t="str">
        <f>HYPERLINK("http://www.marinespecies.org/aphia.php?p=taxdetails&amp;id=148989","148989")</f>
        <v>148989</v>
      </c>
      <c r="I282" s="22" t="s">
        <v>94</v>
      </c>
      <c r="J282" s="24" t="str">
        <f t="shared" si="2"/>
        <v>!=</v>
      </c>
    </row>
    <row r="283">
      <c r="A283" s="22" t="s">
        <v>563</v>
      </c>
      <c r="B283" s="22">
        <v>3.0</v>
      </c>
      <c r="C283" s="23" t="str">
        <f>HYPERLINK("http://ecotaxoserver.obs-vlfr.fr/browsetaxo/?id=18777","18777")</f>
        <v>18777</v>
      </c>
      <c r="D283" s="23" t="str">
        <f>HYPERLINK("http://www.marinespecies.org/aphia.php?p=taxdetails&amp;id=109474","109474")</f>
        <v>109474</v>
      </c>
      <c r="E283" s="22" t="s">
        <v>187</v>
      </c>
      <c r="F283" s="22" t="s">
        <v>187</v>
      </c>
      <c r="G283" s="22" t="s">
        <v>94</v>
      </c>
      <c r="H283" s="23" t="str">
        <f>HYPERLINK("http://www.marinespecies.org/aphia.php?p=taxdetails&amp;id=109474","109474")</f>
        <v>109474</v>
      </c>
      <c r="I283" s="22" t="s">
        <v>94</v>
      </c>
      <c r="J283" s="24" t="str">
        <f t="shared" si="2"/>
        <v/>
      </c>
    </row>
    <row r="284">
      <c r="A284" s="22" t="s">
        <v>564</v>
      </c>
      <c r="B284" s="22">
        <v>2445.0</v>
      </c>
      <c r="C284" s="23" t="str">
        <f>HYPERLINK("http://ecotaxoserver.obs-vlfr.fr/browsetaxo/?id=31194","31194")</f>
        <v>31194</v>
      </c>
      <c r="D284" s="23" t="str">
        <f>HYPERLINK("http://www.marinespecies.org/aphia.php?p=taxdetails&amp;id=150204","150204")</f>
        <v>150204</v>
      </c>
      <c r="E284" s="22" t="s">
        <v>565</v>
      </c>
      <c r="F284" s="22" t="s">
        <v>566</v>
      </c>
      <c r="G284" s="22" t="s">
        <v>94</v>
      </c>
      <c r="H284" s="23" t="str">
        <f>HYPERLINK("http://www.marinespecies.org/aphia.php?p=taxdetails&amp;id=150204","150204")</f>
        <v>150204</v>
      </c>
      <c r="I284" s="22" t="s">
        <v>94</v>
      </c>
      <c r="J284" s="24" t="str">
        <f t="shared" si="2"/>
        <v>!=</v>
      </c>
    </row>
    <row r="285">
      <c r="A285" s="22" t="s">
        <v>567</v>
      </c>
      <c r="B285" s="22">
        <v>1857.0</v>
      </c>
      <c r="C285" s="23" t="str">
        <f>HYPERLINK("http://ecotaxoserver.obs-vlfr.fr/browsetaxo/?id=31187","31187")</f>
        <v>31187</v>
      </c>
      <c r="D285" s="23" t="str">
        <f>HYPERLINK("http://www.marinespecies.org/aphia.php?p=taxdetails&amp;id=150203","150203")</f>
        <v>150203</v>
      </c>
      <c r="E285" s="22" t="s">
        <v>566</v>
      </c>
      <c r="F285" s="22" t="s">
        <v>566</v>
      </c>
      <c r="G285" s="22" t="s">
        <v>94</v>
      </c>
      <c r="H285" s="23" t="str">
        <f>HYPERLINK("http://www.marinespecies.org/aphia.php?p=taxdetails&amp;id=150203","150203")</f>
        <v>150203</v>
      </c>
      <c r="I285" s="22" t="s">
        <v>94</v>
      </c>
      <c r="J285" s="24" t="str">
        <f t="shared" si="2"/>
        <v/>
      </c>
    </row>
    <row r="286">
      <c r="A286" s="22" t="s">
        <v>566</v>
      </c>
      <c r="B286" s="22">
        <v>32.0</v>
      </c>
      <c r="C286" s="23" t="str">
        <f>HYPERLINK("http://ecotaxoserver.obs-vlfr.fr/browsetaxo/?id=18611","18611")</f>
        <v>18611</v>
      </c>
      <c r="D286" s="23" t="str">
        <f>HYPERLINK("http://www.marinespecies.org/aphia.php?p=taxdetails&amp;id=150201","150201")</f>
        <v>150201</v>
      </c>
      <c r="E286" s="22" t="s">
        <v>508</v>
      </c>
      <c r="F286" s="22" t="s">
        <v>568</v>
      </c>
      <c r="G286" s="22" t="s">
        <v>94</v>
      </c>
      <c r="H286" s="23" t="str">
        <f>HYPERLINK("http://www.marinespecies.org/aphia.php?p=taxdetails&amp;id=150201","150201")</f>
        <v>150201</v>
      </c>
      <c r="I286" s="22" t="s">
        <v>94</v>
      </c>
      <c r="J286" s="24" t="str">
        <f t="shared" si="2"/>
        <v>!=</v>
      </c>
    </row>
    <row r="287">
      <c r="A287" s="22" t="s">
        <v>569</v>
      </c>
      <c r="B287" s="22">
        <v>3.0</v>
      </c>
      <c r="C287" s="23" t="str">
        <f>HYPERLINK("http://ecotaxoserver.obs-vlfr.fr/browsetaxo/?id=57392","57392")</f>
        <v>57392</v>
      </c>
      <c r="D287" s="23" t="str">
        <f>HYPERLINK("http://www.marinespecies.org/aphia.php?p=taxdetails&amp;id=417162","417162")</f>
        <v>417162</v>
      </c>
      <c r="E287" s="22" t="s">
        <v>570</v>
      </c>
      <c r="F287" s="22" t="s">
        <v>570</v>
      </c>
      <c r="G287" s="22" t="s">
        <v>94</v>
      </c>
      <c r="H287" s="23" t="str">
        <f>HYPERLINK("http://www.marinespecies.org/aphia.php?p=taxdetails&amp;id=417162","417162")</f>
        <v>417162</v>
      </c>
      <c r="I287" s="22" t="s">
        <v>94</v>
      </c>
      <c r="J287" s="24" t="str">
        <f t="shared" si="2"/>
        <v/>
      </c>
    </row>
    <row r="288">
      <c r="A288" s="22" t="s">
        <v>571</v>
      </c>
      <c r="B288" s="22">
        <v>126.0</v>
      </c>
      <c r="C288" s="23" t="str">
        <f>HYPERLINK("http://ecotaxoserver.obs-vlfr.fr/browsetaxo/?id=27643","27643")</f>
        <v>27643</v>
      </c>
      <c r="D288" s="23" t="str">
        <f>HYPERLINK("http://www.marinespecies.org/aphia.php?p=taxdetails&amp;id=367372","367372")</f>
        <v>367372</v>
      </c>
      <c r="E288" s="22" t="s">
        <v>572</v>
      </c>
      <c r="F288" s="22" t="s">
        <v>572</v>
      </c>
      <c r="G288" s="22" t="s">
        <v>94</v>
      </c>
      <c r="H288" s="23" t="str">
        <f>HYPERLINK("http://www.marinespecies.org/aphia.php?p=taxdetails&amp;id=367372","367372")</f>
        <v>367372</v>
      </c>
      <c r="I288" s="22" t="s">
        <v>94</v>
      </c>
      <c r="J288" s="24" t="str">
        <f t="shared" si="2"/>
        <v/>
      </c>
    </row>
    <row r="289">
      <c r="A289" s="22" t="s">
        <v>573</v>
      </c>
      <c r="B289" s="22">
        <v>671.0</v>
      </c>
      <c r="C289" s="23" t="str">
        <f>HYPERLINK("http://ecotaxoserver.obs-vlfr.fr/browsetaxo/?id=54880","54880")</f>
        <v>54880</v>
      </c>
      <c r="D289" s="23" t="str">
        <f>HYPERLINK("http://www.marinespecies.org/aphia.php?p=taxdetails&amp;id=409592","409592")</f>
        <v>409592</v>
      </c>
      <c r="E289" s="22" t="s">
        <v>571</v>
      </c>
      <c r="F289" s="22" t="s">
        <v>571</v>
      </c>
      <c r="G289" s="22" t="s">
        <v>94</v>
      </c>
      <c r="H289" s="23" t="str">
        <f>HYPERLINK("http://www.marinespecies.org/aphia.php?p=taxdetails&amp;id=409592","409592")</f>
        <v>409592</v>
      </c>
      <c r="I289" s="22" t="s">
        <v>94</v>
      </c>
      <c r="J289" s="24" t="str">
        <f t="shared" si="2"/>
        <v/>
      </c>
    </row>
    <row r="290">
      <c r="A290" s="22" t="s">
        <v>574</v>
      </c>
      <c r="B290" s="22">
        <v>1880.0</v>
      </c>
      <c r="C290" s="23" t="str">
        <f>HYPERLINK("http://ecotaxoserver.obs-vlfr.fr/browsetaxo/?id=13381","13381")</f>
        <v>13381</v>
      </c>
      <c r="D290" s="23" t="str">
        <f>HYPERLINK("http://www.marinespecies.org/aphia.php?p=taxdetails&amp;id=863399","863399")</f>
        <v>863399</v>
      </c>
      <c r="E290" s="22" t="s">
        <v>575</v>
      </c>
      <c r="F290" s="22" t="s">
        <v>576</v>
      </c>
      <c r="G290" s="22" t="s">
        <v>94</v>
      </c>
      <c r="H290" s="23" t="str">
        <f>HYPERLINK("http://www.marinespecies.org/aphia.php?p=taxdetails&amp;id=863399","863399")</f>
        <v>863399</v>
      </c>
      <c r="I290" s="22" t="s">
        <v>94</v>
      </c>
      <c r="J290" s="24" t="str">
        <f t="shared" si="2"/>
        <v>!=</v>
      </c>
    </row>
    <row r="291">
      <c r="A291" s="22" t="s">
        <v>577</v>
      </c>
      <c r="B291" s="22">
        <v>14.0</v>
      </c>
      <c r="C291" s="23" t="str">
        <f>HYPERLINK("http://ecotaxoserver.obs-vlfr.fr/browsetaxo/?id=27853","27853")</f>
        <v>27853</v>
      </c>
      <c r="D291" s="23" t="str">
        <f>HYPERLINK("http://www.marinespecies.org/aphia.php?p=taxdetails&amp;id=178828","178828")</f>
        <v>178828</v>
      </c>
      <c r="E291" s="22" t="s">
        <v>578</v>
      </c>
      <c r="F291" s="22" t="s">
        <v>574</v>
      </c>
      <c r="G291" s="22" t="s">
        <v>94</v>
      </c>
      <c r="H291" s="23" t="str">
        <f>HYPERLINK("http://www.marinespecies.org/aphia.php?p=taxdetails&amp;id=178828","178828")</f>
        <v>178828</v>
      </c>
      <c r="I291" s="22" t="s">
        <v>94</v>
      </c>
      <c r="J291" s="24" t="str">
        <f t="shared" si="2"/>
        <v>!=</v>
      </c>
    </row>
    <row r="292">
      <c r="A292" s="22" t="s">
        <v>579</v>
      </c>
      <c r="B292" s="22">
        <v>3.0</v>
      </c>
      <c r="C292" s="23" t="str">
        <f>HYPERLINK("http://ecotaxoserver.obs-vlfr.fr/browsetaxo/?id=92897","92897")</f>
        <v>92897</v>
      </c>
      <c r="D292" s="23" t="str">
        <f>HYPERLINK("http://www.marinespecies.org/aphia.php?p=taxdetails&amp;id=125427","125427")</f>
        <v>125427</v>
      </c>
      <c r="E292" s="22" t="s">
        <v>132</v>
      </c>
      <c r="F292" s="22" t="s">
        <v>220</v>
      </c>
      <c r="G292" s="22" t="s">
        <v>94</v>
      </c>
      <c r="H292" s="23" t="str">
        <f>HYPERLINK("http://www.marinespecies.org/aphia.php?p=taxdetails&amp;id=125427","125427")</f>
        <v>125427</v>
      </c>
      <c r="I292" s="22" t="s">
        <v>94</v>
      </c>
      <c r="J292" s="24" t="str">
        <f t="shared" si="2"/>
        <v>!=</v>
      </c>
    </row>
    <row r="293">
      <c r="A293" s="22" t="s">
        <v>383</v>
      </c>
      <c r="B293" s="22">
        <v>2044346.0</v>
      </c>
      <c r="C293" s="23" t="str">
        <f>HYPERLINK("http://ecotaxoserver.obs-vlfr.fr/browsetaxo/?id=25828","25828")</f>
        <v>25828</v>
      </c>
      <c r="D293" s="23" t="str">
        <f>HYPERLINK("http://www.marinespecies.org/aphia.php?p=taxdetails&amp;id=1080","1080")</f>
        <v>1080</v>
      </c>
      <c r="E293" s="22" t="s">
        <v>580</v>
      </c>
      <c r="F293" s="22" t="s">
        <v>581</v>
      </c>
      <c r="G293" s="22" t="s">
        <v>94</v>
      </c>
      <c r="H293" s="23" t="str">
        <f>HYPERLINK("http://www.marinespecies.org/aphia.php?p=taxdetails&amp;id=1080","1080")</f>
        <v>1080</v>
      </c>
      <c r="I293" s="22" t="s">
        <v>94</v>
      </c>
      <c r="J293" s="24" t="str">
        <f t="shared" si="2"/>
        <v>!=</v>
      </c>
    </row>
    <row r="294">
      <c r="A294" s="22" t="s">
        <v>582</v>
      </c>
      <c r="B294" s="22">
        <v>3876.0</v>
      </c>
      <c r="C294" s="23" t="str">
        <f>HYPERLINK("http://ecotaxoserver.obs-vlfr.fr/browsetaxo/?id=81977","81977")</f>
        <v>81977</v>
      </c>
      <c r="D294" s="23" t="str">
        <f>HYPERLINK("http://www.marinespecies.org/aphia.php?p=taxdetails&amp;id=128721","128721")</f>
        <v>128721</v>
      </c>
      <c r="E294" s="22" t="s">
        <v>583</v>
      </c>
      <c r="F294" s="22" t="s">
        <v>583</v>
      </c>
      <c r="G294" s="22" t="s">
        <v>94</v>
      </c>
      <c r="H294" s="23" t="str">
        <f>HYPERLINK("http://www.marinespecies.org/aphia.php?p=taxdetails&amp;id=128721","128721")</f>
        <v>128721</v>
      </c>
      <c r="I294" s="22" t="s">
        <v>94</v>
      </c>
      <c r="J294" s="24" t="str">
        <f t="shared" si="2"/>
        <v/>
      </c>
    </row>
    <row r="295">
      <c r="A295" s="22" t="s">
        <v>584</v>
      </c>
      <c r="B295" s="22">
        <v>1.0</v>
      </c>
      <c r="C295" s="23" t="str">
        <f>HYPERLINK("http://ecotaxoserver.obs-vlfr.fr/browsetaxo/?id=51324","51324")</f>
        <v>51324</v>
      </c>
      <c r="D295" s="23" t="str">
        <f>HYPERLINK("http://www.marinespecies.org/aphia.php?p=taxdetails&amp;id=527652","527652")</f>
        <v>527652</v>
      </c>
      <c r="E295" s="22" t="s">
        <v>585</v>
      </c>
      <c r="F295" s="22" t="s">
        <v>585</v>
      </c>
      <c r="G295" s="22" t="s">
        <v>94</v>
      </c>
      <c r="H295" s="23" t="str">
        <f>HYPERLINK("http://www.marinespecies.org/aphia.php?p=taxdetails&amp;id=527652","527652")</f>
        <v>527652</v>
      </c>
      <c r="I295" s="22" t="s">
        <v>94</v>
      </c>
      <c r="J295" s="24" t="str">
        <f t="shared" si="2"/>
        <v/>
      </c>
    </row>
    <row r="296">
      <c r="A296" s="22" t="s">
        <v>586</v>
      </c>
      <c r="B296" s="22">
        <v>20676.0</v>
      </c>
      <c r="C296" s="23" t="str">
        <f>HYPERLINK("http://ecotaxoserver.obs-vlfr.fr/browsetaxo/?id=28277","28277")</f>
        <v>28277</v>
      </c>
      <c r="D296" s="23" t="str">
        <f>HYPERLINK("http://www.marinespecies.org/aphia.php?p=taxdetails&amp;id=149109","149109")</f>
        <v>149109</v>
      </c>
      <c r="E296" s="22" t="s">
        <v>587</v>
      </c>
      <c r="F296" s="22" t="s">
        <v>588</v>
      </c>
      <c r="G296" s="22" t="s">
        <v>94</v>
      </c>
      <c r="H296" s="23" t="str">
        <f>HYPERLINK("http://www.marinespecies.org/aphia.php?p=taxdetails&amp;id=149109","149109")</f>
        <v>149109</v>
      </c>
      <c r="I296" s="22" t="s">
        <v>94</v>
      </c>
      <c r="J296" s="24" t="str">
        <f t="shared" si="2"/>
        <v>!=</v>
      </c>
    </row>
    <row r="297">
      <c r="A297" s="22" t="s">
        <v>589</v>
      </c>
      <c r="B297" s="22">
        <v>1.0</v>
      </c>
      <c r="C297" s="23" t="str">
        <f>HYPERLINK("http://ecotaxoserver.obs-vlfr.fr/browsetaxo/?id=56012","56012")</f>
        <v>56012</v>
      </c>
      <c r="D297" s="23" t="str">
        <f>HYPERLINK("http://www.marinespecies.org/aphia.php?p=taxdetails&amp;id=341496","341496")</f>
        <v>341496</v>
      </c>
      <c r="E297" s="22" t="s">
        <v>586</v>
      </c>
      <c r="F297" s="22" t="s">
        <v>586</v>
      </c>
      <c r="G297" s="22" t="s">
        <v>94</v>
      </c>
      <c r="H297" s="23" t="str">
        <f>HYPERLINK("http://www.marinespecies.org/aphia.php?p=taxdetails&amp;id=341496","341496")</f>
        <v>341496</v>
      </c>
      <c r="I297" s="22" t="s">
        <v>94</v>
      </c>
      <c r="J297" s="24" t="str">
        <f t="shared" si="2"/>
        <v/>
      </c>
    </row>
    <row r="298">
      <c r="A298" s="22" t="s">
        <v>590</v>
      </c>
      <c r="B298" s="22">
        <v>204.0</v>
      </c>
      <c r="C298" s="23" t="str">
        <f>HYPERLINK("http://ecotaxoserver.obs-vlfr.fr/browsetaxo/?id=93295","93295")</f>
        <v>93295</v>
      </c>
      <c r="D298" s="23" t="str">
        <f>HYPERLINK("http://www.marinespecies.org/aphia.php?p=taxdetails&amp;id=137873","137873")</f>
        <v>137873</v>
      </c>
      <c r="E298" s="22" t="s">
        <v>591</v>
      </c>
      <c r="F298" s="22" t="s">
        <v>591</v>
      </c>
      <c r="G298" s="22" t="s">
        <v>94</v>
      </c>
      <c r="H298" s="23" t="str">
        <f>HYPERLINK("http://www.marinespecies.org/aphia.php?p=taxdetails&amp;id=137873","137873")</f>
        <v>137873</v>
      </c>
      <c r="I298" s="22" t="s">
        <v>94</v>
      </c>
      <c r="J298" s="24" t="str">
        <f t="shared" si="2"/>
        <v/>
      </c>
    </row>
    <row r="299">
      <c r="A299" s="22" t="s">
        <v>592</v>
      </c>
      <c r="B299" s="22">
        <v>3.0</v>
      </c>
      <c r="C299" s="23" t="str">
        <f>HYPERLINK("http://ecotaxoserver.obs-vlfr.fr/browsetaxo/?id=93296","93296")</f>
        <v>93296</v>
      </c>
      <c r="D299" s="23" t="str">
        <f>HYPERLINK("http://www.marinespecies.org/aphia.php?p=taxdetails&amp;id=139492","139492")</f>
        <v>139492</v>
      </c>
      <c r="E299" s="22" t="s">
        <v>590</v>
      </c>
      <c r="F299" s="22" t="s">
        <v>590</v>
      </c>
      <c r="G299" s="22" t="s">
        <v>94</v>
      </c>
      <c r="H299" s="23" t="str">
        <f>HYPERLINK("http://www.marinespecies.org/aphia.php?p=taxdetails&amp;id=139492","139492")</f>
        <v>139492</v>
      </c>
      <c r="I299" s="22" t="s">
        <v>94</v>
      </c>
      <c r="J299" s="24" t="str">
        <f t="shared" si="2"/>
        <v/>
      </c>
    </row>
    <row r="300">
      <c r="A300" s="22" t="s">
        <v>593</v>
      </c>
      <c r="B300" s="22">
        <v>4.0</v>
      </c>
      <c r="C300" s="23" t="str">
        <f>HYPERLINK("http://ecotaxoserver.obs-vlfr.fr/browsetaxo/?id=16690","16690")</f>
        <v>16690</v>
      </c>
      <c r="D300" s="23" t="str">
        <f>HYPERLINK("http://www.marinespecies.org/aphia.php?p=taxdetails&amp;id=851649","851649")</f>
        <v>851649</v>
      </c>
      <c r="E300" s="22" t="s">
        <v>594</v>
      </c>
      <c r="F300" s="22" t="s">
        <v>595</v>
      </c>
      <c r="G300" s="22" t="s">
        <v>94</v>
      </c>
      <c r="H300" s="23" t="str">
        <f>HYPERLINK("http://www.marinespecies.org/aphia.php?p=taxdetails&amp;id=851649","851649")</f>
        <v>851649</v>
      </c>
      <c r="I300" s="22" t="s">
        <v>94</v>
      </c>
      <c r="J300" s="24" t="str">
        <f t="shared" si="2"/>
        <v>!=</v>
      </c>
    </row>
    <row r="301">
      <c r="A301" s="22" t="s">
        <v>596</v>
      </c>
      <c r="B301" s="22">
        <v>12.0</v>
      </c>
      <c r="C301" s="23" t="str">
        <f>HYPERLINK("http://ecotaxoserver.obs-vlfr.fr/browsetaxo/?id=17068","17068")</f>
        <v>17068</v>
      </c>
      <c r="D301" s="23" t="str">
        <f>HYPERLINK("http://www.marinespecies.org/aphia.php?p=taxdetails&amp;id=235934","235934")</f>
        <v>235934</v>
      </c>
      <c r="E301" s="22" t="s">
        <v>597</v>
      </c>
      <c r="F301" s="22" t="s">
        <v>597</v>
      </c>
      <c r="G301" s="22" t="s">
        <v>94</v>
      </c>
      <c r="H301" s="23" t="str">
        <f>HYPERLINK("http://www.marinespecies.org/aphia.php?p=taxdetails&amp;id=235934","235934")</f>
        <v>235934</v>
      </c>
      <c r="I301" s="22" t="s">
        <v>94</v>
      </c>
      <c r="J301" s="24" t="str">
        <f t="shared" si="2"/>
        <v/>
      </c>
    </row>
    <row r="302">
      <c r="A302" s="22" t="s">
        <v>598</v>
      </c>
      <c r="B302" s="22">
        <v>162721.0</v>
      </c>
      <c r="C302" s="23" t="str">
        <f>HYPERLINK("http://ecotaxoserver.obs-vlfr.fr/browsetaxo/?id=78426","78426")</f>
        <v>78426</v>
      </c>
      <c r="D302" s="23" t="str">
        <f>HYPERLINK("http://www.marinespecies.org/aphia.php?p=taxdetails&amp;id=128569","128569")</f>
        <v>128569</v>
      </c>
      <c r="E302" s="22" t="s">
        <v>599</v>
      </c>
      <c r="F302" s="22" t="s">
        <v>600</v>
      </c>
      <c r="G302" s="22" t="s">
        <v>94</v>
      </c>
      <c r="H302" s="23" t="str">
        <f>HYPERLINK("http://www.marinespecies.org/aphia.php?p=taxdetails&amp;id=128569","128569")</f>
        <v>128569</v>
      </c>
      <c r="I302" s="22" t="s">
        <v>94</v>
      </c>
      <c r="J302" s="24" t="str">
        <f t="shared" si="2"/>
        <v>!=</v>
      </c>
    </row>
    <row r="303">
      <c r="A303" s="22" t="s">
        <v>601</v>
      </c>
      <c r="B303" s="22">
        <v>17166.0</v>
      </c>
      <c r="C303" s="23" t="str">
        <f>HYPERLINK("http://ecotaxoserver.obs-vlfr.fr/browsetaxo/?id=81949","81949")</f>
        <v>81949</v>
      </c>
      <c r="D303" s="23" t="str">
        <f>HYPERLINK("http://www.marinespecies.org/aphia.php?p=taxdetails&amp;id=128634","128634")</f>
        <v>128634</v>
      </c>
      <c r="E303" s="22" t="s">
        <v>598</v>
      </c>
      <c r="F303" s="22" t="s">
        <v>598</v>
      </c>
      <c r="G303" s="22" t="s">
        <v>94</v>
      </c>
      <c r="H303" s="23" t="str">
        <f>HYPERLINK("http://www.marinespecies.org/aphia.php?p=taxdetails&amp;id=128634","128634")</f>
        <v>128634</v>
      </c>
      <c r="I303" s="22" t="s">
        <v>94</v>
      </c>
      <c r="J303" s="24" t="str">
        <f t="shared" si="2"/>
        <v/>
      </c>
    </row>
    <row r="304">
      <c r="A304" s="22" t="s">
        <v>602</v>
      </c>
      <c r="B304" s="22">
        <v>405.0</v>
      </c>
      <c r="C304" s="23" t="str">
        <f>HYPERLINK("http://ecotaxoserver.obs-vlfr.fr/browsetaxo/?id=82574","82574")</f>
        <v>82574</v>
      </c>
      <c r="D304" s="23" t="str">
        <f>HYPERLINK("http://www.marinespecies.org/aphia.php?p=taxdetails&amp;id=128800","128800")</f>
        <v>128800</v>
      </c>
      <c r="E304" s="22" t="s">
        <v>601</v>
      </c>
      <c r="F304" s="22" t="s">
        <v>601</v>
      </c>
      <c r="G304" s="22" t="s">
        <v>94</v>
      </c>
      <c r="H304" s="23" t="str">
        <f>HYPERLINK("http://www.marinespecies.org/aphia.php?p=taxdetails&amp;id=128800","128800")</f>
        <v>128800</v>
      </c>
      <c r="I304" s="22" t="s">
        <v>94</v>
      </c>
      <c r="J304" s="24" t="str">
        <f t="shared" si="2"/>
        <v/>
      </c>
    </row>
    <row r="305">
      <c r="A305" s="22" t="s">
        <v>603</v>
      </c>
      <c r="B305" s="22">
        <v>1.0</v>
      </c>
      <c r="C305" s="23" t="str">
        <f>HYPERLINK("http://ecotaxoserver.obs-vlfr.fr/browsetaxo/?id=72274","72274")</f>
        <v>72274</v>
      </c>
      <c r="D305" s="23" t="str">
        <f>HYPERLINK("http://www.marinespecies.org/aphia.php?p=taxdetails&amp;id=117059","117059")</f>
        <v>117059</v>
      </c>
      <c r="E305" s="22" t="s">
        <v>604</v>
      </c>
      <c r="F305" s="22" t="s">
        <v>604</v>
      </c>
      <c r="G305" s="22" t="s">
        <v>94</v>
      </c>
      <c r="H305" s="23" t="str">
        <f>HYPERLINK("http://www.marinespecies.org/aphia.php?p=taxdetails&amp;id=117059","117059")</f>
        <v>117059</v>
      </c>
      <c r="I305" s="22" t="s">
        <v>94</v>
      </c>
      <c r="J305" s="24" t="str">
        <f t="shared" si="2"/>
        <v/>
      </c>
    </row>
    <row r="306">
      <c r="A306" s="22" t="s">
        <v>605</v>
      </c>
      <c r="B306" s="22">
        <v>1.0</v>
      </c>
      <c r="C306" s="23" t="str">
        <f>HYPERLINK("http://ecotaxoserver.obs-vlfr.fr/browsetaxo/?id=93372","93372")</f>
        <v>93372</v>
      </c>
      <c r="D306" s="23" t="str">
        <f>HYPERLINK("http://www.marinespecies.org/aphia.php?p=taxdetails&amp;id=284507","284507")</f>
        <v>284507</v>
      </c>
      <c r="E306" s="22" t="s">
        <v>603</v>
      </c>
      <c r="F306" s="22" t="s">
        <v>603</v>
      </c>
      <c r="G306" s="22" t="s">
        <v>94</v>
      </c>
      <c r="H306" s="23" t="str">
        <f>HYPERLINK("http://www.marinespecies.org/aphia.php?p=taxdetails&amp;id=284507","284507")</f>
        <v>284507</v>
      </c>
      <c r="I306" s="22" t="s">
        <v>94</v>
      </c>
      <c r="J306" s="24" t="str">
        <f t="shared" si="2"/>
        <v/>
      </c>
    </row>
    <row r="307">
      <c r="A307" s="22" t="s">
        <v>606</v>
      </c>
      <c r="B307" s="22">
        <v>41.0</v>
      </c>
      <c r="C307" s="23" t="str">
        <f>HYPERLINK("http://ecotaxoserver.obs-vlfr.fr/browsetaxo/?id=51352","51352")</f>
        <v>51352</v>
      </c>
      <c r="D307" s="23" t="str">
        <f>HYPERLINK("http://www.marinespecies.org/aphia.php?p=taxdetails&amp;id=1599","1599")</f>
        <v>1599</v>
      </c>
      <c r="E307" s="22" t="s">
        <v>226</v>
      </c>
      <c r="F307" s="22" t="s">
        <v>607</v>
      </c>
      <c r="G307" s="22" t="s">
        <v>94</v>
      </c>
      <c r="H307" s="23" t="str">
        <f>HYPERLINK("http://www.marinespecies.org/aphia.php?p=taxdetails&amp;id=1599","1599")</f>
        <v>1599</v>
      </c>
      <c r="I307" s="22" t="s">
        <v>94</v>
      </c>
      <c r="J307" s="24" t="str">
        <f t="shared" si="2"/>
        <v>!=</v>
      </c>
    </row>
    <row r="308">
      <c r="A308" s="22" t="s">
        <v>608</v>
      </c>
      <c r="B308" s="22">
        <v>1.0</v>
      </c>
      <c r="C308" s="23" t="str">
        <f>HYPERLINK("http://ecotaxoserver.obs-vlfr.fr/browsetaxo/?id=93252","93252")</f>
        <v>93252</v>
      </c>
      <c r="D308" s="23" t="str">
        <f>HYPERLINK("http://www.marinespecies.org/aphia.php?p=taxdetails&amp;id=126846","126846")</f>
        <v>126846</v>
      </c>
      <c r="E308" s="22" t="s">
        <v>609</v>
      </c>
      <c r="F308" s="22" t="s">
        <v>609</v>
      </c>
      <c r="G308" s="22" t="s">
        <v>94</v>
      </c>
      <c r="H308" s="23" t="str">
        <f>HYPERLINK("http://www.marinespecies.org/aphia.php?p=taxdetails&amp;id=126846","126846")</f>
        <v>126846</v>
      </c>
      <c r="I308" s="22" t="s">
        <v>94</v>
      </c>
      <c r="J308" s="24" t="str">
        <f t="shared" si="2"/>
        <v/>
      </c>
    </row>
    <row r="309">
      <c r="A309" s="22" t="s">
        <v>610</v>
      </c>
      <c r="B309" s="22">
        <v>3.0</v>
      </c>
      <c r="C309" s="23" t="str">
        <f>HYPERLINK("http://ecotaxoserver.obs-vlfr.fr/browsetaxo/?id=92432","92432")</f>
        <v>92432</v>
      </c>
      <c r="D309" s="23" t="str">
        <f>HYPERLINK("http://www.marinespecies.org/aphia.php?p=taxdetails&amp;id=248059","248059")</f>
        <v>248059</v>
      </c>
      <c r="E309" s="22" t="s">
        <v>128</v>
      </c>
      <c r="F309" s="22" t="s">
        <v>611</v>
      </c>
      <c r="G309" s="22" t="s">
        <v>94</v>
      </c>
      <c r="H309" s="23" t="str">
        <f>HYPERLINK("http://www.marinespecies.org/aphia.php?p=taxdetails&amp;id=248059","248059")</f>
        <v>248059</v>
      </c>
      <c r="I309" s="22" t="s">
        <v>94</v>
      </c>
      <c r="J309" s="24" t="str">
        <f t="shared" si="2"/>
        <v>!=</v>
      </c>
    </row>
    <row r="310">
      <c r="A310" s="22" t="s">
        <v>612</v>
      </c>
      <c r="B310" s="22">
        <v>27.0</v>
      </c>
      <c r="C310" s="23" t="str">
        <f>HYPERLINK("http://ecotaxoserver.obs-vlfr.fr/browsetaxo/?id=92435","92435")</f>
        <v>92435</v>
      </c>
      <c r="D310" s="23" t="str">
        <f>HYPERLINK("http://www.marinespecies.org/aphia.php?p=taxdetails&amp;id=110077","110077")</f>
        <v>110077</v>
      </c>
      <c r="E310" s="22" t="s">
        <v>128</v>
      </c>
      <c r="F310" s="22" t="s">
        <v>611</v>
      </c>
      <c r="G310" s="22" t="s">
        <v>94</v>
      </c>
      <c r="H310" s="23" t="str">
        <f>HYPERLINK("http://www.marinespecies.org/aphia.php?p=taxdetails&amp;id=110077","110077")</f>
        <v>110077</v>
      </c>
      <c r="I310" s="22" t="s">
        <v>94</v>
      </c>
      <c r="J310" s="24" t="str">
        <f t="shared" si="2"/>
        <v>!=</v>
      </c>
    </row>
    <row r="311">
      <c r="A311" s="22" t="s">
        <v>304</v>
      </c>
      <c r="B311" s="22">
        <v>1404.0</v>
      </c>
      <c r="C311" s="23" t="str">
        <f>HYPERLINK("http://ecotaxoserver.obs-vlfr.fr/browsetaxo/?id=92160","92160")</f>
        <v>92160</v>
      </c>
      <c r="D311" s="23" t="str">
        <f>HYPERLINK("http://www.marinespecies.org/aphia.php?p=taxdetails&amp;id=148915","148915")</f>
        <v>148915</v>
      </c>
      <c r="E311" s="22" t="s">
        <v>266</v>
      </c>
      <c r="F311" s="22" t="s">
        <v>267</v>
      </c>
      <c r="G311" s="22" t="s">
        <v>94</v>
      </c>
      <c r="H311" s="23" t="str">
        <f>HYPERLINK("http://www.marinespecies.org/aphia.php?p=taxdetails&amp;id=148915","148915")</f>
        <v>148915</v>
      </c>
      <c r="I311" s="22" t="s">
        <v>94</v>
      </c>
      <c r="J311" s="24" t="str">
        <f t="shared" si="2"/>
        <v>!=</v>
      </c>
    </row>
    <row r="312">
      <c r="A312" s="22" t="s">
        <v>266</v>
      </c>
      <c r="B312" s="22">
        <v>2373.0</v>
      </c>
      <c r="C312" s="23" t="str">
        <f>HYPERLINK("http://ecotaxoserver.obs-vlfr.fr/browsetaxo/?id=92144","92144")</f>
        <v>92144</v>
      </c>
      <c r="D312" s="23" t="str">
        <f>HYPERLINK("http://www.marinespecies.org/aphia.php?p=taxdetails&amp;id=148971","148971")</f>
        <v>148971</v>
      </c>
      <c r="E312" s="22" t="s">
        <v>119</v>
      </c>
      <c r="F312" s="22" t="s">
        <v>119</v>
      </c>
      <c r="G312" s="22" t="s">
        <v>94</v>
      </c>
      <c r="H312" s="23" t="str">
        <f>HYPERLINK("http://www.marinespecies.org/aphia.php?p=taxdetails&amp;id=148971","148971")</f>
        <v>148971</v>
      </c>
      <c r="I312" s="22" t="s">
        <v>94</v>
      </c>
      <c r="J312" s="24" t="str">
        <f t="shared" si="2"/>
        <v/>
      </c>
    </row>
    <row r="313">
      <c r="A313" s="22" t="s">
        <v>613</v>
      </c>
      <c r="B313" s="22">
        <v>42189.0</v>
      </c>
      <c r="C313" s="23" t="str">
        <f>HYPERLINK("http://ecotaxoserver.obs-vlfr.fr/browsetaxo/?id=28280","28280")</f>
        <v>28280</v>
      </c>
      <c r="D313" s="23" t="str">
        <f>HYPERLINK("http://www.marinespecies.org/aphia.php?p=taxdetails&amp;id=148917","148917")</f>
        <v>148917</v>
      </c>
      <c r="E313" s="22" t="s">
        <v>269</v>
      </c>
      <c r="F313" s="22" t="s">
        <v>614</v>
      </c>
      <c r="G313" s="22" t="s">
        <v>94</v>
      </c>
      <c r="H313" s="23" t="str">
        <f>HYPERLINK("http://www.marinespecies.org/aphia.php?p=taxdetails&amp;id=148917","148917")</f>
        <v>148917</v>
      </c>
      <c r="I313" s="22" t="s">
        <v>94</v>
      </c>
      <c r="J313" s="24" t="str">
        <f t="shared" si="2"/>
        <v>!=</v>
      </c>
    </row>
    <row r="314">
      <c r="A314" s="22" t="s">
        <v>615</v>
      </c>
      <c r="B314" s="22">
        <v>2.0</v>
      </c>
      <c r="C314" s="23" t="str">
        <f>HYPERLINK("http://ecotaxoserver.obs-vlfr.fr/browsetaxo/?id=72807","72807")</f>
        <v>72807</v>
      </c>
      <c r="D314" s="23" t="str">
        <f>HYPERLINK("http://www.marinespecies.org/aphia.php?p=taxdetails&amp;id=135297","135297")</f>
        <v>135297</v>
      </c>
      <c r="E314" s="22" t="s">
        <v>616</v>
      </c>
      <c r="F314" s="22" t="s">
        <v>616</v>
      </c>
      <c r="G314" s="22" t="s">
        <v>94</v>
      </c>
      <c r="H314" s="23" t="str">
        <f>HYPERLINK("http://www.marinespecies.org/aphia.php?p=taxdetails&amp;id=135297","135297")</f>
        <v>135297</v>
      </c>
      <c r="I314" s="22" t="s">
        <v>94</v>
      </c>
      <c r="J314" s="24" t="str">
        <f t="shared" si="2"/>
        <v/>
      </c>
    </row>
    <row r="315">
      <c r="A315" s="22" t="s">
        <v>617</v>
      </c>
      <c r="B315" s="22">
        <v>1.0</v>
      </c>
      <c r="C315" s="23" t="str">
        <f>HYPERLINK("http://ecotaxoserver.obs-vlfr.fr/browsetaxo/?id=93367","93367")</f>
        <v>93367</v>
      </c>
      <c r="D315" s="23" t="str">
        <f>HYPERLINK("http://www.marinespecies.org/aphia.php?p=taxdetails&amp;id=11774","11774")</f>
        <v>11774</v>
      </c>
      <c r="E315" s="22" t="s">
        <v>618</v>
      </c>
      <c r="F315" s="22" t="s">
        <v>619</v>
      </c>
      <c r="G315" s="22" t="s">
        <v>94</v>
      </c>
      <c r="H315" s="23" t="str">
        <f>HYPERLINK("http://www.marinespecies.org/aphia.php?p=taxdetails&amp;id=11774","11774")</f>
        <v>11774</v>
      </c>
      <c r="I315" s="22" t="s">
        <v>94</v>
      </c>
      <c r="J315" s="24" t="str">
        <f t="shared" si="2"/>
        <v>!=</v>
      </c>
    </row>
    <row r="316">
      <c r="A316" s="22" t="s">
        <v>620</v>
      </c>
      <c r="B316" s="22">
        <v>7.0</v>
      </c>
      <c r="C316" s="23" t="str">
        <f>HYPERLINK("http://ecotaxoserver.obs-vlfr.fr/browsetaxo/?id=27128","27128")</f>
        <v>27128</v>
      </c>
      <c r="D316" s="23" t="str">
        <f>HYPERLINK("http://www.marinespecies.org/aphia.php?p=taxdetails&amp;id=131936","131936")</f>
        <v>131936</v>
      </c>
      <c r="E316" s="22" t="s">
        <v>621</v>
      </c>
      <c r="F316" s="22" t="s">
        <v>622</v>
      </c>
      <c r="G316" s="22" t="s">
        <v>94</v>
      </c>
      <c r="H316" s="23" t="str">
        <f>HYPERLINK("http://www.marinespecies.org/aphia.php?p=taxdetails&amp;id=131936","131936")</f>
        <v>131936</v>
      </c>
      <c r="I316" s="22" t="s">
        <v>94</v>
      </c>
      <c r="J316" s="24" t="str">
        <f t="shared" si="2"/>
        <v>!=</v>
      </c>
    </row>
    <row r="317">
      <c r="A317" s="22" t="s">
        <v>623</v>
      </c>
      <c r="B317" s="22">
        <v>32201.0</v>
      </c>
      <c r="C317" s="23" t="str">
        <f>HYPERLINK("http://ecotaxoserver.obs-vlfr.fr/browsetaxo/?id=26525","26525")</f>
        <v>26525</v>
      </c>
      <c r="D317" s="23" t="str">
        <f>HYPERLINK("http://www.marinespecies.org/aphia.php?p=taxdetails&amp;id=411905","411905")</f>
        <v>411905</v>
      </c>
      <c r="E317" s="22" t="s">
        <v>432</v>
      </c>
      <c r="F317" s="22" t="s">
        <v>433</v>
      </c>
      <c r="G317" s="22" t="s">
        <v>94</v>
      </c>
      <c r="H317" s="23" t="str">
        <f>HYPERLINK("http://www.marinespecies.org/aphia.php?p=taxdetails&amp;id=411905","411905")</f>
        <v>411905</v>
      </c>
      <c r="I317" s="22" t="s">
        <v>94</v>
      </c>
      <c r="J317" s="24" t="str">
        <f t="shared" si="2"/>
        <v>!=</v>
      </c>
    </row>
    <row r="318">
      <c r="A318" s="22" t="s">
        <v>624</v>
      </c>
      <c r="B318" s="22">
        <v>3066.0</v>
      </c>
      <c r="C318" s="23" t="str">
        <f>HYPERLINK("http://ecotaxoserver.obs-vlfr.fr/browsetaxo/?id=56317","56317")</f>
        <v>56317</v>
      </c>
      <c r="D318" s="23" t="str">
        <f>HYPERLINK("http://www.marinespecies.org/aphia.php?p=taxdetails&amp;id=137752","137752")</f>
        <v>137752</v>
      </c>
      <c r="E318" s="22" t="s">
        <v>623</v>
      </c>
      <c r="F318" s="22" t="s">
        <v>623</v>
      </c>
      <c r="G318" s="22" t="s">
        <v>94</v>
      </c>
      <c r="H318" s="23" t="str">
        <f>HYPERLINK("http://www.marinespecies.org/aphia.php?p=taxdetails&amp;id=137752","137752")</f>
        <v>137752</v>
      </c>
      <c r="I318" s="22" t="s">
        <v>94</v>
      </c>
      <c r="J318" s="24" t="str">
        <f t="shared" si="2"/>
        <v/>
      </c>
    </row>
    <row r="319">
      <c r="A319" s="22" t="s">
        <v>625</v>
      </c>
      <c r="B319" s="22">
        <v>17025.0</v>
      </c>
      <c r="C319" s="23" t="str">
        <f>HYPERLINK("http://ecotaxoserver.obs-vlfr.fr/browsetaxo/?id=74172","74172")</f>
        <v>74172</v>
      </c>
      <c r="D319" s="23" t="str">
        <f>HYPERLINK("http://www.marinespecies.org/aphia.php?p=taxdetails&amp;id=139034","139034")</f>
        <v>139034</v>
      </c>
      <c r="E319" s="22" t="s">
        <v>624</v>
      </c>
      <c r="F319" s="22" t="s">
        <v>624</v>
      </c>
      <c r="G319" s="22" t="s">
        <v>94</v>
      </c>
      <c r="H319" s="23" t="str">
        <f>HYPERLINK("http://www.marinespecies.org/aphia.php?p=taxdetails&amp;id=139034","139034")</f>
        <v>139034</v>
      </c>
      <c r="I319" s="22" t="s">
        <v>94</v>
      </c>
      <c r="J319" s="24" t="str">
        <f t="shared" si="2"/>
        <v/>
      </c>
    </row>
    <row r="320">
      <c r="A320" s="22" t="s">
        <v>626</v>
      </c>
      <c r="B320" s="22">
        <v>602.0</v>
      </c>
      <c r="C320" s="23" t="str">
        <f>HYPERLINK("http://ecotaxoserver.obs-vlfr.fr/browsetaxo/?id=74171","74171")</f>
        <v>74171</v>
      </c>
      <c r="D320" s="23" t="str">
        <f>HYPERLINK("http://www.marinespecies.org/aphia.php?p=taxdetails&amp;id=390545","390545")</f>
        <v>390545</v>
      </c>
      <c r="E320" s="22" t="s">
        <v>624</v>
      </c>
      <c r="F320" s="22" t="s">
        <v>624</v>
      </c>
      <c r="G320" s="22" t="s">
        <v>94</v>
      </c>
      <c r="H320" s="23" t="str">
        <f>HYPERLINK("http://www.marinespecies.org/aphia.php?p=taxdetails&amp;id=390545","390545")</f>
        <v>390545</v>
      </c>
      <c r="I320" s="22" t="s">
        <v>94</v>
      </c>
      <c r="J320" s="24" t="str">
        <f t="shared" si="2"/>
        <v/>
      </c>
    </row>
    <row r="321">
      <c r="A321" s="22" t="s">
        <v>627</v>
      </c>
      <c r="B321" s="22">
        <v>44.0</v>
      </c>
      <c r="C321" s="23" t="str">
        <f>HYPERLINK("http://ecotaxoserver.obs-vlfr.fr/browsetaxo/?id=74170","74170")</f>
        <v>74170</v>
      </c>
      <c r="D321" s="23" t="str">
        <f>HYPERLINK("http://www.marinespecies.org/aphia.php?p=taxdetails&amp;id=139035","139035")</f>
        <v>139035</v>
      </c>
      <c r="E321" s="22" t="s">
        <v>624</v>
      </c>
      <c r="F321" s="22" t="s">
        <v>624</v>
      </c>
      <c r="G321" s="22" t="s">
        <v>94</v>
      </c>
      <c r="H321" s="23" t="str">
        <f>HYPERLINK("http://www.marinespecies.org/aphia.php?p=taxdetails&amp;id=139035","139035")</f>
        <v>139035</v>
      </c>
      <c r="I321" s="22" t="s">
        <v>94</v>
      </c>
      <c r="J321" s="24" t="str">
        <f t="shared" si="2"/>
        <v/>
      </c>
    </row>
    <row r="322">
      <c r="A322" s="22" t="s">
        <v>628</v>
      </c>
      <c r="B322" s="22">
        <v>2.0</v>
      </c>
      <c r="C322" s="23" t="str">
        <f>HYPERLINK("http://ecotaxoserver.obs-vlfr.fr/browsetaxo/?id=81868","81868")</f>
        <v>81868</v>
      </c>
      <c r="D322" s="23" t="str">
        <f>HYPERLINK("http://www.marinespecies.org/aphia.php?p=taxdetails&amp;id=117856","117856")</f>
        <v>117856</v>
      </c>
      <c r="E322" s="22" t="s">
        <v>629</v>
      </c>
      <c r="F322" s="22" t="s">
        <v>629</v>
      </c>
      <c r="G322" s="22" t="s">
        <v>94</v>
      </c>
      <c r="H322" s="23" t="str">
        <f>HYPERLINK("http://www.marinespecies.org/aphia.php?p=taxdetails&amp;id=117856","117856")</f>
        <v>117856</v>
      </c>
      <c r="I322" s="22" t="s">
        <v>94</v>
      </c>
      <c r="J322" s="24" t="str">
        <f t="shared" si="2"/>
        <v/>
      </c>
    </row>
    <row r="323">
      <c r="A323" s="22" t="s">
        <v>630</v>
      </c>
      <c r="B323" s="22">
        <v>38891.0</v>
      </c>
      <c r="C323" s="23" t="str">
        <f>HYPERLINK("http://ecotaxoserver.obs-vlfr.fr/browsetaxo/?id=12846","12846")</f>
        <v>12846</v>
      </c>
      <c r="D323" s="23" t="str">
        <f>HYPERLINK("http://www.marinespecies.org/aphia.php?p=taxdetails&amp;id=1066","1066")</f>
        <v>1066</v>
      </c>
      <c r="E323" s="22" t="s">
        <v>252</v>
      </c>
      <c r="F323" s="22" t="s">
        <v>252</v>
      </c>
      <c r="G323" s="22" t="s">
        <v>94</v>
      </c>
      <c r="H323" s="23" t="str">
        <f>HYPERLINK("http://www.marinespecies.org/aphia.php?p=taxdetails&amp;id=1066","1066")</f>
        <v>1066</v>
      </c>
      <c r="I323" s="22" t="s">
        <v>94</v>
      </c>
      <c r="J323" s="24" t="str">
        <f t="shared" si="2"/>
        <v/>
      </c>
    </row>
    <row r="324">
      <c r="A324" s="22" t="s">
        <v>631</v>
      </c>
      <c r="B324" s="22">
        <v>22.0</v>
      </c>
      <c r="C324" s="23" t="str">
        <f>HYPERLINK("http://ecotaxoserver.obs-vlfr.fr/browsetaxo/?id=11629","11629")</f>
        <v>11629</v>
      </c>
      <c r="D324" s="23" t="str">
        <f>HYPERLINK("http://www.marinespecies.org/aphia.php?p=taxdetails&amp;id=106282","106282")</f>
        <v>106282</v>
      </c>
      <c r="E324" s="22" t="s">
        <v>514</v>
      </c>
      <c r="F324" s="22" t="s">
        <v>632</v>
      </c>
      <c r="G324" s="22" t="s">
        <v>94</v>
      </c>
      <c r="H324" s="23" t="str">
        <f>HYPERLINK("http://www.marinespecies.org/aphia.php?p=taxdetails&amp;id=106282","106282")</f>
        <v>106282</v>
      </c>
      <c r="I324" s="22" t="s">
        <v>94</v>
      </c>
      <c r="J324" s="24" t="str">
        <f t="shared" si="2"/>
        <v>!=</v>
      </c>
    </row>
    <row r="325">
      <c r="A325" s="22" t="s">
        <v>633</v>
      </c>
      <c r="B325" s="22">
        <v>237.0</v>
      </c>
      <c r="C325" s="23" t="str">
        <f>HYPERLINK("http://ecotaxoserver.obs-vlfr.fr/browsetaxo/?id=92098","92098")</f>
        <v>92098</v>
      </c>
      <c r="D325" s="23" t="str">
        <f>HYPERLINK("http://www.marinespecies.org/aphia.php?p=taxdetails&amp;id=155729","155729")</f>
        <v>155729</v>
      </c>
      <c r="E325" s="22" t="s">
        <v>634</v>
      </c>
      <c r="F325" s="22" t="s">
        <v>634</v>
      </c>
      <c r="G325" s="22" t="s">
        <v>94</v>
      </c>
      <c r="H325" s="23" t="str">
        <f>HYPERLINK("http://www.marinespecies.org/aphia.php?p=taxdetails&amp;id=155729","155729")</f>
        <v>155729</v>
      </c>
      <c r="I325" s="22" t="s">
        <v>94</v>
      </c>
      <c r="J325" s="24" t="str">
        <f t="shared" si="2"/>
        <v/>
      </c>
    </row>
    <row r="326">
      <c r="A326" s="22" t="s">
        <v>635</v>
      </c>
      <c r="B326" s="22">
        <v>1231.0</v>
      </c>
      <c r="C326" s="23" t="str">
        <f>HYPERLINK("http://ecotaxoserver.obs-vlfr.fr/browsetaxo/?id=376","376")</f>
        <v>376</v>
      </c>
      <c r="D326" s="23" t="str">
        <f>HYPERLINK("http://www.marinespecies.org/aphia.php?p=taxdetails&amp;id=17638","17638")</f>
        <v>17638</v>
      </c>
      <c r="E326" s="22" t="s">
        <v>636</v>
      </c>
      <c r="F326" s="22" t="s">
        <v>637</v>
      </c>
      <c r="G326" s="22" t="s">
        <v>94</v>
      </c>
      <c r="H326" s="23" t="str">
        <f>HYPERLINK("http://www.marinespecies.org/aphia.php?p=taxdetails&amp;id=17638","17638")</f>
        <v>17638</v>
      </c>
      <c r="I326" s="22" t="s">
        <v>94</v>
      </c>
      <c r="J326" s="24" t="str">
        <f t="shared" si="2"/>
        <v>!=</v>
      </c>
    </row>
    <row r="327">
      <c r="A327" s="22" t="s">
        <v>638</v>
      </c>
      <c r="B327" s="22">
        <v>39.0</v>
      </c>
      <c r="C327" s="23" t="str">
        <f>HYPERLINK("http://ecotaxoserver.obs-vlfr.fr/browsetaxo/?id=92771","92771")</f>
        <v>92771</v>
      </c>
      <c r="D327" s="23" t="str">
        <f>HYPERLINK("http://www.marinespecies.org/aphia.php?p=taxdetails&amp;id=104162","104162")</f>
        <v>104162</v>
      </c>
      <c r="E327" s="22" t="s">
        <v>538</v>
      </c>
      <c r="F327" s="22" t="s">
        <v>538</v>
      </c>
      <c r="G327" s="22" t="s">
        <v>94</v>
      </c>
      <c r="H327" s="23" t="str">
        <f>HYPERLINK("http://www.marinespecies.org/aphia.php?p=taxdetails&amp;id=104162","104162")</f>
        <v>104162</v>
      </c>
      <c r="I327" s="22" t="s">
        <v>94</v>
      </c>
      <c r="J327" s="24" t="str">
        <f t="shared" si="2"/>
        <v/>
      </c>
    </row>
    <row r="328">
      <c r="A328" s="22" t="s">
        <v>639</v>
      </c>
      <c r="B328" s="22">
        <v>1.0</v>
      </c>
      <c r="C328" s="23" t="str">
        <f>HYPERLINK("http://ecotaxoserver.obs-vlfr.fr/browsetaxo/?id=12866","12866")</f>
        <v>12866</v>
      </c>
      <c r="D328" s="23" t="str">
        <f>HYPERLINK("http://www.marinespecies.org/aphia.php?p=taxdetails&amp;id=135219","135219")</f>
        <v>135219</v>
      </c>
      <c r="E328" s="22" t="s">
        <v>229</v>
      </c>
      <c r="F328" s="22" t="s">
        <v>229</v>
      </c>
      <c r="G328" s="22" t="s">
        <v>94</v>
      </c>
      <c r="H328" s="23" t="str">
        <f>HYPERLINK("http://www.marinespecies.org/aphia.php?p=taxdetails&amp;id=135219","135219")</f>
        <v>135219</v>
      </c>
      <c r="I328" s="22" t="s">
        <v>94</v>
      </c>
      <c r="J328" s="24" t="str">
        <f t="shared" si="2"/>
        <v/>
      </c>
    </row>
    <row r="329">
      <c r="A329" s="22" t="s">
        <v>640</v>
      </c>
      <c r="B329" s="22">
        <v>45.0</v>
      </c>
      <c r="C329" s="23" t="str">
        <f>HYPERLINK("http://ecotaxoserver.obs-vlfr.fr/browsetaxo/?id=50283","50283")</f>
        <v>50283</v>
      </c>
      <c r="D329" s="23" t="str">
        <f>HYPERLINK("http://www.marinespecies.org/aphia.php?p=taxdetails&amp;id=494561","494561")</f>
        <v>494561</v>
      </c>
      <c r="E329" s="22" t="s">
        <v>499</v>
      </c>
      <c r="F329" s="22" t="s">
        <v>641</v>
      </c>
      <c r="G329" s="22" t="s">
        <v>94</v>
      </c>
      <c r="H329" s="23" t="str">
        <f>HYPERLINK("http://www.marinespecies.org/aphia.php?p=taxdetails&amp;id=494561","494561")</f>
        <v>494561</v>
      </c>
      <c r="I329" s="22" t="s">
        <v>94</v>
      </c>
      <c r="J329" s="24" t="str">
        <f t="shared" si="2"/>
        <v>!=</v>
      </c>
    </row>
    <row r="330">
      <c r="A330" s="22" t="s">
        <v>642</v>
      </c>
      <c r="B330" s="22">
        <v>5003.0</v>
      </c>
      <c r="C330" s="23" t="str">
        <f>HYPERLINK("http://ecotaxoserver.obs-vlfr.fr/browsetaxo/?id=45052","45052")</f>
        <v>45052</v>
      </c>
      <c r="D330" s="23" t="str">
        <f>HYPERLINK("http://www.marinespecies.org/aphia.php?p=taxdetails&amp;id=1137","1137")</f>
        <v>1137</v>
      </c>
      <c r="E330" s="22" t="s">
        <v>198</v>
      </c>
      <c r="F330" s="22" t="s">
        <v>199</v>
      </c>
      <c r="G330" s="22" t="s">
        <v>94</v>
      </c>
      <c r="H330" s="23" t="str">
        <f>HYPERLINK("http://www.marinespecies.org/aphia.php?p=taxdetails&amp;id=1137","1137")</f>
        <v>1137</v>
      </c>
      <c r="I330" s="22" t="s">
        <v>94</v>
      </c>
      <c r="J330" s="24" t="str">
        <f t="shared" si="2"/>
        <v>!=</v>
      </c>
    </row>
    <row r="331">
      <c r="A331" s="22" t="s">
        <v>643</v>
      </c>
      <c r="B331" s="22">
        <v>989.0</v>
      </c>
      <c r="C331" s="23" t="str">
        <f>HYPERLINK("http://ecotaxoserver.obs-vlfr.fr/browsetaxo/?id=92092","92092")</f>
        <v>92092</v>
      </c>
      <c r="D331" s="23" t="str">
        <f>HYPERLINK("http://www.marinespecies.org/aphia.php?p=taxdetails&amp;id=110416","110416")</f>
        <v>110416</v>
      </c>
      <c r="E331" s="22" t="s">
        <v>642</v>
      </c>
      <c r="F331" s="22" t="s">
        <v>644</v>
      </c>
      <c r="G331" s="22" t="s">
        <v>94</v>
      </c>
      <c r="H331" s="23" t="str">
        <f>HYPERLINK("http://www.marinespecies.org/aphia.php?p=taxdetails&amp;id=110416","110416")</f>
        <v>110416</v>
      </c>
      <c r="I331" s="22" t="s">
        <v>94</v>
      </c>
      <c r="J331" s="24" t="str">
        <f t="shared" si="2"/>
        <v>!=</v>
      </c>
    </row>
    <row r="332">
      <c r="A332" s="22" t="s">
        <v>645</v>
      </c>
      <c r="B332" s="22">
        <v>16.0</v>
      </c>
      <c r="C332" s="23" t="str">
        <f>HYPERLINK("http://ecotaxoserver.obs-vlfr.fr/browsetaxo/?id=72420","72420")</f>
        <v>72420</v>
      </c>
      <c r="D332" s="23" t="str">
        <f>HYPERLINK("http://www.marinespecies.org/aphia.php?p=taxdetails&amp;id=117072","117072")</f>
        <v>117072</v>
      </c>
      <c r="E332" s="22" t="s">
        <v>646</v>
      </c>
      <c r="F332" s="22" t="s">
        <v>646</v>
      </c>
      <c r="G332" s="22" t="s">
        <v>94</v>
      </c>
      <c r="H332" s="23" t="str">
        <f>HYPERLINK("http://www.marinespecies.org/aphia.php?p=taxdetails&amp;id=117072","117072")</f>
        <v>117072</v>
      </c>
      <c r="I332" s="22" t="s">
        <v>94</v>
      </c>
      <c r="J332" s="24" t="str">
        <f t="shared" si="2"/>
        <v/>
      </c>
    </row>
    <row r="333">
      <c r="A333" s="22" t="s">
        <v>647</v>
      </c>
      <c r="B333" s="22">
        <v>9.0</v>
      </c>
      <c r="C333" s="23" t="str">
        <f>HYPERLINK("http://ecotaxoserver.obs-vlfr.fr/browsetaxo/?id=56314","56314")</f>
        <v>56314</v>
      </c>
      <c r="D333" s="23" t="str">
        <f>HYPERLINK("http://www.marinespecies.org/aphia.php?p=taxdetails&amp;id=137753","137753")</f>
        <v>137753</v>
      </c>
      <c r="E333" s="22" t="s">
        <v>648</v>
      </c>
      <c r="F333" s="22" t="s">
        <v>429</v>
      </c>
      <c r="G333" s="22" t="s">
        <v>94</v>
      </c>
      <c r="H333" s="23" t="str">
        <f>HYPERLINK("http://www.marinespecies.org/aphia.php?p=taxdetails&amp;id=137753","137753")</f>
        <v>137753</v>
      </c>
      <c r="I333" s="22" t="s">
        <v>94</v>
      </c>
      <c r="J333" s="24" t="str">
        <f t="shared" si="2"/>
        <v>!=</v>
      </c>
    </row>
    <row r="334">
      <c r="A334" s="22" t="s">
        <v>649</v>
      </c>
      <c r="B334" s="22">
        <v>2.0</v>
      </c>
      <c r="C334" s="23" t="str">
        <f>HYPERLINK("http://ecotaxoserver.obs-vlfr.fr/browsetaxo/?id=74181","74181")</f>
        <v>74181</v>
      </c>
      <c r="D334" s="23" t="str">
        <f>HYPERLINK("http://www.marinespecies.org/aphia.php?p=taxdetails&amp;id=139036","139036")</f>
        <v>139036</v>
      </c>
      <c r="E334" s="22" t="s">
        <v>647</v>
      </c>
      <c r="F334" s="22" t="s">
        <v>647</v>
      </c>
      <c r="G334" s="22" t="s">
        <v>94</v>
      </c>
      <c r="H334" s="23" t="str">
        <f>HYPERLINK("http://www.marinespecies.org/aphia.php?p=taxdetails&amp;id=139036","139036")</f>
        <v>139036</v>
      </c>
      <c r="I334" s="22" t="s">
        <v>94</v>
      </c>
      <c r="J334" s="24" t="str">
        <f t="shared" si="2"/>
        <v/>
      </c>
    </row>
    <row r="335">
      <c r="A335" s="22" t="s">
        <v>215</v>
      </c>
      <c r="B335" s="22">
        <v>99.0</v>
      </c>
      <c r="C335" s="23" t="str">
        <f>HYPERLINK("http://ecotaxoserver.obs-vlfr.fr/browsetaxo/?id=1680","1680")</f>
        <v>1680</v>
      </c>
      <c r="D335" s="23" t="str">
        <f>HYPERLINK("http://www.marinespecies.org/aphia.php?p=taxdetails&amp;id=146542","146542")</f>
        <v>146542</v>
      </c>
      <c r="E335" s="22" t="s">
        <v>650</v>
      </c>
      <c r="F335" s="22" t="s">
        <v>650</v>
      </c>
      <c r="G335" s="22" t="s">
        <v>94</v>
      </c>
      <c r="H335" s="23" t="str">
        <f>HYPERLINK("http://www.marinespecies.org/aphia.php?p=taxdetails&amp;id=146542","146542")</f>
        <v>146542</v>
      </c>
      <c r="I335" s="22" t="s">
        <v>94</v>
      </c>
      <c r="J335" s="24" t="str">
        <f t="shared" si="2"/>
        <v/>
      </c>
    </row>
    <row r="336">
      <c r="A336" s="22" t="s">
        <v>651</v>
      </c>
      <c r="B336" s="22">
        <v>70.0</v>
      </c>
      <c r="C336" s="23" t="str">
        <f>HYPERLINK("http://ecotaxoserver.obs-vlfr.fr/browsetaxo/?id=92310","92310")</f>
        <v>92310</v>
      </c>
      <c r="D336" s="23" t="str">
        <f>HYPERLINK("http://www.marinespecies.org/aphia.php?p=taxdetails&amp;id=102553","102553")</f>
        <v>102553</v>
      </c>
      <c r="E336" s="22" t="s">
        <v>652</v>
      </c>
      <c r="F336" s="22" t="s">
        <v>652</v>
      </c>
      <c r="G336" s="22" t="s">
        <v>94</v>
      </c>
      <c r="H336" s="23" t="str">
        <f>HYPERLINK("http://www.marinespecies.org/aphia.php?p=taxdetails&amp;id=102553","102553")</f>
        <v>102553</v>
      </c>
      <c r="I336" s="22" t="s">
        <v>94</v>
      </c>
      <c r="J336" s="24" t="str">
        <f t="shared" si="2"/>
        <v/>
      </c>
    </row>
    <row r="337">
      <c r="A337" s="22" t="s">
        <v>653</v>
      </c>
      <c r="B337" s="22">
        <v>26.0</v>
      </c>
      <c r="C337" s="23" t="str">
        <f>HYPERLINK("http://ecotaxoserver.obs-vlfr.fr/browsetaxo/?id=62007","62007")</f>
        <v>62007</v>
      </c>
      <c r="D337" s="23" t="str">
        <f>HYPERLINK("http://www.marinespecies.org/aphia.php?p=taxdetails&amp;id=106413","106413")</f>
        <v>106413</v>
      </c>
      <c r="E337" s="22" t="s">
        <v>654</v>
      </c>
      <c r="F337" s="22" t="s">
        <v>655</v>
      </c>
      <c r="G337" s="22" t="s">
        <v>94</v>
      </c>
      <c r="H337" s="23" t="str">
        <f>HYPERLINK("http://www.marinespecies.org/aphia.php?p=taxdetails&amp;id=106413","106413")</f>
        <v>106413</v>
      </c>
      <c r="I337" s="22" t="s">
        <v>94</v>
      </c>
      <c r="J337" s="24" t="str">
        <f t="shared" si="2"/>
        <v>!=</v>
      </c>
    </row>
    <row r="338">
      <c r="A338" s="22" t="s">
        <v>654</v>
      </c>
      <c r="B338" s="22">
        <v>118776.0</v>
      </c>
      <c r="C338" s="23" t="str">
        <f>HYPERLINK("http://ecotaxoserver.obs-vlfr.fr/browsetaxo/?id=45072","45072")</f>
        <v>45072</v>
      </c>
      <c r="D338" s="23" t="str">
        <f>HYPERLINK("http://www.marinespecies.org/aphia.php?p=taxdetails&amp;id=1101","1101")</f>
        <v>1101</v>
      </c>
      <c r="E338" s="22" t="s">
        <v>383</v>
      </c>
      <c r="F338" s="22" t="s">
        <v>656</v>
      </c>
      <c r="G338" s="22" t="s">
        <v>94</v>
      </c>
      <c r="H338" s="23" t="str">
        <f>HYPERLINK("http://www.marinespecies.org/aphia.php?p=taxdetails&amp;id=1101","1101")</f>
        <v>1101</v>
      </c>
      <c r="I338" s="22" t="s">
        <v>94</v>
      </c>
      <c r="J338" s="24" t="str">
        <f t="shared" si="2"/>
        <v>!=</v>
      </c>
    </row>
    <row r="339">
      <c r="A339" s="22" t="s">
        <v>657</v>
      </c>
      <c r="B339" s="22">
        <v>3.0</v>
      </c>
      <c r="C339" s="23" t="str">
        <f>HYPERLINK("http://ecotaxoserver.obs-vlfr.fr/browsetaxo/?id=93168","93168")</f>
        <v>93168</v>
      </c>
      <c r="D339" s="23" t="str">
        <f>HYPERLINK("http://www.marinespecies.org/aphia.php?p=taxdetails&amp;id=158795","158795")</f>
        <v>158795</v>
      </c>
      <c r="E339" s="22" t="s">
        <v>658</v>
      </c>
      <c r="F339" s="22" t="s">
        <v>658</v>
      </c>
      <c r="G339" s="22" t="s">
        <v>94</v>
      </c>
      <c r="H339" s="23" t="str">
        <f>HYPERLINK("http://www.marinespecies.org/aphia.php?p=taxdetails&amp;id=158795","158795")</f>
        <v>158795</v>
      </c>
      <c r="I339" s="22" t="s">
        <v>94</v>
      </c>
      <c r="J339" s="24" t="str">
        <f t="shared" si="2"/>
        <v/>
      </c>
    </row>
    <row r="340">
      <c r="A340" s="22" t="s">
        <v>659</v>
      </c>
      <c r="B340" s="22">
        <v>4.0</v>
      </c>
      <c r="C340" s="23" t="str">
        <f>HYPERLINK("http://ecotaxoserver.obs-vlfr.fr/browsetaxo/?id=51242","51242")</f>
        <v>51242</v>
      </c>
      <c r="D340" s="23" t="str">
        <f>HYPERLINK("http://www.marinespecies.org/aphia.php?p=taxdetails&amp;id=137227","137227")</f>
        <v>137227</v>
      </c>
      <c r="E340" s="22" t="s">
        <v>660</v>
      </c>
      <c r="F340" s="22" t="s">
        <v>661</v>
      </c>
      <c r="G340" s="22" t="s">
        <v>94</v>
      </c>
      <c r="H340" s="23" t="str">
        <f>HYPERLINK("http://www.marinespecies.org/aphia.php?p=taxdetails&amp;id=137227","137227")</f>
        <v>137227</v>
      </c>
      <c r="I340" s="22" t="s">
        <v>94</v>
      </c>
      <c r="J340" s="24" t="str">
        <f t="shared" si="2"/>
        <v>!=</v>
      </c>
    </row>
    <row r="341">
      <c r="A341" s="22" t="s">
        <v>662</v>
      </c>
      <c r="B341" s="22">
        <v>96.0</v>
      </c>
      <c r="C341" s="23" t="str">
        <f>HYPERLINK("http://ecotaxoserver.obs-vlfr.fr/browsetaxo/?id=28253","28253")</f>
        <v>28253</v>
      </c>
      <c r="D341" s="23" t="str">
        <f>HYPERLINK("http://www.marinespecies.org/aphia.php?p=taxdetails&amp;id=148905","148905")</f>
        <v>148905</v>
      </c>
      <c r="E341" s="22" t="s">
        <v>281</v>
      </c>
      <c r="F341" s="22" t="s">
        <v>663</v>
      </c>
      <c r="G341" s="22" t="s">
        <v>94</v>
      </c>
      <c r="H341" s="23" t="str">
        <f>HYPERLINK("http://www.marinespecies.org/aphia.php?p=taxdetails&amp;id=148905","148905")</f>
        <v>148905</v>
      </c>
      <c r="I341" s="22" t="s">
        <v>94</v>
      </c>
      <c r="J341" s="24" t="str">
        <f t="shared" si="2"/>
        <v>!=</v>
      </c>
    </row>
    <row r="342">
      <c r="A342" s="22" t="s">
        <v>664</v>
      </c>
      <c r="B342" s="22">
        <v>8.0</v>
      </c>
      <c r="C342" s="23" t="str">
        <f>HYPERLINK("http://ecotaxoserver.obs-vlfr.fr/browsetaxo/?id=93377","93377")</f>
        <v>93377</v>
      </c>
      <c r="D342" s="23" t="str">
        <f>HYPERLINK("http://www.marinespecies.org/aphia.php?p=taxdetails&amp;id=126187","126187")</f>
        <v>126187</v>
      </c>
      <c r="E342" s="22" t="s">
        <v>665</v>
      </c>
      <c r="F342" s="22" t="s">
        <v>665</v>
      </c>
      <c r="G342" s="22" t="s">
        <v>94</v>
      </c>
      <c r="H342" s="23" t="str">
        <f>HYPERLINK("http://www.marinespecies.org/aphia.php?p=taxdetails&amp;id=126187","126187")</f>
        <v>126187</v>
      </c>
      <c r="I342" s="22" t="s">
        <v>94</v>
      </c>
      <c r="J342" s="24" t="str">
        <f t="shared" si="2"/>
        <v/>
      </c>
    </row>
    <row r="343">
      <c r="A343" s="22" t="s">
        <v>666</v>
      </c>
      <c r="B343" s="22">
        <v>933.0</v>
      </c>
      <c r="C343" s="23" t="str">
        <f>HYPERLINK("http://ecotaxoserver.obs-vlfr.fr/browsetaxo/?id=16698","16698")</f>
        <v>16698</v>
      </c>
      <c r="D343" s="23" t="str">
        <f>HYPERLINK("http://www.marinespecies.org/aphia.php?p=taxdetails&amp;id=1251","1251")</f>
        <v>1251</v>
      </c>
      <c r="E343" s="22" t="s">
        <v>667</v>
      </c>
      <c r="F343" s="22" t="s">
        <v>668</v>
      </c>
      <c r="G343" s="22" t="s">
        <v>94</v>
      </c>
      <c r="H343" s="23" t="str">
        <f>HYPERLINK("http://www.marinespecies.org/aphia.php?p=taxdetails&amp;id=1251","1251")</f>
        <v>1251</v>
      </c>
      <c r="I343" s="22" t="s">
        <v>94</v>
      </c>
      <c r="J343" s="24" t="str">
        <f t="shared" si="2"/>
        <v>!=</v>
      </c>
    </row>
    <row r="344">
      <c r="A344" s="22" t="s">
        <v>669</v>
      </c>
      <c r="B344" s="22">
        <v>1.0</v>
      </c>
      <c r="C344" s="23" t="str">
        <f>HYPERLINK("http://ecotaxoserver.obs-vlfr.fr/browsetaxo/?id=93352","93352")</f>
        <v>93352</v>
      </c>
      <c r="D344" s="23" t="str">
        <f>HYPERLINK("http://www.marinespecies.org/aphia.php?p=taxdetails&amp;id=599819","599819")</f>
        <v>599819</v>
      </c>
      <c r="E344" s="22" t="s">
        <v>670</v>
      </c>
      <c r="F344" s="22" t="s">
        <v>670</v>
      </c>
      <c r="G344" s="22" t="s">
        <v>94</v>
      </c>
      <c r="H344" s="23" t="str">
        <f>HYPERLINK("http://www.marinespecies.org/aphia.php?p=taxdetails&amp;id=599819","599819")</f>
        <v>599819</v>
      </c>
      <c r="I344" s="22" t="s">
        <v>94</v>
      </c>
      <c r="J344" s="24" t="str">
        <f t="shared" si="2"/>
        <v/>
      </c>
    </row>
    <row r="345">
      <c r="A345" s="22" t="s">
        <v>671</v>
      </c>
      <c r="B345" s="22">
        <v>1.0</v>
      </c>
      <c r="C345" s="23" t="str">
        <f>HYPERLINK("http://ecotaxoserver.obs-vlfr.fr/browsetaxo/?id=93334","93334")</f>
        <v>93334</v>
      </c>
      <c r="D345" s="23" t="str">
        <f>HYPERLINK("http://www.marinespecies.org/aphia.php?p=taxdetails&amp;id=494512","494512")</f>
        <v>494512</v>
      </c>
      <c r="E345" s="22" t="s">
        <v>670</v>
      </c>
      <c r="F345" s="22" t="s">
        <v>670</v>
      </c>
      <c r="G345" s="22" t="s">
        <v>94</v>
      </c>
      <c r="H345" s="23" t="str">
        <f>HYPERLINK("http://www.marinespecies.org/aphia.php?p=taxdetails&amp;id=494512","494512")</f>
        <v>494512</v>
      </c>
      <c r="I345" s="22" t="s">
        <v>94</v>
      </c>
      <c r="J345" s="24" t="str">
        <f t="shared" si="2"/>
        <v/>
      </c>
    </row>
    <row r="346">
      <c r="A346" s="22" t="s">
        <v>672</v>
      </c>
      <c r="B346" s="22">
        <v>4094.0</v>
      </c>
      <c r="C346" s="23" t="str">
        <f>HYPERLINK("http://ecotaxoserver.obs-vlfr.fr/browsetaxo/?id=28194","28194")</f>
        <v>28194</v>
      </c>
      <c r="D346" s="23" t="str">
        <f>HYPERLINK("http://www.marinespecies.org/aphia.php?p=taxdetails&amp;id=149003","149003")</f>
        <v>149003</v>
      </c>
      <c r="E346" s="22" t="s">
        <v>119</v>
      </c>
      <c r="F346" s="22" t="s">
        <v>307</v>
      </c>
      <c r="G346" s="22" t="s">
        <v>94</v>
      </c>
      <c r="H346" s="23" t="str">
        <f>HYPERLINK("http://www.marinespecies.org/aphia.php?p=taxdetails&amp;id=149003","149003")</f>
        <v>149003</v>
      </c>
      <c r="I346" s="22" t="s">
        <v>94</v>
      </c>
      <c r="J346" s="24" t="str">
        <f t="shared" si="2"/>
        <v>!=</v>
      </c>
    </row>
    <row r="347">
      <c r="A347" s="22" t="s">
        <v>673</v>
      </c>
      <c r="B347" s="22">
        <v>55.0</v>
      </c>
      <c r="C347" s="23" t="str">
        <f>HYPERLINK("http://ecotaxoserver.obs-vlfr.fr/browsetaxo/?id=78261","78261")</f>
        <v>78261</v>
      </c>
      <c r="D347" s="23" t="str">
        <f>HYPERLINK("http://www.marinespecies.org/aphia.php?p=taxdetails&amp;id=118426","118426")</f>
        <v>118426</v>
      </c>
      <c r="E347" s="22" t="s">
        <v>218</v>
      </c>
      <c r="F347" s="22" t="s">
        <v>674</v>
      </c>
      <c r="G347" s="22" t="s">
        <v>94</v>
      </c>
      <c r="H347" s="23" t="str">
        <f>HYPERLINK("http://www.marinespecies.org/aphia.php?p=taxdetails&amp;id=118426","118426")</f>
        <v>118426</v>
      </c>
      <c r="I347" s="22" t="s">
        <v>94</v>
      </c>
      <c r="J347" s="24" t="str">
        <f t="shared" si="2"/>
        <v>!=</v>
      </c>
    </row>
    <row r="348">
      <c r="A348" s="22" t="s">
        <v>675</v>
      </c>
      <c r="B348" s="22">
        <v>61.0</v>
      </c>
      <c r="C348" s="23" t="str">
        <f>HYPERLINK("http://ecotaxoserver.obs-vlfr.fr/browsetaxo/?id=92091","92091")</f>
        <v>92091</v>
      </c>
      <c r="D348" s="23" t="str">
        <f>HYPERLINK("http://www.marinespecies.org/aphia.php?p=taxdetails&amp;id=292941","292941")</f>
        <v>292941</v>
      </c>
      <c r="E348" s="22" t="s">
        <v>676</v>
      </c>
      <c r="F348" s="22" t="s">
        <v>676</v>
      </c>
      <c r="G348" s="22" t="s">
        <v>94</v>
      </c>
      <c r="H348" s="23" t="str">
        <f>HYPERLINK("http://www.marinespecies.org/aphia.php?p=taxdetails&amp;id=292941","292941")</f>
        <v>292941</v>
      </c>
      <c r="I348" s="22" t="s">
        <v>94</v>
      </c>
      <c r="J348" s="24" t="str">
        <f t="shared" si="2"/>
        <v/>
      </c>
    </row>
    <row r="349">
      <c r="A349" s="22" t="s">
        <v>677</v>
      </c>
      <c r="B349" s="22">
        <v>1.0</v>
      </c>
      <c r="C349" s="23" t="str">
        <f>HYPERLINK("http://ecotaxoserver.obs-vlfr.fr/browsetaxo/?id=93162","93162")</f>
        <v>93162</v>
      </c>
      <c r="D349" s="23" t="str">
        <f>HYPERLINK("http://www.marinespecies.org/aphia.php?p=taxdetails&amp;id=125578","125578")</f>
        <v>125578</v>
      </c>
      <c r="E349" s="22" t="s">
        <v>117</v>
      </c>
      <c r="F349" s="22" t="s">
        <v>117</v>
      </c>
      <c r="G349" s="22" t="s">
        <v>94</v>
      </c>
      <c r="H349" s="23" t="str">
        <f>HYPERLINK("http://www.marinespecies.org/aphia.php?p=taxdetails&amp;id=125578","125578")</f>
        <v>125578</v>
      </c>
      <c r="I349" s="22" t="s">
        <v>94</v>
      </c>
      <c r="J349" s="24" t="str">
        <f t="shared" si="2"/>
        <v/>
      </c>
    </row>
    <row r="350">
      <c r="A350" s="22" t="s">
        <v>678</v>
      </c>
      <c r="B350" s="22">
        <v>2.0</v>
      </c>
      <c r="C350" s="23" t="str">
        <f>HYPERLINK("http://ecotaxoserver.obs-vlfr.fr/browsetaxo/?id=62287","62287")</f>
        <v>62287</v>
      </c>
      <c r="D350" s="23" t="str">
        <f>HYPERLINK("http://www.marinespecies.org/aphia.php?p=taxdetails&amp;id=146873","146873")</f>
        <v>146873</v>
      </c>
      <c r="E350" s="22" t="s">
        <v>318</v>
      </c>
      <c r="F350" s="22" t="s">
        <v>679</v>
      </c>
      <c r="G350" s="22" t="s">
        <v>94</v>
      </c>
      <c r="H350" s="23" t="str">
        <f>HYPERLINK("http://www.marinespecies.org/aphia.php?p=taxdetails&amp;id=146873","146873")</f>
        <v>146873</v>
      </c>
      <c r="I350" s="22" t="s">
        <v>94</v>
      </c>
      <c r="J350" s="24" t="str">
        <f t="shared" si="2"/>
        <v>!=</v>
      </c>
    </row>
    <row r="351">
      <c r="A351" s="22" t="s">
        <v>680</v>
      </c>
      <c r="B351" s="22">
        <v>1.0</v>
      </c>
      <c r="C351" s="23" t="str">
        <f>HYPERLINK("http://ecotaxoserver.obs-vlfr.fr/browsetaxo/?id=93341","93341")</f>
        <v>93341</v>
      </c>
      <c r="D351" s="23" t="str">
        <f>HYPERLINK("http://www.marinespecies.org/aphia.php?p=taxdetails&amp;id=217865","217865")</f>
        <v>217865</v>
      </c>
      <c r="E351" s="22" t="s">
        <v>681</v>
      </c>
      <c r="F351" s="22" t="s">
        <v>681</v>
      </c>
      <c r="G351" s="22" t="s">
        <v>94</v>
      </c>
      <c r="H351" s="23" t="str">
        <f>HYPERLINK("http://www.marinespecies.org/aphia.php?p=taxdetails&amp;id=217865","217865")</f>
        <v>217865</v>
      </c>
      <c r="I351" s="22" t="s">
        <v>94</v>
      </c>
      <c r="J351" s="24" t="str">
        <f t="shared" si="2"/>
        <v/>
      </c>
    </row>
    <row r="352">
      <c r="A352" s="22" t="s">
        <v>682</v>
      </c>
      <c r="B352" s="22">
        <v>5.0</v>
      </c>
      <c r="C352" s="23" t="str">
        <f>HYPERLINK("http://ecotaxoserver.obs-vlfr.fr/browsetaxo/?id=51382","51382")</f>
        <v>51382</v>
      </c>
      <c r="D352" s="23" t="str">
        <f>HYPERLINK("http://www.marinespecies.org/aphia.php?p=taxdetails&amp;id=135334","135334")</f>
        <v>135334</v>
      </c>
      <c r="E352" s="22" t="s">
        <v>404</v>
      </c>
      <c r="F352" s="22" t="s">
        <v>404</v>
      </c>
      <c r="G352" s="22" t="s">
        <v>94</v>
      </c>
      <c r="H352" s="23" t="str">
        <f>HYPERLINK("http://www.marinespecies.org/aphia.php?p=taxdetails&amp;id=135334","135334")</f>
        <v>135334</v>
      </c>
      <c r="I352" s="22" t="s">
        <v>94</v>
      </c>
      <c r="J352" s="24" t="str">
        <f t="shared" si="2"/>
        <v/>
      </c>
    </row>
    <row r="353">
      <c r="A353" s="22" t="s">
        <v>683</v>
      </c>
      <c r="B353" s="22">
        <v>2.0</v>
      </c>
      <c r="C353" s="23" t="str">
        <f>HYPERLINK("http://ecotaxoserver.obs-vlfr.fr/browsetaxo/?id=93094","93094")</f>
        <v>93094</v>
      </c>
      <c r="D353" s="23" t="str">
        <f>HYPERLINK("http://www.marinespecies.org/aphia.php?p=taxdetails&amp;id=117506","117506")</f>
        <v>117506</v>
      </c>
      <c r="E353" s="22" t="s">
        <v>684</v>
      </c>
      <c r="F353" s="22" t="s">
        <v>684</v>
      </c>
      <c r="G353" s="22" t="s">
        <v>94</v>
      </c>
      <c r="H353" s="23" t="str">
        <f>HYPERLINK("http://www.marinespecies.org/aphia.php?p=taxdetails&amp;id=117506","117506")</f>
        <v>117506</v>
      </c>
      <c r="I353" s="22" t="s">
        <v>94</v>
      </c>
      <c r="J353" s="24" t="str">
        <f t="shared" si="2"/>
        <v/>
      </c>
    </row>
    <row r="354">
      <c r="A354" s="22" t="s">
        <v>685</v>
      </c>
      <c r="B354" s="22">
        <v>386.0</v>
      </c>
      <c r="C354" s="23" t="str">
        <f>HYPERLINK("http://ecotaxoserver.obs-vlfr.fr/browsetaxo/?id=31190","31190")</f>
        <v>31190</v>
      </c>
      <c r="D354" s="23" t="str">
        <f>HYPERLINK("http://www.marinespecies.org/aphia.php?p=taxdetails&amp;id=150205","150205")</f>
        <v>150205</v>
      </c>
      <c r="E354" s="22" t="s">
        <v>686</v>
      </c>
      <c r="F354" s="22" t="s">
        <v>686</v>
      </c>
      <c r="G354" s="22" t="s">
        <v>94</v>
      </c>
      <c r="H354" s="23" t="str">
        <f>HYPERLINK("http://www.marinespecies.org/aphia.php?p=taxdetails&amp;id=150205","150205")</f>
        <v>150205</v>
      </c>
      <c r="I354" s="22" t="s">
        <v>94</v>
      </c>
      <c r="J354" s="24" t="str">
        <f t="shared" si="2"/>
        <v/>
      </c>
    </row>
    <row r="355">
      <c r="A355" s="22" t="s">
        <v>687</v>
      </c>
      <c r="B355" s="22">
        <v>502.0</v>
      </c>
      <c r="C355" s="23" t="str">
        <f>HYPERLINK("http://ecotaxoserver.obs-vlfr.fr/browsetaxo/?id=28300","28300")</f>
        <v>28300</v>
      </c>
      <c r="D355" s="23" t="str">
        <f>HYPERLINK("http://www.marinespecies.org/aphia.php?p=taxdetails&amp;id=149309","149309")</f>
        <v>149309</v>
      </c>
      <c r="E355" s="22" t="s">
        <v>688</v>
      </c>
      <c r="F355" s="22" t="s">
        <v>689</v>
      </c>
      <c r="G355" s="22" t="s">
        <v>94</v>
      </c>
      <c r="H355" s="23" t="str">
        <f>HYPERLINK("http://www.marinespecies.org/aphia.php?p=taxdetails&amp;id=149309","149309")</f>
        <v>149309</v>
      </c>
      <c r="I355" s="22" t="s">
        <v>94</v>
      </c>
      <c r="J355" s="24" t="str">
        <f t="shared" si="2"/>
        <v>!=</v>
      </c>
    </row>
    <row r="356">
      <c r="A356" s="22" t="s">
        <v>690</v>
      </c>
      <c r="B356" s="22">
        <v>1.0</v>
      </c>
      <c r="C356" s="23" t="str">
        <f>HYPERLINK("http://ecotaxoserver.obs-vlfr.fr/browsetaxo/?id=93365","93365")</f>
        <v>93365</v>
      </c>
      <c r="D356" s="23" t="str">
        <f>HYPERLINK("http://www.marinespecies.org/aphia.php?p=taxdetails&amp;id=218158","218158")</f>
        <v>218158</v>
      </c>
      <c r="E356" s="22" t="s">
        <v>691</v>
      </c>
      <c r="F356" s="22" t="s">
        <v>691</v>
      </c>
      <c r="G356" s="22" t="s">
        <v>94</v>
      </c>
      <c r="H356" s="23" t="str">
        <f>HYPERLINK("http://www.marinespecies.org/aphia.php?p=taxdetails&amp;id=218158","218158")</f>
        <v>218158</v>
      </c>
      <c r="I356" s="22" t="s">
        <v>94</v>
      </c>
      <c r="J356" s="24" t="str">
        <f t="shared" si="2"/>
        <v/>
      </c>
    </row>
    <row r="357">
      <c r="A357" s="22" t="s">
        <v>692</v>
      </c>
      <c r="B357" s="22">
        <v>1.0</v>
      </c>
      <c r="C357" s="23" t="str">
        <f>HYPERLINK("http://ecotaxoserver.obs-vlfr.fr/browsetaxo/?id=93189","93189")</f>
        <v>93189</v>
      </c>
      <c r="D357" s="23" t="str">
        <f>HYPERLINK("http://www.marinespecies.org/aphia.php?p=taxdetails&amp;id=125591","125591")</f>
        <v>125591</v>
      </c>
      <c r="E357" s="22" t="s">
        <v>693</v>
      </c>
      <c r="F357" s="22" t="s">
        <v>693</v>
      </c>
      <c r="G357" s="22" t="s">
        <v>94</v>
      </c>
      <c r="H357" s="23" t="str">
        <f>HYPERLINK("http://www.marinespecies.org/aphia.php?p=taxdetails&amp;id=125591","125591")</f>
        <v>125591</v>
      </c>
      <c r="I357" s="22" t="s">
        <v>94</v>
      </c>
      <c r="J357" s="24" t="str">
        <f t="shared" si="2"/>
        <v/>
      </c>
    </row>
    <row r="358">
      <c r="A358" s="22" t="s">
        <v>694</v>
      </c>
      <c r="B358" s="22">
        <v>1.0</v>
      </c>
      <c r="C358" s="23" t="str">
        <f>HYPERLINK("http://ecotaxoserver.obs-vlfr.fr/browsetaxo/?id=93191","93191")</f>
        <v>93191</v>
      </c>
      <c r="D358" s="23" t="str">
        <f>HYPERLINK("http://www.marinespecies.org/aphia.php?p=taxdetails&amp;id=127232","127232")</f>
        <v>127232</v>
      </c>
      <c r="E358" s="22" t="s">
        <v>695</v>
      </c>
      <c r="F358" s="22" t="s">
        <v>695</v>
      </c>
      <c r="G358" s="22" t="s">
        <v>94</v>
      </c>
      <c r="H358" s="23" t="str">
        <f>HYPERLINK("http://www.marinespecies.org/aphia.php?p=taxdetails&amp;id=127232","127232")</f>
        <v>127232</v>
      </c>
      <c r="I358" s="22" t="s">
        <v>94</v>
      </c>
      <c r="J358" s="24" t="str">
        <f t="shared" si="2"/>
        <v/>
      </c>
    </row>
    <row r="359">
      <c r="A359" s="22" t="s">
        <v>696</v>
      </c>
      <c r="B359" s="22">
        <v>6.0</v>
      </c>
      <c r="C359" s="23" t="str">
        <f>HYPERLINK("http://ecotaxoserver.obs-vlfr.fr/browsetaxo/?id=92898","92898")</f>
        <v>92898</v>
      </c>
      <c r="D359" s="23" t="str">
        <f>HYPERLINK("http://www.marinespecies.org/aphia.php?p=taxdetails&amp;id=151416","151416")</f>
        <v>151416</v>
      </c>
      <c r="E359" s="22" t="s">
        <v>132</v>
      </c>
      <c r="F359" s="22" t="s">
        <v>349</v>
      </c>
      <c r="G359" s="22" t="s">
        <v>94</v>
      </c>
      <c r="H359" s="23" t="str">
        <f>HYPERLINK("http://www.marinespecies.org/aphia.php?p=taxdetails&amp;id=151416","151416")</f>
        <v>151416</v>
      </c>
      <c r="I359" s="22" t="s">
        <v>94</v>
      </c>
      <c r="J359" s="24" t="str">
        <f t="shared" si="2"/>
        <v>!=</v>
      </c>
    </row>
    <row r="360">
      <c r="A360" s="22" t="s">
        <v>697</v>
      </c>
      <c r="B360" s="22">
        <v>119.0</v>
      </c>
      <c r="C360" s="23" t="str">
        <f>HYPERLINK("http://ecotaxoserver.obs-vlfr.fr/browsetaxo/?id=31229","31229")</f>
        <v>31229</v>
      </c>
      <c r="D360" s="23" t="str">
        <f>HYPERLINK("http://www.marinespecies.org/aphia.php?p=taxdetails&amp;id=183541","183541")</f>
        <v>183541</v>
      </c>
      <c r="E360" s="22" t="s">
        <v>698</v>
      </c>
      <c r="F360" s="22" t="s">
        <v>210</v>
      </c>
      <c r="G360" s="22" t="s">
        <v>94</v>
      </c>
      <c r="H360" s="23" t="str">
        <f>HYPERLINK("http://www.marinespecies.org/aphia.php?p=taxdetails&amp;id=183541","183541")</f>
        <v>183541</v>
      </c>
      <c r="I360" s="22" t="s">
        <v>94</v>
      </c>
      <c r="J360" s="24" t="str">
        <f t="shared" si="2"/>
        <v>!=</v>
      </c>
    </row>
    <row r="361">
      <c r="A361" s="22" t="s">
        <v>699</v>
      </c>
      <c r="B361" s="22">
        <v>538.0</v>
      </c>
      <c r="C361" s="23" t="str">
        <f>HYPERLINK("http://ecotaxoserver.obs-vlfr.fr/browsetaxo/?id=57507","57507")</f>
        <v>57507</v>
      </c>
      <c r="D361" s="23" t="str">
        <f>HYPERLINK("http://www.marinespecies.org/aphia.php?p=taxdetails&amp;id=183542","183542")</f>
        <v>183542</v>
      </c>
      <c r="E361" s="22" t="s">
        <v>697</v>
      </c>
      <c r="F361" s="22" t="s">
        <v>697</v>
      </c>
      <c r="G361" s="22" t="s">
        <v>94</v>
      </c>
      <c r="H361" s="23" t="str">
        <f>HYPERLINK("http://www.marinespecies.org/aphia.php?p=taxdetails&amp;id=183542","183542")</f>
        <v>183542</v>
      </c>
      <c r="I361" s="22" t="s">
        <v>94</v>
      </c>
      <c r="J361" s="24" t="str">
        <f t="shared" si="2"/>
        <v/>
      </c>
    </row>
    <row r="362">
      <c r="A362" s="22" t="s">
        <v>700</v>
      </c>
      <c r="B362" s="22">
        <v>20954.0</v>
      </c>
      <c r="C362" s="23" t="str">
        <f>HYPERLINK("http://ecotaxoserver.obs-vlfr.fr/browsetaxo/?id=81932","81932")</f>
        <v>81932</v>
      </c>
      <c r="D362" s="23" t="str">
        <f>HYPERLINK("http://www.marinespecies.org/aphia.php?p=taxdetails&amp;id=148370","148370")</f>
        <v>148370</v>
      </c>
      <c r="E362" s="22" t="s">
        <v>461</v>
      </c>
      <c r="F362" s="22" t="s">
        <v>461</v>
      </c>
      <c r="G362" s="22" t="s">
        <v>94</v>
      </c>
      <c r="H362" s="23" t="str">
        <f>HYPERLINK("http://www.marinespecies.org/aphia.php?p=taxdetails&amp;id=148370","148370")</f>
        <v>148370</v>
      </c>
      <c r="I362" s="22" t="s">
        <v>94</v>
      </c>
      <c r="J362" s="24" t="str">
        <f t="shared" si="2"/>
        <v/>
      </c>
    </row>
    <row r="363">
      <c r="A363" s="22" t="s">
        <v>461</v>
      </c>
      <c r="B363" s="22">
        <v>48.0</v>
      </c>
      <c r="C363" s="23" t="str">
        <f>HYPERLINK("http://ecotaxoserver.obs-vlfr.fr/browsetaxo/?id=78394","78394")</f>
        <v>78394</v>
      </c>
      <c r="D363" s="23" t="str">
        <f>HYPERLINK("http://www.marinespecies.org/aphia.php?p=taxdetails&amp;id=148360","148360")</f>
        <v>148360</v>
      </c>
      <c r="E363" s="22" t="s">
        <v>357</v>
      </c>
      <c r="F363" s="22" t="s">
        <v>358</v>
      </c>
      <c r="G363" s="22" t="s">
        <v>94</v>
      </c>
      <c r="H363" s="23" t="str">
        <f>HYPERLINK("http://www.marinespecies.org/aphia.php?p=taxdetails&amp;id=148360","148360")</f>
        <v>148360</v>
      </c>
      <c r="I363" s="22" t="s">
        <v>94</v>
      </c>
      <c r="J363" s="24" t="str">
        <f t="shared" si="2"/>
        <v>!=</v>
      </c>
    </row>
    <row r="364">
      <c r="A364" s="22" t="s">
        <v>701</v>
      </c>
      <c r="B364" s="22">
        <v>15114.0</v>
      </c>
      <c r="C364" s="23" t="str">
        <f>HYPERLINK("http://ecotaxoserver.obs-vlfr.fr/browsetaxo/?id=45043","45043")</f>
        <v>45043</v>
      </c>
      <c r="D364" s="23" t="str">
        <f>HYPERLINK("http://www.marinespecies.org/aphia.php?p=taxdetails&amp;id=1130","1130")</f>
        <v>1130</v>
      </c>
      <c r="E364" s="22" t="s">
        <v>198</v>
      </c>
      <c r="F364" s="22" t="s">
        <v>702</v>
      </c>
      <c r="G364" s="22" t="s">
        <v>94</v>
      </c>
      <c r="H364" s="23" t="str">
        <f>HYPERLINK("http://www.marinespecies.org/aphia.php?p=taxdetails&amp;id=1130","1130")</f>
        <v>1130</v>
      </c>
      <c r="I364" s="22" t="s">
        <v>94</v>
      </c>
      <c r="J364" s="24" t="str">
        <f t="shared" si="2"/>
        <v>!=</v>
      </c>
    </row>
    <row r="365">
      <c r="A365" s="22" t="s">
        <v>89</v>
      </c>
      <c r="B365" s="22">
        <v>5.0</v>
      </c>
      <c r="C365" s="23" t="str">
        <f>HYPERLINK("http://ecotaxoserver.obs-vlfr.fr/browsetaxo/?id=26392","26392")</f>
        <v>26392</v>
      </c>
      <c r="D365" s="23" t="str">
        <f>HYPERLINK("http://www.marinespecies.org/aphia.php?p=taxdetails&amp;id=325342","325342")</f>
        <v>325342</v>
      </c>
      <c r="E365" s="22" t="s">
        <v>703</v>
      </c>
      <c r="F365" s="22" t="s">
        <v>703</v>
      </c>
      <c r="G365" s="22" t="s">
        <v>94</v>
      </c>
      <c r="H365" s="23" t="str">
        <f>HYPERLINK("http://www.marinespecies.org/aphia.php?p=taxdetails&amp;id=325342","325342")</f>
        <v>325342</v>
      </c>
      <c r="I365" s="22" t="s">
        <v>94</v>
      </c>
      <c r="J365" s="24" t="str">
        <f t="shared" si="2"/>
        <v/>
      </c>
    </row>
    <row r="366">
      <c r="A366" s="22" t="s">
        <v>704</v>
      </c>
      <c r="B366" s="22">
        <v>1.0</v>
      </c>
      <c r="C366" s="23" t="str">
        <f>HYPERLINK("http://ecotaxoserver.obs-vlfr.fr/browsetaxo/?id=80158","80158")</f>
        <v>80158</v>
      </c>
      <c r="D366" s="23" t="str">
        <f>HYPERLINK("http://www.marinespecies.org/aphia.php?p=taxdetails&amp;id=363904","363904")</f>
        <v>363904</v>
      </c>
      <c r="E366" s="22" t="s">
        <v>122</v>
      </c>
      <c r="F366" s="22" t="s">
        <v>122</v>
      </c>
      <c r="G366" s="22" t="s">
        <v>94</v>
      </c>
      <c r="H366" s="23" t="str">
        <f>HYPERLINK("http://www.marinespecies.org/aphia.php?p=taxdetails&amp;id=363904","363904")</f>
        <v>363904</v>
      </c>
      <c r="I366" s="22" t="s">
        <v>94</v>
      </c>
      <c r="J366" s="24" t="str">
        <f t="shared" si="2"/>
        <v/>
      </c>
    </row>
    <row r="367">
      <c r="A367" s="22" t="s">
        <v>705</v>
      </c>
      <c r="B367" s="22">
        <v>2.0</v>
      </c>
      <c r="C367" s="23" t="str">
        <f>HYPERLINK("http://ecotaxoserver.obs-vlfr.fr/browsetaxo/?id=28190","28190")</f>
        <v>28190</v>
      </c>
      <c r="D367" s="23" t="str">
        <f>HYPERLINK("http://www.marinespecies.org/aphia.php?p=taxdetails&amp;id=149179","149179")</f>
        <v>149179</v>
      </c>
      <c r="E367" s="22" t="s">
        <v>119</v>
      </c>
      <c r="F367" s="22" t="s">
        <v>706</v>
      </c>
      <c r="G367" s="22" t="s">
        <v>94</v>
      </c>
      <c r="H367" s="23" t="str">
        <f>HYPERLINK("http://www.marinespecies.org/aphia.php?p=taxdetails&amp;id=149179","149179")</f>
        <v>149179</v>
      </c>
      <c r="I367" s="22" t="s">
        <v>94</v>
      </c>
      <c r="J367" s="24" t="str">
        <f t="shared" si="2"/>
        <v>!=</v>
      </c>
    </row>
    <row r="368">
      <c r="A368" s="22" t="s">
        <v>707</v>
      </c>
      <c r="B368" s="22">
        <v>88.0</v>
      </c>
      <c r="C368" s="23" t="str">
        <f>HYPERLINK("http://ecotaxoserver.obs-vlfr.fr/browsetaxo/?id=78373","78373")</f>
        <v>78373</v>
      </c>
      <c r="D368" s="23" t="str">
        <f>HYPERLINK("http://www.marinespecies.org/aphia.php?p=taxdetails&amp;id=106669","106669")</f>
        <v>106669</v>
      </c>
      <c r="E368" s="22" t="s">
        <v>701</v>
      </c>
      <c r="F368" s="22" t="s">
        <v>701</v>
      </c>
      <c r="G368" s="22" t="s">
        <v>94</v>
      </c>
      <c r="H368" s="23" t="str">
        <f>HYPERLINK("http://www.marinespecies.org/aphia.php?p=taxdetails&amp;id=106669","106669")</f>
        <v>106669</v>
      </c>
      <c r="I368" s="22" t="s">
        <v>94</v>
      </c>
      <c r="J368" s="24" t="str">
        <f t="shared" si="2"/>
        <v/>
      </c>
    </row>
    <row r="369">
      <c r="A369" s="22" t="s">
        <v>708</v>
      </c>
      <c r="B369" s="22">
        <v>21.0</v>
      </c>
      <c r="C369" s="23" t="str">
        <f>HYPERLINK("http://ecotaxoserver.obs-vlfr.fr/browsetaxo/?id=56457","56457")</f>
        <v>56457</v>
      </c>
      <c r="D369" s="23" t="str">
        <f>HYPERLINK("http://www.marinespecies.org/aphia.php?p=taxdetails&amp;id=137754","137754")</f>
        <v>137754</v>
      </c>
      <c r="E369" s="22" t="s">
        <v>429</v>
      </c>
      <c r="F369" s="22" t="s">
        <v>429</v>
      </c>
      <c r="G369" s="22" t="s">
        <v>94</v>
      </c>
      <c r="H369" s="23" t="str">
        <f>HYPERLINK("http://www.marinespecies.org/aphia.php?p=taxdetails&amp;id=137754","137754")</f>
        <v>137754</v>
      </c>
      <c r="I369" s="22" t="s">
        <v>94</v>
      </c>
      <c r="J369" s="24" t="str">
        <f t="shared" si="2"/>
        <v/>
      </c>
    </row>
    <row r="370">
      <c r="A370" s="22" t="s">
        <v>709</v>
      </c>
      <c r="B370" s="22">
        <v>1.0</v>
      </c>
      <c r="C370" s="23" t="str">
        <f>HYPERLINK("http://ecotaxoserver.obs-vlfr.fr/browsetaxo/?id=78453","78453")</f>
        <v>78453</v>
      </c>
      <c r="D370" s="23" t="str">
        <f>HYPERLINK("http://www.marinespecies.org/aphia.php?p=taxdetails&amp;id=139038","139038")</f>
        <v>139038</v>
      </c>
      <c r="E370" s="22" t="s">
        <v>708</v>
      </c>
      <c r="F370" s="22" t="s">
        <v>708</v>
      </c>
      <c r="G370" s="22" t="s">
        <v>94</v>
      </c>
      <c r="H370" s="23" t="str">
        <f>HYPERLINK("http://www.marinespecies.org/aphia.php?p=taxdetails&amp;id=139038","139038")</f>
        <v>139038</v>
      </c>
      <c r="I370" s="22" t="s">
        <v>94</v>
      </c>
      <c r="J370" s="24" t="str">
        <f t="shared" si="2"/>
        <v/>
      </c>
    </row>
    <row r="371">
      <c r="A371" s="22" t="s">
        <v>710</v>
      </c>
      <c r="B371" s="22">
        <v>44.0</v>
      </c>
      <c r="C371" s="23" t="str">
        <f>HYPERLINK("http://ecotaxoserver.obs-vlfr.fr/browsetaxo/?id=56458","56458")</f>
        <v>56458</v>
      </c>
      <c r="D371" s="23" t="str">
        <f>HYPERLINK("http://www.marinespecies.org/aphia.php?p=taxdetails&amp;id=137755","137755")</f>
        <v>137755</v>
      </c>
      <c r="E371" s="22" t="s">
        <v>429</v>
      </c>
      <c r="F371" s="22" t="s">
        <v>429</v>
      </c>
      <c r="G371" s="22" t="s">
        <v>94</v>
      </c>
      <c r="H371" s="23" t="str">
        <f>HYPERLINK("http://www.marinespecies.org/aphia.php?p=taxdetails&amp;id=137755","137755")</f>
        <v>137755</v>
      </c>
      <c r="I371" s="22" t="s">
        <v>94</v>
      </c>
      <c r="J371" s="24" t="str">
        <f t="shared" si="2"/>
        <v/>
      </c>
    </row>
    <row r="372">
      <c r="A372" s="22" t="s">
        <v>711</v>
      </c>
      <c r="B372" s="22">
        <v>13.0</v>
      </c>
      <c r="C372" s="23" t="str">
        <f>HYPERLINK("http://ecotaxoserver.obs-vlfr.fr/browsetaxo/?id=74198","74198")</f>
        <v>74198</v>
      </c>
      <c r="D372" s="23" t="str">
        <f>HYPERLINK("http://www.marinespecies.org/aphia.php?p=taxdetails&amp;id=139045","139045")</f>
        <v>139045</v>
      </c>
      <c r="E372" s="22" t="s">
        <v>710</v>
      </c>
      <c r="F372" s="22" t="s">
        <v>710</v>
      </c>
      <c r="G372" s="22" t="s">
        <v>94</v>
      </c>
      <c r="H372" s="23" t="str">
        <f>HYPERLINK("http://www.marinespecies.org/aphia.php?p=taxdetails&amp;id=139045","139045")</f>
        <v>139045</v>
      </c>
      <c r="I372" s="22" t="s">
        <v>94</v>
      </c>
      <c r="J372" s="24" t="str">
        <f t="shared" si="2"/>
        <v/>
      </c>
    </row>
    <row r="373">
      <c r="A373" s="22" t="s">
        <v>712</v>
      </c>
      <c r="B373" s="22">
        <v>13660.0</v>
      </c>
      <c r="C373" s="23" t="str">
        <f>HYPERLINK("http://ecotaxoserver.obs-vlfr.fr/browsetaxo/?id=81937","81937")</f>
        <v>81937</v>
      </c>
      <c r="D373" s="23" t="str">
        <f>HYPERLINK("http://www.marinespecies.org/aphia.php?p=taxdetails&amp;id=234062","234062")</f>
        <v>234062</v>
      </c>
      <c r="E373" s="22" t="s">
        <v>713</v>
      </c>
      <c r="F373" s="22" t="s">
        <v>713</v>
      </c>
      <c r="G373" s="22" t="s">
        <v>94</v>
      </c>
      <c r="H373" s="23" t="str">
        <f>HYPERLINK("http://www.marinespecies.org/aphia.php?p=taxdetails&amp;id=234062","234062")</f>
        <v>234062</v>
      </c>
      <c r="I373" s="22" t="s">
        <v>94</v>
      </c>
      <c r="J373" s="24" t="str">
        <f t="shared" si="2"/>
        <v/>
      </c>
    </row>
    <row r="374">
      <c r="A374" s="22" t="s">
        <v>714</v>
      </c>
      <c r="B374" s="22">
        <v>527.0</v>
      </c>
      <c r="C374" s="23" t="str">
        <f>HYPERLINK("http://ecotaxoserver.obs-vlfr.fr/browsetaxo/?id=61988","61988")</f>
        <v>61988</v>
      </c>
      <c r="D374" s="23" t="str">
        <f>HYPERLINK("http://www.marinespecies.org/aphia.php?p=taxdetails&amp;id=149688","149688")</f>
        <v>149688</v>
      </c>
      <c r="E374" s="22" t="s">
        <v>111</v>
      </c>
      <c r="F374" s="22" t="s">
        <v>111</v>
      </c>
      <c r="G374" s="22" t="s">
        <v>94</v>
      </c>
      <c r="H374" s="23" t="str">
        <f>HYPERLINK("http://www.marinespecies.org/aphia.php?p=taxdetails&amp;id=149688","149688")</f>
        <v>149688</v>
      </c>
      <c r="I374" s="22" t="s">
        <v>94</v>
      </c>
      <c r="J374" s="24" t="str">
        <f t="shared" si="2"/>
        <v/>
      </c>
    </row>
    <row r="375">
      <c r="A375" s="22" t="s">
        <v>715</v>
      </c>
      <c r="B375" s="22">
        <v>126074.0</v>
      </c>
      <c r="C375" s="23" t="str">
        <f>HYPERLINK("http://ecotaxoserver.obs-vlfr.fr/browsetaxo/?id=28189","28189")</f>
        <v>28189</v>
      </c>
      <c r="D375" s="23" t="str">
        <f>HYPERLINK("http://www.marinespecies.org/aphia.php?p=taxdetails&amp;id=149013","149013")</f>
        <v>149013</v>
      </c>
      <c r="E375" s="22" t="s">
        <v>119</v>
      </c>
      <c r="F375" s="22" t="s">
        <v>258</v>
      </c>
      <c r="G375" s="22" t="s">
        <v>94</v>
      </c>
      <c r="H375" s="23" t="str">
        <f>HYPERLINK("http://www.marinespecies.org/aphia.php?p=taxdetails&amp;id=149013","149013")</f>
        <v>149013</v>
      </c>
      <c r="I375" s="22" t="s">
        <v>94</v>
      </c>
      <c r="J375" s="24" t="str">
        <f t="shared" si="2"/>
        <v>!=</v>
      </c>
    </row>
    <row r="376">
      <c r="A376" s="22" t="s">
        <v>716</v>
      </c>
      <c r="B376" s="22">
        <v>74.0</v>
      </c>
      <c r="C376" s="23" t="str">
        <f>HYPERLINK("http://ecotaxoserver.obs-vlfr.fr/browsetaxo/?id=55482","55482")</f>
        <v>55482</v>
      </c>
      <c r="D376" s="23" t="str">
        <f>HYPERLINK("http://www.marinespecies.org/aphia.php?p=taxdetails&amp;id=149014","149014")</f>
        <v>149014</v>
      </c>
      <c r="E376" s="22" t="s">
        <v>715</v>
      </c>
      <c r="F376" s="22" t="s">
        <v>715</v>
      </c>
      <c r="G376" s="22" t="s">
        <v>94</v>
      </c>
      <c r="H376" s="23" t="str">
        <f>HYPERLINK("http://www.marinespecies.org/aphia.php?p=taxdetails&amp;id=149014","149014")</f>
        <v>149014</v>
      </c>
      <c r="I376" s="22" t="s">
        <v>94</v>
      </c>
      <c r="J376" s="24" t="str">
        <f t="shared" si="2"/>
        <v/>
      </c>
    </row>
    <row r="377">
      <c r="A377" s="22" t="s">
        <v>717</v>
      </c>
      <c r="B377" s="22">
        <v>2973.0</v>
      </c>
      <c r="C377" s="23" t="str">
        <f>HYPERLINK("http://ecotaxoserver.obs-vlfr.fr/browsetaxo/?id=17608","17608")</f>
        <v>17608</v>
      </c>
      <c r="D377" s="23" t="str">
        <f>HYPERLINK("http://www.marinespecies.org/aphia.php?p=taxdetails&amp;id=157258","157258")</f>
        <v>157258</v>
      </c>
      <c r="E377" s="22" t="s">
        <v>718</v>
      </c>
      <c r="F377" s="22" t="s">
        <v>719</v>
      </c>
      <c r="G377" s="22" t="s">
        <v>94</v>
      </c>
      <c r="H377" s="23" t="str">
        <f>HYPERLINK("http://www.marinespecies.org/aphia.php?p=taxdetails&amp;id=157258","157258")</f>
        <v>157258</v>
      </c>
      <c r="I377" s="22" t="s">
        <v>94</v>
      </c>
      <c r="J377" s="24" t="str">
        <f t="shared" si="2"/>
        <v>!=</v>
      </c>
    </row>
    <row r="378">
      <c r="A378" s="22" t="s">
        <v>720</v>
      </c>
      <c r="B378" s="22">
        <v>6.0</v>
      </c>
      <c r="C378" s="23" t="str">
        <f>HYPERLINK("http://ecotaxoserver.obs-vlfr.fr/browsetaxo/?id=28440","28440")</f>
        <v>28440</v>
      </c>
      <c r="D378" s="23" t="str">
        <f>HYPERLINK("http://www.marinespecies.org/aphia.php?p=taxdetails&amp;id=157463","157463")</f>
        <v>157463</v>
      </c>
      <c r="E378" s="22" t="s">
        <v>717</v>
      </c>
      <c r="F378" s="22" t="s">
        <v>717</v>
      </c>
      <c r="G378" s="22" t="s">
        <v>94</v>
      </c>
      <c r="H378" s="23" t="str">
        <f>HYPERLINK("http://www.marinespecies.org/aphia.php?p=taxdetails&amp;id=157463","157463")</f>
        <v>157463</v>
      </c>
      <c r="I378" s="22" t="s">
        <v>94</v>
      </c>
      <c r="J378" s="24" t="str">
        <f t="shared" si="2"/>
        <v/>
      </c>
    </row>
    <row r="379">
      <c r="A379" s="22" t="s">
        <v>718</v>
      </c>
      <c r="B379" s="22">
        <v>15632.0</v>
      </c>
      <c r="C379" s="23" t="str">
        <f>HYPERLINK("http://ecotaxoserver.obs-vlfr.fr/browsetaxo/?id=13688","13688")</f>
        <v>13688</v>
      </c>
      <c r="D379" s="23" t="str">
        <f>HYPERLINK("http://www.marinespecies.org/aphia.php?p=taxdetails&amp;id=157256","157256")</f>
        <v>157256</v>
      </c>
      <c r="E379" s="22" t="s">
        <v>721</v>
      </c>
      <c r="F379" s="22" t="s">
        <v>721</v>
      </c>
      <c r="G379" s="22" t="s">
        <v>94</v>
      </c>
      <c r="H379" s="23" t="str">
        <f>HYPERLINK("http://www.marinespecies.org/aphia.php?p=taxdetails&amp;id=157256","157256")</f>
        <v>157256</v>
      </c>
      <c r="I379" s="22" t="s">
        <v>94</v>
      </c>
      <c r="J379" s="24" t="str">
        <f t="shared" si="2"/>
        <v/>
      </c>
    </row>
    <row r="380">
      <c r="A380" s="22" t="s">
        <v>721</v>
      </c>
      <c r="B380" s="22">
        <v>2273.0</v>
      </c>
      <c r="C380" s="23" t="str">
        <f>HYPERLINK("http://ecotaxoserver.obs-vlfr.fr/browsetaxo/?id=11812","11812")</f>
        <v>11812</v>
      </c>
      <c r="D380" s="23" t="str">
        <f>HYPERLINK("http://www.marinespecies.org/aphia.php?p=taxdetails&amp;id=146232","146232")</f>
        <v>146232</v>
      </c>
      <c r="E380" s="22" t="s">
        <v>521</v>
      </c>
      <c r="F380" s="22" t="s">
        <v>722</v>
      </c>
      <c r="G380" s="22" t="s">
        <v>94</v>
      </c>
      <c r="H380" s="23" t="str">
        <f>HYPERLINK("http://www.marinespecies.org/aphia.php?p=taxdetails&amp;id=146232","146232")</f>
        <v>146232</v>
      </c>
      <c r="I380" s="22" t="s">
        <v>94</v>
      </c>
      <c r="J380" s="24" t="str">
        <f t="shared" si="2"/>
        <v>!=</v>
      </c>
    </row>
    <row r="381">
      <c r="A381" s="22" t="s">
        <v>723</v>
      </c>
      <c r="B381" s="22">
        <v>2.0</v>
      </c>
      <c r="C381" s="23" t="str">
        <f>HYPERLINK("http://ecotaxoserver.obs-vlfr.fr/browsetaxo/?id=27891","27891")</f>
        <v>27891</v>
      </c>
      <c r="D381" s="23" t="str">
        <f>HYPERLINK("http://www.marinespecies.org/aphia.php?p=taxdetails&amp;id=412934","412934")</f>
        <v>412934</v>
      </c>
      <c r="E381" s="22" t="s">
        <v>724</v>
      </c>
      <c r="F381" s="22" t="s">
        <v>725</v>
      </c>
      <c r="G381" s="22" t="s">
        <v>94</v>
      </c>
      <c r="H381" s="23" t="str">
        <f>HYPERLINK("http://www.marinespecies.org/aphia.php?p=taxdetails&amp;id=412934","412934")</f>
        <v>412934</v>
      </c>
      <c r="I381" s="22" t="s">
        <v>94</v>
      </c>
      <c r="J381" s="24" t="str">
        <f t="shared" si="2"/>
        <v>!=</v>
      </c>
    </row>
    <row r="382">
      <c r="A382" s="22" t="s">
        <v>726</v>
      </c>
      <c r="B382" s="22">
        <v>1949.0</v>
      </c>
      <c r="C382" s="23" t="str">
        <f>HYPERLINK("http://ecotaxoserver.obs-vlfr.fr/browsetaxo/?id=31192","31192")</f>
        <v>31192</v>
      </c>
      <c r="D382" s="23" t="str">
        <f>HYPERLINK("http://www.marinespecies.org/aphia.php?p=taxdetails&amp;id=196834","196834")</f>
        <v>196834</v>
      </c>
      <c r="E382" s="22" t="s">
        <v>565</v>
      </c>
      <c r="F382" s="22" t="s">
        <v>565</v>
      </c>
      <c r="G382" s="22" t="s">
        <v>94</v>
      </c>
      <c r="H382" s="23" t="str">
        <f>HYPERLINK("http://www.marinespecies.org/aphia.php?p=taxdetails&amp;id=196834","196834")</f>
        <v>196834</v>
      </c>
      <c r="I382" s="22" t="s">
        <v>94</v>
      </c>
      <c r="J382" s="24" t="str">
        <f t="shared" si="2"/>
        <v/>
      </c>
    </row>
    <row r="383">
      <c r="A383" s="22" t="s">
        <v>565</v>
      </c>
      <c r="B383" s="22">
        <v>53.0</v>
      </c>
      <c r="C383" s="23" t="str">
        <f>HYPERLINK("http://ecotaxoserver.obs-vlfr.fr/browsetaxo/?id=18608","18608")</f>
        <v>18608</v>
      </c>
      <c r="D383" s="23" t="str">
        <f>HYPERLINK("http://www.marinespecies.org/aphia.php?p=taxdetails&amp;id=196833","196833")</f>
        <v>196833</v>
      </c>
      <c r="E383" s="22" t="s">
        <v>508</v>
      </c>
      <c r="F383" s="22" t="s">
        <v>568</v>
      </c>
      <c r="G383" s="22" t="s">
        <v>94</v>
      </c>
      <c r="H383" s="23" t="str">
        <f>HYPERLINK("http://www.marinespecies.org/aphia.php?p=taxdetails&amp;id=196833","196833")</f>
        <v>196833</v>
      </c>
      <c r="I383" s="22" t="s">
        <v>94</v>
      </c>
      <c r="J383" s="24" t="str">
        <f t="shared" si="2"/>
        <v>!=</v>
      </c>
    </row>
    <row r="384">
      <c r="A384" s="22" t="s">
        <v>727</v>
      </c>
      <c r="B384" s="22">
        <v>2.0</v>
      </c>
      <c r="C384" s="23" t="str">
        <f>HYPERLINK("http://ecotaxoserver.obs-vlfr.fr/browsetaxo/?id=17696","17696")</f>
        <v>17696</v>
      </c>
      <c r="D384" s="23" t="str">
        <f>HYPERLINK("http://www.marinespecies.org/aphia.php?p=taxdetails&amp;id=144086","144086")</f>
        <v>144086</v>
      </c>
      <c r="E384" s="22" t="s">
        <v>728</v>
      </c>
      <c r="F384" s="22" t="s">
        <v>729</v>
      </c>
      <c r="G384" s="22" t="s">
        <v>94</v>
      </c>
      <c r="H384" s="23" t="str">
        <f>HYPERLINK("http://www.marinespecies.org/aphia.php?p=taxdetails&amp;id=144086","144086")</f>
        <v>144086</v>
      </c>
      <c r="I384" s="22" t="s">
        <v>94</v>
      </c>
      <c r="J384" s="24" t="str">
        <f t="shared" si="2"/>
        <v>!=</v>
      </c>
    </row>
    <row r="385">
      <c r="A385" s="22" t="s">
        <v>728</v>
      </c>
      <c r="B385" s="22">
        <v>19.0</v>
      </c>
      <c r="C385" s="23" t="str">
        <f>HYPERLINK("http://ecotaxoserver.obs-vlfr.fr/browsetaxo/?id=13734","13734")</f>
        <v>13734</v>
      </c>
      <c r="D385" s="23" t="str">
        <f>HYPERLINK("http://www.marinespecies.org/aphia.php?p=taxdetails&amp;id=839","839")</f>
        <v>839</v>
      </c>
      <c r="E385" s="22" t="s">
        <v>730</v>
      </c>
      <c r="F385" s="22" t="s">
        <v>731</v>
      </c>
      <c r="G385" s="22" t="s">
        <v>94</v>
      </c>
      <c r="H385" s="23" t="str">
        <f>HYPERLINK("http://www.marinespecies.org/aphia.php?p=taxdetails&amp;id=839","839")</f>
        <v>839</v>
      </c>
      <c r="I385" s="22" t="s">
        <v>94</v>
      </c>
      <c r="J385" s="24" t="str">
        <f t="shared" si="2"/>
        <v>!=</v>
      </c>
    </row>
    <row r="386">
      <c r="A386" s="22" t="s">
        <v>732</v>
      </c>
      <c r="B386" s="22">
        <v>1.0</v>
      </c>
      <c r="C386" s="23" t="str">
        <f>HYPERLINK("http://ecotaxoserver.obs-vlfr.fr/browsetaxo/?id=30914","30914")</f>
        <v>30914</v>
      </c>
      <c r="D386" s="23" t="str">
        <f>HYPERLINK("http://www.marinespecies.org/aphia.php?p=taxdetails&amp;id=415302","415302")</f>
        <v>415302</v>
      </c>
      <c r="E386" s="22" t="s">
        <v>733</v>
      </c>
      <c r="F386" s="22" t="s">
        <v>733</v>
      </c>
      <c r="G386" s="22" t="s">
        <v>94</v>
      </c>
      <c r="H386" s="23" t="str">
        <f>HYPERLINK("http://www.marinespecies.org/aphia.php?p=taxdetails&amp;id=415302","415302")</f>
        <v>415302</v>
      </c>
      <c r="I386" s="22" t="s">
        <v>94</v>
      </c>
      <c r="J386" s="24" t="str">
        <f t="shared" si="2"/>
        <v/>
      </c>
    </row>
    <row r="387">
      <c r="A387" s="22" t="s">
        <v>734</v>
      </c>
      <c r="B387" s="22">
        <v>3.0</v>
      </c>
      <c r="C387" s="23" t="str">
        <f>HYPERLINK("http://ecotaxoserver.obs-vlfr.fr/browsetaxo/?id=93383","93383")</f>
        <v>93383</v>
      </c>
      <c r="D387" s="23" t="str">
        <f>HYPERLINK("http://www.marinespecies.org/aphia.php?p=taxdetails&amp;id=135418","135418")</f>
        <v>135418</v>
      </c>
      <c r="E387" s="22" t="s">
        <v>495</v>
      </c>
      <c r="F387" s="22" t="s">
        <v>735</v>
      </c>
      <c r="G387" s="22" t="s">
        <v>94</v>
      </c>
      <c r="H387" s="23" t="str">
        <f>HYPERLINK("http://www.marinespecies.org/aphia.php?p=taxdetails&amp;id=135418","135418")</f>
        <v>135418</v>
      </c>
      <c r="I387" s="22" t="s">
        <v>94</v>
      </c>
      <c r="J387" s="24" t="str">
        <f t="shared" si="2"/>
        <v>!=</v>
      </c>
    </row>
    <row r="388">
      <c r="A388" s="22" t="s">
        <v>736</v>
      </c>
      <c r="B388" s="22">
        <v>3942.0</v>
      </c>
      <c r="C388" s="23" t="str">
        <f>HYPERLINK("http://ecotaxoserver.obs-vlfr.fr/browsetaxo/?id=17572","17572")</f>
        <v>17572</v>
      </c>
      <c r="D388" s="23" t="str">
        <f>HYPERLINK("http://www.marinespecies.org/aphia.php?p=taxdetails&amp;id=157240","157240")</f>
        <v>157240</v>
      </c>
      <c r="E388" s="22" t="s">
        <v>737</v>
      </c>
      <c r="F388" s="22" t="s">
        <v>738</v>
      </c>
      <c r="G388" s="22" t="s">
        <v>94</v>
      </c>
      <c r="H388" s="23" t="str">
        <f>HYPERLINK("http://www.marinespecies.org/aphia.php?p=taxdetails&amp;id=157240","157240")</f>
        <v>157240</v>
      </c>
      <c r="I388" s="22" t="s">
        <v>94</v>
      </c>
      <c r="J388" s="24" t="str">
        <f t="shared" si="2"/>
        <v>!=</v>
      </c>
    </row>
    <row r="389">
      <c r="A389" s="22" t="s">
        <v>739</v>
      </c>
      <c r="B389" s="22">
        <v>1.0</v>
      </c>
      <c r="C389" s="23" t="str">
        <f>HYPERLINK("http://ecotaxoserver.obs-vlfr.fr/browsetaxo/?id=92651","92651")</f>
        <v>92651</v>
      </c>
      <c r="D389" s="23" t="str">
        <f>HYPERLINK("http://www.marinespecies.org/aphia.php?p=taxdetails&amp;id=160552","160552")</f>
        <v>160552</v>
      </c>
      <c r="E389" s="22" t="s">
        <v>128</v>
      </c>
      <c r="F389" s="22" t="s">
        <v>736</v>
      </c>
      <c r="G389" s="22" t="s">
        <v>94</v>
      </c>
      <c r="H389" s="23" t="str">
        <f>HYPERLINK("http://www.marinespecies.org/aphia.php?p=taxdetails&amp;id=160552","160552")</f>
        <v>160552</v>
      </c>
      <c r="I389" s="22" t="s">
        <v>94</v>
      </c>
      <c r="J389" s="24" t="str">
        <f t="shared" si="2"/>
        <v>!=</v>
      </c>
    </row>
    <row r="390">
      <c r="A390" s="22" t="s">
        <v>740</v>
      </c>
      <c r="B390" s="22">
        <v>137250.0</v>
      </c>
      <c r="C390" s="23" t="str">
        <f>HYPERLINK("http://ecotaxoserver.obs-vlfr.fr/browsetaxo/?id=11921","11921")</f>
        <v>11921</v>
      </c>
      <c r="D390" s="23" t="str">
        <f>HYPERLINK("http://www.marinespecies.org/aphia.php?p=taxdetails&amp;id=19542","19542")</f>
        <v>19542</v>
      </c>
      <c r="E390" s="22" t="s">
        <v>741</v>
      </c>
      <c r="F390" s="22" t="s">
        <v>742</v>
      </c>
      <c r="G390" s="22" t="s">
        <v>94</v>
      </c>
      <c r="H390" s="23" t="str">
        <f>HYPERLINK("http://www.marinespecies.org/aphia.php?p=taxdetails&amp;id=19542","19542")</f>
        <v>19542</v>
      </c>
      <c r="I390" s="22" t="s">
        <v>94</v>
      </c>
      <c r="J390" s="24" t="str">
        <f t="shared" si="2"/>
        <v>!=</v>
      </c>
    </row>
    <row r="391">
      <c r="A391" s="22" t="s">
        <v>743</v>
      </c>
      <c r="B391" s="22">
        <v>322.0</v>
      </c>
      <c r="C391" s="23" t="str">
        <f>HYPERLINK("http://ecotaxoserver.obs-vlfr.fr/browsetaxo/?id=13949","13949")</f>
        <v>13949</v>
      </c>
      <c r="D391" s="23" t="str">
        <f>HYPERLINK("http://www.marinespecies.org/aphia.php?p=taxdetails&amp;id=109390","109390")</f>
        <v>109390</v>
      </c>
      <c r="E391" s="22" t="s">
        <v>740</v>
      </c>
      <c r="F391" s="22" t="s">
        <v>740</v>
      </c>
      <c r="G391" s="22" t="s">
        <v>94</v>
      </c>
      <c r="H391" s="23" t="str">
        <f>HYPERLINK("http://www.marinespecies.org/aphia.php?p=taxdetails&amp;id=109390","109390")</f>
        <v>109390</v>
      </c>
      <c r="I391" s="22" t="s">
        <v>94</v>
      </c>
      <c r="J391" s="24" t="str">
        <f t="shared" si="2"/>
        <v/>
      </c>
    </row>
    <row r="392">
      <c r="A392" s="22" t="s">
        <v>744</v>
      </c>
      <c r="B392" s="22">
        <v>1071.0</v>
      </c>
      <c r="C392" s="23" t="str">
        <f>HYPERLINK("http://ecotaxoserver.obs-vlfr.fr/browsetaxo/?id=31666","31666")</f>
        <v>31666</v>
      </c>
      <c r="D392" s="23" t="str">
        <f>HYPERLINK("http://www.marinespecies.org/aphia.php?p=taxdetails&amp;id=109462","109462")</f>
        <v>109462</v>
      </c>
      <c r="E392" s="22" t="s">
        <v>745</v>
      </c>
      <c r="F392" s="22" t="s">
        <v>746</v>
      </c>
      <c r="G392" s="22" t="s">
        <v>94</v>
      </c>
      <c r="H392" s="23" t="str">
        <f>HYPERLINK("http://www.marinespecies.org/aphia.php?p=taxdetails&amp;id=109462","109462")</f>
        <v>109462</v>
      </c>
      <c r="I392" s="22" t="s">
        <v>94</v>
      </c>
      <c r="J392" s="24" t="str">
        <f t="shared" si="2"/>
        <v>!=</v>
      </c>
    </row>
    <row r="393">
      <c r="A393" s="22" t="s">
        <v>747</v>
      </c>
      <c r="B393" s="22">
        <v>3.0</v>
      </c>
      <c r="C393" s="23" t="str">
        <f>HYPERLINK("http://ecotaxoserver.obs-vlfr.fr/browsetaxo/?id=78780","78780")</f>
        <v>78780</v>
      </c>
      <c r="D393" s="23" t="str">
        <f>HYPERLINK("http://www.marinespecies.org/aphia.php?p=taxdetails&amp;id=109603","109603")</f>
        <v>109603</v>
      </c>
      <c r="E393" s="22" t="s">
        <v>748</v>
      </c>
      <c r="F393" s="22" t="s">
        <v>744</v>
      </c>
      <c r="G393" s="22" t="s">
        <v>94</v>
      </c>
      <c r="H393" s="23" t="str">
        <f>HYPERLINK("http://www.marinespecies.org/aphia.php?p=taxdetails&amp;id=109603","109603")</f>
        <v>109603</v>
      </c>
      <c r="I393" s="22" t="s">
        <v>94</v>
      </c>
      <c r="J393" s="24" t="str">
        <f t="shared" si="2"/>
        <v>!=</v>
      </c>
    </row>
    <row r="394">
      <c r="A394" s="22" t="s">
        <v>749</v>
      </c>
      <c r="B394" s="22">
        <v>122.0</v>
      </c>
      <c r="C394" s="23" t="str">
        <f>HYPERLINK("http://ecotaxoserver.obs-vlfr.fr/browsetaxo/?id=78776","78776")</f>
        <v>78776</v>
      </c>
      <c r="D394" s="23" t="str">
        <f>HYPERLINK("http://www.marinespecies.org/aphia.php?p=taxdetails&amp;id=109604","109604")</f>
        <v>109604</v>
      </c>
      <c r="E394" s="22" t="s">
        <v>744</v>
      </c>
      <c r="F394" s="22" t="s">
        <v>744</v>
      </c>
      <c r="G394" s="22" t="s">
        <v>94</v>
      </c>
      <c r="H394" s="23" t="str">
        <f>HYPERLINK("http://www.marinespecies.org/aphia.php?p=taxdetails&amp;id=109604","109604")</f>
        <v>109604</v>
      </c>
      <c r="I394" s="22" t="s">
        <v>94</v>
      </c>
      <c r="J394" s="24" t="str">
        <f t="shared" si="2"/>
        <v/>
      </c>
    </row>
    <row r="395">
      <c r="A395" s="22" t="s">
        <v>750</v>
      </c>
      <c r="B395" s="22">
        <v>2.0</v>
      </c>
      <c r="C395" s="23" t="str">
        <f>HYPERLINK("http://ecotaxoserver.obs-vlfr.fr/browsetaxo/?id=91158","91158")</f>
        <v>91158</v>
      </c>
      <c r="D395" s="23" t="str">
        <f>HYPERLINK("http://www.marinespecies.org/aphia.php?p=taxdetails&amp;id=109637","109637")</f>
        <v>109637</v>
      </c>
      <c r="E395" s="22" t="s">
        <v>751</v>
      </c>
      <c r="F395" s="22" t="s">
        <v>744</v>
      </c>
      <c r="G395" s="22" t="s">
        <v>94</v>
      </c>
      <c r="H395" s="23" t="str">
        <f>HYPERLINK("http://www.marinespecies.org/aphia.php?p=taxdetails&amp;id=109637","109637")</f>
        <v>109637</v>
      </c>
      <c r="I395" s="22" t="s">
        <v>94</v>
      </c>
      <c r="J395" s="24" t="str">
        <f t="shared" si="2"/>
        <v>!=</v>
      </c>
    </row>
    <row r="396">
      <c r="A396" s="22" t="s">
        <v>752</v>
      </c>
      <c r="B396" s="22">
        <v>4.0</v>
      </c>
      <c r="C396" s="23" t="str">
        <f>HYPERLINK("http://ecotaxoserver.obs-vlfr.fr/browsetaxo/?id=92440","92440")</f>
        <v>92440</v>
      </c>
      <c r="D396" s="23" t="str">
        <f>HYPERLINK("http://www.marinespecies.org/aphia.php?p=taxdetails&amp;id=646201","646201")</f>
        <v>646201</v>
      </c>
      <c r="E396" s="22" t="s">
        <v>128</v>
      </c>
      <c r="F396" s="22" t="s">
        <v>744</v>
      </c>
      <c r="G396" s="22" t="s">
        <v>94</v>
      </c>
      <c r="H396" s="23" t="str">
        <f>HYPERLINK("http://www.marinespecies.org/aphia.php?p=taxdetails&amp;id=646201","646201")</f>
        <v>646201</v>
      </c>
      <c r="I396" s="22" t="s">
        <v>94</v>
      </c>
      <c r="J396" s="24" t="str">
        <f t="shared" si="2"/>
        <v>!=</v>
      </c>
    </row>
    <row r="397">
      <c r="A397" s="22" t="s">
        <v>753</v>
      </c>
      <c r="B397" s="22">
        <v>2.0</v>
      </c>
      <c r="C397" s="23" t="str">
        <f>HYPERLINK("http://ecotaxoserver.obs-vlfr.fr/browsetaxo/?id=58189","58189")</f>
        <v>58189</v>
      </c>
      <c r="D397" s="23" t="str">
        <f>HYPERLINK("http://www.marinespecies.org/aphia.php?p=taxdetails&amp;id=109652","109652")</f>
        <v>109652</v>
      </c>
      <c r="E397" s="22" t="s">
        <v>744</v>
      </c>
      <c r="F397" s="22" t="s">
        <v>744</v>
      </c>
      <c r="G397" s="22" t="s">
        <v>94</v>
      </c>
      <c r="H397" s="23" t="str">
        <f>HYPERLINK("http://www.marinespecies.org/aphia.php?p=taxdetails&amp;id=109652","109652")</f>
        <v>109652</v>
      </c>
      <c r="I397" s="22" t="s">
        <v>94</v>
      </c>
      <c r="J397" s="24" t="str">
        <f t="shared" si="2"/>
        <v/>
      </c>
    </row>
    <row r="398">
      <c r="A398" s="22" t="s">
        <v>754</v>
      </c>
      <c r="B398" s="22">
        <v>1.0</v>
      </c>
      <c r="C398" s="23" t="str">
        <f>HYPERLINK("http://ecotaxoserver.obs-vlfr.fr/browsetaxo/?id=92443","92443")</f>
        <v>92443</v>
      </c>
      <c r="D398" s="23" t="str">
        <f>HYPERLINK("http://www.marinespecies.org/aphia.php?p=taxdetails&amp;id=232261","232261")</f>
        <v>232261</v>
      </c>
      <c r="E398" s="22" t="s">
        <v>128</v>
      </c>
      <c r="F398" s="22" t="s">
        <v>744</v>
      </c>
      <c r="G398" s="22" t="s">
        <v>94</v>
      </c>
      <c r="H398" s="23" t="str">
        <f>HYPERLINK("http://www.marinespecies.org/aphia.php?p=taxdetails&amp;id=232261","232261")</f>
        <v>232261</v>
      </c>
      <c r="I398" s="22" t="s">
        <v>94</v>
      </c>
      <c r="J398" s="24" t="str">
        <f t="shared" si="2"/>
        <v>!=</v>
      </c>
    </row>
    <row r="399">
      <c r="A399" s="22" t="s">
        <v>755</v>
      </c>
      <c r="B399" s="22">
        <v>5.0</v>
      </c>
      <c r="C399" s="23" t="str">
        <f>HYPERLINK("http://ecotaxoserver.obs-vlfr.fr/browsetaxo/?id=92444","92444")</f>
        <v>92444</v>
      </c>
      <c r="D399" s="23" t="str">
        <f>HYPERLINK("http://www.marinespecies.org/aphia.php?p=taxdetails&amp;id=109657","109657")</f>
        <v>109657</v>
      </c>
      <c r="E399" s="22" t="s">
        <v>128</v>
      </c>
      <c r="F399" s="22" t="s">
        <v>744</v>
      </c>
      <c r="G399" s="22" t="s">
        <v>94</v>
      </c>
      <c r="H399" s="23" t="str">
        <f>HYPERLINK("http://www.marinespecies.org/aphia.php?p=taxdetails&amp;id=109657","109657")</f>
        <v>109657</v>
      </c>
      <c r="I399" s="22" t="s">
        <v>94</v>
      </c>
      <c r="J399" s="24" t="str">
        <f t="shared" si="2"/>
        <v>!=</v>
      </c>
    </row>
    <row r="400">
      <c r="A400" s="22" t="s">
        <v>756</v>
      </c>
      <c r="B400" s="22">
        <v>55.0</v>
      </c>
      <c r="C400" s="23" t="str">
        <f>HYPERLINK("http://ecotaxoserver.obs-vlfr.fr/browsetaxo/?id=58187","58187")</f>
        <v>58187</v>
      </c>
      <c r="D400" s="23" t="str">
        <f>HYPERLINK("http://www.marinespecies.org/aphia.php?p=taxdetails&amp;id=109662","109662")</f>
        <v>109662</v>
      </c>
      <c r="E400" s="22" t="s">
        <v>744</v>
      </c>
      <c r="F400" s="22" t="s">
        <v>744</v>
      </c>
      <c r="G400" s="22" t="s">
        <v>94</v>
      </c>
      <c r="H400" s="23" t="str">
        <f>HYPERLINK("http://www.marinespecies.org/aphia.php?p=taxdetails&amp;id=109662","109662")</f>
        <v>109662</v>
      </c>
      <c r="I400" s="22" t="s">
        <v>94</v>
      </c>
      <c r="J400" s="24" t="str">
        <f t="shared" si="2"/>
        <v/>
      </c>
    </row>
    <row r="401">
      <c r="A401" s="22" t="s">
        <v>495</v>
      </c>
      <c r="B401" s="22">
        <v>3624.0</v>
      </c>
      <c r="C401" s="23" t="str">
        <f>HYPERLINK("http://ecotaxoserver.obs-vlfr.fr/browsetaxo/?id=72396","72396")</f>
        <v>72396</v>
      </c>
      <c r="D401" s="23" t="str">
        <f>HYPERLINK("http://www.marinespecies.org/aphia.php?p=taxdetails&amp;id=135338","135338")</f>
        <v>135338</v>
      </c>
      <c r="E401" s="22" t="s">
        <v>96</v>
      </c>
      <c r="F401" s="22" t="s">
        <v>96</v>
      </c>
      <c r="G401" s="22" t="s">
        <v>94</v>
      </c>
      <c r="H401" s="23" t="str">
        <f>HYPERLINK("http://www.marinespecies.org/aphia.php?p=taxdetails&amp;id=135338","135338")</f>
        <v>135338</v>
      </c>
      <c r="I401" s="22" t="s">
        <v>94</v>
      </c>
      <c r="J401" s="24" t="str">
        <f t="shared" si="2"/>
        <v/>
      </c>
    </row>
    <row r="402">
      <c r="A402" s="22" t="s">
        <v>757</v>
      </c>
      <c r="B402" s="22">
        <v>13.0</v>
      </c>
      <c r="C402" s="23" t="str">
        <f>HYPERLINK("http://ecotaxoserver.obs-vlfr.fr/browsetaxo/?id=28185","28185")</f>
        <v>28185</v>
      </c>
      <c r="D402" s="23" t="str">
        <f>HYPERLINK("http://www.marinespecies.org/aphia.php?p=taxdetails&amp;id=149018","149018")</f>
        <v>149018</v>
      </c>
      <c r="E402" s="22" t="s">
        <v>119</v>
      </c>
      <c r="F402" s="22" t="s">
        <v>758</v>
      </c>
      <c r="G402" s="22" t="s">
        <v>94</v>
      </c>
      <c r="H402" s="23" t="str">
        <f>HYPERLINK("http://www.marinespecies.org/aphia.php?p=taxdetails&amp;id=149018","149018")</f>
        <v>149018</v>
      </c>
      <c r="I402" s="22" t="s">
        <v>94</v>
      </c>
      <c r="J402" s="24" t="str">
        <f t="shared" si="2"/>
        <v>!=</v>
      </c>
    </row>
    <row r="403">
      <c r="A403" s="22" t="s">
        <v>759</v>
      </c>
      <c r="B403" s="22">
        <v>12.0</v>
      </c>
      <c r="C403" s="23" t="str">
        <f>HYPERLINK("http://ecotaxoserver.obs-vlfr.fr/browsetaxo/?id=18773","18773")</f>
        <v>18773</v>
      </c>
      <c r="D403" s="23" t="str">
        <f>HYPERLINK("http://www.marinespecies.org/aphia.php?p=taxdetails&amp;id=109515","109515")</f>
        <v>109515</v>
      </c>
      <c r="E403" s="22" t="s">
        <v>300</v>
      </c>
      <c r="F403" s="22" t="s">
        <v>760</v>
      </c>
      <c r="G403" s="22" t="s">
        <v>94</v>
      </c>
      <c r="H403" s="23" t="str">
        <f>HYPERLINK("http://www.marinespecies.org/aphia.php?p=taxdetails&amp;id=109515","109515")</f>
        <v>109515</v>
      </c>
      <c r="I403" s="22" t="s">
        <v>94</v>
      </c>
      <c r="J403" s="24" t="str">
        <f t="shared" si="2"/>
        <v>!=</v>
      </c>
    </row>
    <row r="404">
      <c r="A404" s="22" t="s">
        <v>761</v>
      </c>
      <c r="B404" s="22">
        <v>1.0</v>
      </c>
      <c r="C404" s="23" t="str">
        <f>HYPERLINK("http://ecotaxoserver.obs-vlfr.fr/browsetaxo/?id=93034","93034")</f>
        <v>93034</v>
      </c>
      <c r="D404" s="23" t="str">
        <f>HYPERLINK("http://www.marinespecies.org/aphia.php?p=taxdetails&amp;id=104168","104168")</f>
        <v>104168</v>
      </c>
      <c r="E404" s="22" t="s">
        <v>762</v>
      </c>
      <c r="F404" s="22" t="s">
        <v>762</v>
      </c>
      <c r="G404" s="22" t="s">
        <v>94</v>
      </c>
      <c r="H404" s="23" t="str">
        <f>HYPERLINK("http://www.marinespecies.org/aphia.php?p=taxdetails&amp;id=104168","104168")</f>
        <v>104168</v>
      </c>
      <c r="I404" s="22" t="s">
        <v>94</v>
      </c>
      <c r="J404" s="24" t="str">
        <f t="shared" si="2"/>
        <v/>
      </c>
    </row>
    <row r="405">
      <c r="A405" s="22" t="s">
        <v>763</v>
      </c>
      <c r="B405" s="22">
        <v>1816.0</v>
      </c>
      <c r="C405" s="23" t="str">
        <f>HYPERLINK("http://ecotaxoserver.obs-vlfr.fr/browsetaxo/?id=28249","28249")</f>
        <v>28249</v>
      </c>
      <c r="D405" s="23" t="str">
        <f>HYPERLINK("http://www.marinespecies.org/aphia.php?p=taxdetails&amp;id=149022","149022")</f>
        <v>149022</v>
      </c>
      <c r="E405" s="22" t="s">
        <v>281</v>
      </c>
      <c r="F405" s="22" t="s">
        <v>764</v>
      </c>
      <c r="G405" s="22" t="s">
        <v>94</v>
      </c>
      <c r="H405" s="23" t="str">
        <f>HYPERLINK("http://www.marinespecies.org/aphia.php?p=taxdetails&amp;id=149022","149022")</f>
        <v>149022</v>
      </c>
      <c r="I405" s="22" t="s">
        <v>94</v>
      </c>
      <c r="J405" s="24" t="str">
        <f t="shared" si="2"/>
        <v>!=</v>
      </c>
    </row>
    <row r="406">
      <c r="A406" s="22" t="s">
        <v>765</v>
      </c>
      <c r="B406" s="22">
        <v>359.0</v>
      </c>
      <c r="C406" s="23" t="str">
        <f>HYPERLINK("http://ecotaxoserver.obs-vlfr.fr/browsetaxo/?id=92243","92243")</f>
        <v>92243</v>
      </c>
      <c r="D406" s="23" t="str">
        <f>HYPERLINK("http://www.marinespecies.org/aphia.php?p=taxdetails&amp;id=578476","578476")</f>
        <v>578476</v>
      </c>
      <c r="E406" s="22" t="s">
        <v>216</v>
      </c>
      <c r="F406" s="22" t="s">
        <v>216</v>
      </c>
      <c r="G406" s="22" t="s">
        <v>94</v>
      </c>
      <c r="H406" s="23" t="str">
        <f>HYPERLINK("http://www.marinespecies.org/aphia.php?p=taxdetails&amp;id=578476","578476")</f>
        <v>578476</v>
      </c>
      <c r="I406" s="22" t="s">
        <v>94</v>
      </c>
      <c r="J406" s="24" t="str">
        <f t="shared" si="2"/>
        <v/>
      </c>
    </row>
    <row r="407">
      <c r="A407" s="22" t="s">
        <v>766</v>
      </c>
      <c r="B407" s="22">
        <v>58070.0</v>
      </c>
      <c r="C407" s="23" t="str">
        <f>HYPERLINK("http://ecotaxoserver.obs-vlfr.fr/browsetaxo/?id=25944","25944")</f>
        <v>25944</v>
      </c>
      <c r="D407" s="23" t="str">
        <f>HYPERLINK("http://www.marinespecies.org/aphia.php?p=taxdetails&amp;id=137212","137212")</f>
        <v>137212</v>
      </c>
      <c r="E407" s="22" t="s">
        <v>767</v>
      </c>
      <c r="F407" s="22" t="s">
        <v>767</v>
      </c>
      <c r="G407" s="22" t="s">
        <v>94</v>
      </c>
      <c r="H407" s="23" t="str">
        <f>HYPERLINK("http://www.marinespecies.org/aphia.php?p=taxdetails&amp;id=137212","137212")</f>
        <v>137212</v>
      </c>
      <c r="I407" s="22" t="s">
        <v>94</v>
      </c>
      <c r="J407" s="24" t="str">
        <f t="shared" si="2"/>
        <v/>
      </c>
    </row>
    <row r="408">
      <c r="A408" s="22" t="s">
        <v>768</v>
      </c>
      <c r="B408" s="22">
        <v>19.0</v>
      </c>
      <c r="C408" s="23" t="str">
        <f>HYPERLINK("http://ecotaxoserver.obs-vlfr.fr/browsetaxo/?id=51229","51229")</f>
        <v>51229</v>
      </c>
      <c r="D408" s="23" t="str">
        <f>HYPERLINK("http://www.marinespecies.org/aphia.php?p=taxdetails&amp;id=137222","137222")</f>
        <v>137222</v>
      </c>
      <c r="E408" s="22" t="s">
        <v>766</v>
      </c>
      <c r="F408" s="22" t="s">
        <v>769</v>
      </c>
      <c r="G408" s="22" t="s">
        <v>94</v>
      </c>
      <c r="H408" s="23" t="str">
        <f>HYPERLINK("http://www.marinespecies.org/aphia.php?p=taxdetails&amp;id=137222","137222")</f>
        <v>137222</v>
      </c>
      <c r="I408" s="22" t="s">
        <v>94</v>
      </c>
      <c r="J408" s="24" t="str">
        <f t="shared" si="2"/>
        <v>!=</v>
      </c>
    </row>
    <row r="409">
      <c r="A409" s="22" t="s">
        <v>770</v>
      </c>
      <c r="B409" s="22">
        <v>1.0</v>
      </c>
      <c r="C409" s="23" t="str">
        <f>HYPERLINK("http://ecotaxoserver.obs-vlfr.fr/browsetaxo/?id=72826","72826")</f>
        <v>72826</v>
      </c>
      <c r="D409" s="23" t="str">
        <f>HYPERLINK("http://www.marinespecies.org/aphia.php?p=taxdetails&amp;id=867502","867502")</f>
        <v>867502</v>
      </c>
      <c r="E409" s="22" t="s">
        <v>771</v>
      </c>
      <c r="F409" s="22" t="s">
        <v>771</v>
      </c>
      <c r="G409" s="22" t="s">
        <v>94</v>
      </c>
      <c r="H409" s="23" t="str">
        <f>HYPERLINK("http://www.marinespecies.org/aphia.php?p=taxdetails&amp;id=867502","867502")</f>
        <v>867502</v>
      </c>
      <c r="I409" s="22" t="s">
        <v>94</v>
      </c>
      <c r="J409" s="24" t="str">
        <f t="shared" si="2"/>
        <v/>
      </c>
    </row>
    <row r="410">
      <c r="A410" s="22" t="s">
        <v>772</v>
      </c>
      <c r="B410" s="22">
        <v>49337.0</v>
      </c>
      <c r="C410" s="23" t="str">
        <f>HYPERLINK("http://ecotaxoserver.obs-vlfr.fr/browsetaxo/?id=15155","15155")</f>
        <v>15155</v>
      </c>
      <c r="D410" s="23" t="str">
        <f>HYPERLINK("http://www.marinespecies.org/aphia.php?p=taxdetails&amp;id=178589","178589")</f>
        <v>178589</v>
      </c>
      <c r="E410" s="22" t="s">
        <v>773</v>
      </c>
      <c r="F410" s="22" t="s">
        <v>774</v>
      </c>
      <c r="G410" s="22" t="s">
        <v>94</v>
      </c>
      <c r="H410" s="23" t="str">
        <f>HYPERLINK("http://www.marinespecies.org/aphia.php?p=taxdetails&amp;id=178589","178589")</f>
        <v>178589</v>
      </c>
      <c r="I410" s="22" t="s">
        <v>94</v>
      </c>
      <c r="J410" s="24" t="str">
        <f t="shared" si="2"/>
        <v>!=</v>
      </c>
    </row>
    <row r="411">
      <c r="A411" s="22" t="s">
        <v>775</v>
      </c>
      <c r="B411" s="22">
        <v>2.0</v>
      </c>
      <c r="C411" s="23" t="str">
        <f>HYPERLINK("http://ecotaxoserver.obs-vlfr.fr/browsetaxo/?id=52441","52441")</f>
        <v>52441</v>
      </c>
      <c r="D411" s="23" t="str">
        <f>HYPERLINK("http://www.marinespecies.org/aphia.php?p=taxdetails&amp;id=204042","204042")</f>
        <v>204042</v>
      </c>
      <c r="E411" s="22" t="s">
        <v>776</v>
      </c>
      <c r="F411" s="22" t="s">
        <v>777</v>
      </c>
      <c r="G411" s="22" t="s">
        <v>94</v>
      </c>
      <c r="H411" s="23" t="str">
        <f>HYPERLINK("http://www.marinespecies.org/aphia.php?p=taxdetails&amp;id=204042","204042")</f>
        <v>204042</v>
      </c>
      <c r="I411" s="22" t="s">
        <v>94</v>
      </c>
      <c r="J411" s="24" t="str">
        <f t="shared" si="2"/>
        <v>!=</v>
      </c>
    </row>
    <row r="412">
      <c r="A412" s="22" t="s">
        <v>778</v>
      </c>
      <c r="B412" s="22">
        <v>2.0</v>
      </c>
      <c r="C412" s="23" t="str">
        <f>HYPERLINK("http://ecotaxoserver.obs-vlfr.fr/browsetaxo/?id=47768","47768")</f>
        <v>47768</v>
      </c>
      <c r="D412" s="23" t="str">
        <f>HYPERLINK("http://www.marinespecies.org/aphia.php?p=taxdetails&amp;id=150718","150718")</f>
        <v>150718</v>
      </c>
      <c r="E412" s="22" t="s">
        <v>499</v>
      </c>
      <c r="F412" s="22" t="s">
        <v>779</v>
      </c>
      <c r="G412" s="22" t="s">
        <v>94</v>
      </c>
      <c r="H412" s="23" t="str">
        <f>HYPERLINK("http://www.marinespecies.org/aphia.php?p=taxdetails&amp;id=150718","150718")</f>
        <v>150718</v>
      </c>
      <c r="I412" s="22" t="s">
        <v>94</v>
      </c>
      <c r="J412" s="24" t="str">
        <f t="shared" si="2"/>
        <v>!=</v>
      </c>
    </row>
    <row r="413">
      <c r="A413" s="22" t="s">
        <v>780</v>
      </c>
      <c r="B413" s="22">
        <v>21.0</v>
      </c>
      <c r="C413" s="23" t="str">
        <f>HYPERLINK("http://ecotaxoserver.obs-vlfr.fr/browsetaxo/?id=54867","54867")</f>
        <v>54867</v>
      </c>
      <c r="D413" s="23" t="str">
        <f>HYPERLINK("http://www.marinespecies.org/aphia.php?p=taxdetails&amp;id=118051","118051")</f>
        <v>118051</v>
      </c>
      <c r="E413" s="22" t="s">
        <v>781</v>
      </c>
      <c r="F413" s="22" t="s">
        <v>781</v>
      </c>
      <c r="G413" s="22" t="s">
        <v>94</v>
      </c>
      <c r="H413" s="23" t="str">
        <f>HYPERLINK("http://www.marinespecies.org/aphia.php?p=taxdetails&amp;id=118051","118051")</f>
        <v>118051</v>
      </c>
      <c r="I413" s="22" t="s">
        <v>94</v>
      </c>
      <c r="J413" s="24" t="str">
        <f t="shared" si="2"/>
        <v/>
      </c>
    </row>
    <row r="414">
      <c r="A414" s="22" t="s">
        <v>782</v>
      </c>
      <c r="B414" s="22">
        <v>1.0</v>
      </c>
      <c r="C414" s="23" t="str">
        <f>HYPERLINK("http://ecotaxoserver.obs-vlfr.fr/browsetaxo/?id=93199","93199")</f>
        <v>93199</v>
      </c>
      <c r="D414" s="23" t="str">
        <f>HYPERLINK("http://www.marinespecies.org/aphia.php?p=taxdetails&amp;id=125962","125962")</f>
        <v>125962</v>
      </c>
      <c r="E414" s="22" t="s">
        <v>783</v>
      </c>
      <c r="F414" s="22" t="s">
        <v>783</v>
      </c>
      <c r="G414" s="22" t="s">
        <v>94</v>
      </c>
      <c r="H414" s="23" t="str">
        <f>HYPERLINK("http://www.marinespecies.org/aphia.php?p=taxdetails&amp;id=125962","125962")</f>
        <v>125962</v>
      </c>
      <c r="I414" s="22" t="s">
        <v>94</v>
      </c>
      <c r="J414" s="24" t="str">
        <f t="shared" si="2"/>
        <v/>
      </c>
    </row>
    <row r="415">
      <c r="A415" s="22" t="s">
        <v>784</v>
      </c>
      <c r="B415" s="22">
        <v>1.0</v>
      </c>
      <c r="C415" s="23" t="str">
        <f>HYPERLINK("http://ecotaxoserver.obs-vlfr.fr/browsetaxo/?id=26280","26280")</f>
        <v>26280</v>
      </c>
      <c r="D415" s="23" t="str">
        <f>HYPERLINK("http://www.marinespecies.org/aphia.php?p=taxdetails&amp;id=101084","101084")</f>
        <v>101084</v>
      </c>
      <c r="E415" s="22" t="s">
        <v>785</v>
      </c>
      <c r="F415" s="22" t="s">
        <v>785</v>
      </c>
      <c r="G415" s="22" t="s">
        <v>94</v>
      </c>
      <c r="H415" s="23" t="str">
        <f>HYPERLINK("http://www.marinespecies.org/aphia.php?p=taxdetails&amp;id=101084","101084")</f>
        <v>101084</v>
      </c>
      <c r="I415" s="22" t="s">
        <v>94</v>
      </c>
      <c r="J415" s="24" t="str">
        <f t="shared" si="2"/>
        <v/>
      </c>
    </row>
    <row r="416">
      <c r="A416" s="22" t="s">
        <v>786</v>
      </c>
      <c r="B416" s="22">
        <v>11526.0</v>
      </c>
      <c r="C416" s="23" t="str">
        <f>HYPERLINK("http://ecotaxoserver.obs-vlfr.fr/browsetaxo/?id=11509","11509")</f>
        <v>11509</v>
      </c>
      <c r="D416" s="23" t="str">
        <f>HYPERLINK("http://www.marinespecies.org/aphia.php?p=taxdetails&amp;id=1806","1806")</f>
        <v>1806</v>
      </c>
      <c r="E416" s="22" t="s">
        <v>223</v>
      </c>
      <c r="F416" s="22" t="s">
        <v>224</v>
      </c>
      <c r="G416" s="22" t="s">
        <v>94</v>
      </c>
      <c r="H416" s="23" t="str">
        <f>HYPERLINK("http://www.marinespecies.org/aphia.php?p=taxdetails&amp;id=1806","1806")</f>
        <v>1806</v>
      </c>
      <c r="I416" s="22" t="s">
        <v>94</v>
      </c>
      <c r="J416" s="24" t="str">
        <f t="shared" si="2"/>
        <v>!=</v>
      </c>
    </row>
    <row r="417">
      <c r="A417" s="22" t="s">
        <v>787</v>
      </c>
      <c r="B417" s="22">
        <v>1171.0</v>
      </c>
      <c r="C417" s="23" t="str">
        <f>HYPERLINK("http://ecotaxoserver.obs-vlfr.fr/browsetaxo/?id=12875","12875")</f>
        <v>12875</v>
      </c>
      <c r="D417" s="23" t="str">
        <f>HYPERLINK("http://www.marinespecies.org/aphia.php?p=taxdetails&amp;id=123082","123082")</f>
        <v>123082</v>
      </c>
      <c r="E417" s="22" t="s">
        <v>786</v>
      </c>
      <c r="F417" s="22" t="s">
        <v>788</v>
      </c>
      <c r="G417" s="22" t="s">
        <v>94</v>
      </c>
      <c r="H417" s="23" t="str">
        <f>HYPERLINK("http://www.marinespecies.org/aphia.php?p=taxdetails&amp;id=123082","123082")</f>
        <v>123082</v>
      </c>
      <c r="I417" s="22" t="s">
        <v>94</v>
      </c>
      <c r="J417" s="24" t="str">
        <f t="shared" si="2"/>
        <v>!=</v>
      </c>
    </row>
    <row r="418">
      <c r="A418" s="22" t="s">
        <v>789</v>
      </c>
      <c r="B418" s="22">
        <v>67.0</v>
      </c>
      <c r="C418" s="23" t="str">
        <f>HYPERLINK("http://ecotaxoserver.obs-vlfr.fr/browsetaxo/?id=92899","92899")</f>
        <v>92899</v>
      </c>
      <c r="D418" s="23" t="str">
        <f>HYPERLINK("http://www.marinespecies.org/aphia.php?p=taxdetails&amp;id=151420","151420")</f>
        <v>151420</v>
      </c>
      <c r="E418" s="22" t="s">
        <v>132</v>
      </c>
      <c r="F418" s="22" t="s">
        <v>790</v>
      </c>
      <c r="G418" s="22" t="s">
        <v>94</v>
      </c>
      <c r="H418" s="23" t="str">
        <f>HYPERLINK("http://www.marinespecies.org/aphia.php?p=taxdetails&amp;id=151420","151420")</f>
        <v>151420</v>
      </c>
      <c r="I418" s="22" t="s">
        <v>94</v>
      </c>
      <c r="J418" s="24" t="str">
        <f t="shared" si="2"/>
        <v>!=</v>
      </c>
    </row>
    <row r="419">
      <c r="A419" s="22" t="s">
        <v>221</v>
      </c>
      <c r="B419" s="22">
        <v>1.0</v>
      </c>
      <c r="C419" s="23" t="str">
        <f>HYPERLINK("http://ecotaxoserver.obs-vlfr.fr/browsetaxo/?id=92791","92791")</f>
        <v>92791</v>
      </c>
      <c r="D419" s="23" t="str">
        <f>HYPERLINK("http://www.marinespecies.org/aphia.php?p=taxdetails&amp;id=991849","991849")</f>
        <v>991849</v>
      </c>
      <c r="E419" s="22" t="s">
        <v>791</v>
      </c>
      <c r="F419" s="22" t="s">
        <v>791</v>
      </c>
      <c r="G419" s="22" t="s">
        <v>94</v>
      </c>
      <c r="H419" s="23" t="str">
        <f>HYPERLINK("http://www.marinespecies.org/aphia.php?p=taxdetails&amp;id=991849","991849")</f>
        <v>991849</v>
      </c>
      <c r="I419" s="22" t="s">
        <v>94</v>
      </c>
      <c r="J419" s="24" t="str">
        <f t="shared" si="2"/>
        <v/>
      </c>
    </row>
    <row r="420">
      <c r="A420" s="22" t="s">
        <v>792</v>
      </c>
      <c r="B420" s="22">
        <v>2.0</v>
      </c>
      <c r="C420" s="23" t="str">
        <f>HYPERLINK("http://ecotaxoserver.obs-vlfr.fr/browsetaxo/?id=91567","91567")</f>
        <v>91567</v>
      </c>
      <c r="D420" s="23" t="str">
        <f>HYPERLINK("http://www.marinespecies.org/aphia.php?p=taxdetails&amp;id=115104","115104")</f>
        <v>115104</v>
      </c>
      <c r="E420" s="22" t="s">
        <v>751</v>
      </c>
      <c r="F420" s="22" t="s">
        <v>793</v>
      </c>
      <c r="G420" s="22" t="s">
        <v>94</v>
      </c>
      <c r="H420" s="23" t="str">
        <f>HYPERLINK("http://www.marinespecies.org/aphia.php?p=taxdetails&amp;id=115104","115104")</f>
        <v>115104</v>
      </c>
      <c r="I420" s="22" t="s">
        <v>94</v>
      </c>
      <c r="J420" s="24" t="str">
        <f t="shared" si="2"/>
        <v>!=</v>
      </c>
    </row>
    <row r="421">
      <c r="A421" s="22" t="s">
        <v>794</v>
      </c>
      <c r="B421" s="22">
        <v>2.0</v>
      </c>
      <c r="C421" s="23" t="str">
        <f>HYPERLINK("http://ecotaxoserver.obs-vlfr.fr/browsetaxo/?id=58483","58483")</f>
        <v>58483</v>
      </c>
      <c r="D421" s="23" t="str">
        <f>HYPERLINK("http://www.marinespecies.org/aphia.php?p=taxdetails&amp;id=231803","231803")</f>
        <v>231803</v>
      </c>
      <c r="E421" s="22" t="s">
        <v>795</v>
      </c>
      <c r="F421" s="22" t="s">
        <v>796</v>
      </c>
      <c r="G421" s="22" t="s">
        <v>94</v>
      </c>
      <c r="H421" s="23" t="str">
        <f>HYPERLINK("http://www.marinespecies.org/aphia.php?p=taxdetails&amp;id=231803","231803")</f>
        <v>231803</v>
      </c>
      <c r="I421" s="22" t="s">
        <v>94</v>
      </c>
      <c r="J421" s="24" t="str">
        <f t="shared" si="2"/>
        <v>!=</v>
      </c>
    </row>
    <row r="422">
      <c r="A422" s="22" t="s">
        <v>797</v>
      </c>
      <c r="B422" s="22">
        <v>2369.0</v>
      </c>
      <c r="C422" s="23" t="str">
        <f>HYPERLINK("http://ecotaxoserver.obs-vlfr.fr/browsetaxo/?id=28182","28182")</f>
        <v>28182</v>
      </c>
      <c r="D422" s="23" t="str">
        <f>HYPERLINK("http://www.marinespecies.org/aphia.php?p=taxdetails&amp;id=156598","156598")</f>
        <v>156598</v>
      </c>
      <c r="E422" s="22" t="s">
        <v>119</v>
      </c>
      <c r="F422" s="22" t="s">
        <v>798</v>
      </c>
      <c r="G422" s="22" t="s">
        <v>94</v>
      </c>
      <c r="H422" s="23" t="str">
        <f>HYPERLINK("http://www.marinespecies.org/aphia.php?p=taxdetails&amp;id=156598","156598")</f>
        <v>156598</v>
      </c>
      <c r="I422" s="22" t="s">
        <v>94</v>
      </c>
      <c r="J422" s="24" t="str">
        <f t="shared" si="2"/>
        <v>!=</v>
      </c>
    </row>
    <row r="423">
      <c r="A423" s="22" t="s">
        <v>799</v>
      </c>
      <c r="B423" s="22">
        <v>32.0</v>
      </c>
      <c r="C423" s="23" t="str">
        <f>HYPERLINK("http://ecotaxoserver.obs-vlfr.fr/browsetaxo/?id=93075","93075")</f>
        <v>93075</v>
      </c>
      <c r="D423" s="23" t="str">
        <f>HYPERLINK("http://www.marinespecies.org/aphia.php?p=taxdetails&amp;id=427471","427471")</f>
        <v>427471</v>
      </c>
      <c r="E423" s="22" t="s">
        <v>800</v>
      </c>
      <c r="F423" s="22" t="s">
        <v>800</v>
      </c>
      <c r="G423" s="22" t="s">
        <v>94</v>
      </c>
      <c r="H423" s="23" t="str">
        <f>HYPERLINK("http://www.marinespecies.org/aphia.php?p=taxdetails&amp;id=427471","427471")</f>
        <v>427471</v>
      </c>
      <c r="I423" s="22" t="s">
        <v>94</v>
      </c>
      <c r="J423" s="24" t="str">
        <f t="shared" si="2"/>
        <v/>
      </c>
    </row>
    <row r="424">
      <c r="A424" s="22" t="s">
        <v>634</v>
      </c>
      <c r="B424" s="22">
        <v>2.0</v>
      </c>
      <c r="C424" s="23" t="str">
        <f>HYPERLINK("http://ecotaxoserver.obs-vlfr.fr/browsetaxo/?id=92096","92096")</f>
        <v>92096</v>
      </c>
      <c r="D424" s="23" t="str">
        <f>HYPERLINK("http://www.marinespecies.org/aphia.php?p=taxdetails&amp;id=13795","13795")</f>
        <v>13795</v>
      </c>
      <c r="E424" s="22" t="s">
        <v>675</v>
      </c>
      <c r="F424" s="22" t="s">
        <v>675</v>
      </c>
      <c r="G424" s="22" t="s">
        <v>94</v>
      </c>
      <c r="H424" s="23" t="str">
        <f>HYPERLINK("http://www.marinespecies.org/aphia.php?p=taxdetails&amp;id=13795","13795")</f>
        <v>13795</v>
      </c>
      <c r="I424" s="22" t="s">
        <v>94</v>
      </c>
      <c r="J424" s="24" t="str">
        <f t="shared" si="2"/>
        <v/>
      </c>
    </row>
    <row r="425">
      <c r="A425" s="22" t="s">
        <v>801</v>
      </c>
      <c r="B425" s="22">
        <v>596.0</v>
      </c>
      <c r="C425" s="23" t="str">
        <f>HYPERLINK("http://ecotaxoserver.obs-vlfr.fr/browsetaxo/?id=31189","31189")</f>
        <v>31189</v>
      </c>
      <c r="D425" s="23" t="str">
        <f>HYPERLINK("http://www.marinespecies.org/aphia.php?p=taxdetails&amp;id=183562","183562")</f>
        <v>183562</v>
      </c>
      <c r="E425" s="22" t="s">
        <v>686</v>
      </c>
      <c r="F425" s="22" t="s">
        <v>802</v>
      </c>
      <c r="G425" s="22" t="s">
        <v>94</v>
      </c>
      <c r="H425" s="23" t="str">
        <f>HYPERLINK("http://www.marinespecies.org/aphia.php?p=taxdetails&amp;id=183562","183562")</f>
        <v>183562</v>
      </c>
      <c r="I425" s="22" t="s">
        <v>94</v>
      </c>
      <c r="J425" s="24" t="str">
        <f t="shared" si="2"/>
        <v>!=</v>
      </c>
    </row>
    <row r="426">
      <c r="A426" s="22" t="s">
        <v>803</v>
      </c>
      <c r="B426" s="22">
        <v>46.0</v>
      </c>
      <c r="C426" s="23" t="str">
        <f>HYPERLINK("http://ecotaxoserver.obs-vlfr.fr/browsetaxo/?id=57388","57388")</f>
        <v>57388</v>
      </c>
      <c r="D426" s="23" t="str">
        <f>HYPERLINK("http://www.marinespecies.org/aphia.php?p=taxdetails&amp;id=235762","235762")</f>
        <v>235762</v>
      </c>
      <c r="E426" s="22" t="s">
        <v>801</v>
      </c>
      <c r="F426" s="22" t="s">
        <v>801</v>
      </c>
      <c r="G426" s="22" t="s">
        <v>94</v>
      </c>
      <c r="H426" s="23" t="str">
        <f>HYPERLINK("http://www.marinespecies.org/aphia.php?p=taxdetails&amp;id=235762","235762")</f>
        <v>235762</v>
      </c>
      <c r="I426" s="22" t="s">
        <v>94</v>
      </c>
      <c r="J426" s="24" t="str">
        <f t="shared" si="2"/>
        <v/>
      </c>
    </row>
    <row r="427">
      <c r="A427" s="22" t="s">
        <v>804</v>
      </c>
      <c r="B427" s="22">
        <v>1.0</v>
      </c>
      <c r="C427" s="23" t="str">
        <f>HYPERLINK("http://ecotaxoserver.obs-vlfr.fr/browsetaxo/?id=78423","78423")</f>
        <v>78423</v>
      </c>
      <c r="D427" s="23" t="str">
        <f>HYPERLINK("http://www.marinespecies.org/aphia.php?p=taxdetails&amp;id=128571","128571")</f>
        <v>128571</v>
      </c>
      <c r="E427" s="22" t="s">
        <v>599</v>
      </c>
      <c r="F427" s="22" t="s">
        <v>600</v>
      </c>
      <c r="G427" s="22" t="s">
        <v>94</v>
      </c>
      <c r="H427" s="23" t="str">
        <f>HYPERLINK("http://www.marinespecies.org/aphia.php?p=taxdetails&amp;id=128571","128571")</f>
        <v>128571</v>
      </c>
      <c r="I427" s="22" t="s">
        <v>94</v>
      </c>
      <c r="J427" s="24" t="str">
        <f t="shared" si="2"/>
        <v>!=</v>
      </c>
    </row>
    <row r="428">
      <c r="A428" s="22" t="s">
        <v>239</v>
      </c>
      <c r="B428" s="22">
        <v>1.0</v>
      </c>
      <c r="C428" s="23" t="str">
        <f>HYPERLINK("http://ecotaxoserver.obs-vlfr.fr/browsetaxo/?id=16613","16613")</f>
        <v>16613</v>
      </c>
      <c r="D428" s="23" t="str">
        <f>HYPERLINK("http://www.marinespecies.org/aphia.php?p=taxdetails&amp;id=754174","754174")</f>
        <v>754174</v>
      </c>
      <c r="E428" s="22" t="s">
        <v>805</v>
      </c>
      <c r="F428" s="22" t="s">
        <v>805</v>
      </c>
      <c r="G428" s="22" t="s">
        <v>94</v>
      </c>
      <c r="H428" s="23" t="str">
        <f>HYPERLINK("http://www.marinespecies.org/aphia.php?p=taxdetails&amp;id=754174","754174")</f>
        <v>754174</v>
      </c>
      <c r="I428" s="22" t="s">
        <v>94</v>
      </c>
      <c r="J428" s="24" t="str">
        <f t="shared" si="2"/>
        <v/>
      </c>
    </row>
    <row r="429">
      <c r="A429" s="22" t="s">
        <v>806</v>
      </c>
      <c r="B429" s="22">
        <v>12.0</v>
      </c>
      <c r="C429" s="23" t="str">
        <f>HYPERLINK("http://ecotaxoserver.obs-vlfr.fr/browsetaxo/?id=52436","52436")</f>
        <v>52436</v>
      </c>
      <c r="D429" s="23" t="str">
        <f>HYPERLINK("http://www.marinespecies.org/aphia.php?p=taxdetails&amp;id=204149","204149")</f>
        <v>204149</v>
      </c>
      <c r="E429" s="22" t="s">
        <v>776</v>
      </c>
      <c r="F429" s="22" t="s">
        <v>807</v>
      </c>
      <c r="G429" s="22" t="s">
        <v>94</v>
      </c>
      <c r="H429" s="23" t="str">
        <f>HYPERLINK("http://www.marinespecies.org/aphia.php?p=taxdetails&amp;id=204149","204149")</f>
        <v>204149</v>
      </c>
      <c r="I429" s="22" t="s">
        <v>94</v>
      </c>
      <c r="J429" s="24" t="str">
        <f t="shared" si="2"/>
        <v>!=</v>
      </c>
    </row>
    <row r="430">
      <c r="A430" s="22" t="s">
        <v>808</v>
      </c>
      <c r="B430" s="22">
        <v>2.0</v>
      </c>
      <c r="C430" s="23" t="str">
        <f>HYPERLINK("http://ecotaxoserver.obs-vlfr.fr/browsetaxo/?id=93170","93170")</f>
        <v>93170</v>
      </c>
      <c r="D430" s="23" t="str">
        <f>HYPERLINK("http://www.marinespecies.org/aphia.php?p=taxdetails&amp;id=158799","158799")</f>
        <v>158799</v>
      </c>
      <c r="E430" s="22" t="s">
        <v>809</v>
      </c>
      <c r="F430" s="22" t="s">
        <v>809</v>
      </c>
      <c r="G430" s="22" t="s">
        <v>94</v>
      </c>
      <c r="H430" s="23" t="str">
        <f>HYPERLINK("http://www.marinespecies.org/aphia.php?p=taxdetails&amp;id=158799","158799")</f>
        <v>158799</v>
      </c>
      <c r="I430" s="22" t="s">
        <v>94</v>
      </c>
      <c r="J430" s="24" t="str">
        <f t="shared" si="2"/>
        <v/>
      </c>
    </row>
    <row r="431">
      <c r="A431" s="22" t="s">
        <v>810</v>
      </c>
      <c r="B431" s="22">
        <v>48728.0</v>
      </c>
      <c r="C431" s="23" t="str">
        <f>HYPERLINK("http://ecotaxoserver.obs-vlfr.fr/browsetaxo/?id=61987","61987")</f>
        <v>61987</v>
      </c>
      <c r="D431" s="23" t="str">
        <f>HYPERLINK("http://www.marinespecies.org/aphia.php?p=taxdetails&amp;id=104085","104085")</f>
        <v>104085</v>
      </c>
      <c r="E431" s="22" t="s">
        <v>111</v>
      </c>
      <c r="F431" s="22" t="s">
        <v>111</v>
      </c>
      <c r="G431" s="22" t="s">
        <v>94</v>
      </c>
      <c r="H431" s="23" t="str">
        <f>HYPERLINK("http://www.marinespecies.org/aphia.php?p=taxdetails&amp;id=104085","104085")</f>
        <v>104085</v>
      </c>
      <c r="I431" s="22" t="s">
        <v>94</v>
      </c>
      <c r="J431" s="24" t="str">
        <f t="shared" si="2"/>
        <v/>
      </c>
    </row>
    <row r="432">
      <c r="A432" s="22" t="s">
        <v>811</v>
      </c>
      <c r="B432" s="22">
        <v>9128.0</v>
      </c>
      <c r="C432" s="23" t="str">
        <f>HYPERLINK("http://ecotaxoserver.obs-vlfr.fr/browsetaxo/?id=80147","80147")</f>
        <v>80147</v>
      </c>
      <c r="D432" s="23" t="str">
        <f>HYPERLINK("http://www.marinespecies.org/aphia.php?p=taxdetails&amp;id=104171","104171")</f>
        <v>104171</v>
      </c>
      <c r="E432" s="22" t="s">
        <v>810</v>
      </c>
      <c r="F432" s="22" t="s">
        <v>810</v>
      </c>
      <c r="G432" s="22" t="s">
        <v>94</v>
      </c>
      <c r="H432" s="23" t="str">
        <f>HYPERLINK("http://www.marinespecies.org/aphia.php?p=taxdetails&amp;id=104171","104171")</f>
        <v>104171</v>
      </c>
      <c r="I432" s="22" t="s">
        <v>94</v>
      </c>
      <c r="J432" s="24" t="str">
        <f t="shared" si="2"/>
        <v/>
      </c>
    </row>
    <row r="433">
      <c r="A433" s="22" t="s">
        <v>812</v>
      </c>
      <c r="B433" s="22">
        <v>2814.0</v>
      </c>
      <c r="C433" s="23" t="str">
        <f>HYPERLINK("http://ecotaxoserver.obs-vlfr.fr/browsetaxo/?id=28248","28248")</f>
        <v>28248</v>
      </c>
      <c r="D433" s="23" t="str">
        <f>HYPERLINK("http://www.marinespecies.org/aphia.php?p=taxdetails&amp;id=149130","149130")</f>
        <v>149130</v>
      </c>
      <c r="E433" s="22" t="s">
        <v>281</v>
      </c>
      <c r="F433" s="22" t="s">
        <v>451</v>
      </c>
      <c r="G433" s="22" t="s">
        <v>94</v>
      </c>
      <c r="H433" s="23" t="str">
        <f>HYPERLINK("http://www.marinespecies.org/aphia.php?p=taxdetails&amp;id=149130","149130")</f>
        <v>149130</v>
      </c>
      <c r="I433" s="22" t="s">
        <v>94</v>
      </c>
      <c r="J433" s="24" t="str">
        <f t="shared" si="2"/>
        <v>!=</v>
      </c>
    </row>
    <row r="434">
      <c r="A434" s="22" t="s">
        <v>813</v>
      </c>
      <c r="B434" s="22">
        <v>3159.0</v>
      </c>
      <c r="C434" s="23" t="str">
        <f>HYPERLINK("http://ecotaxoserver.obs-vlfr.fr/browsetaxo/?id=80148","80148")</f>
        <v>80148</v>
      </c>
      <c r="D434" s="23" t="str">
        <f>HYPERLINK("http://www.marinespecies.org/aphia.php?p=taxdetails&amp;id=104174","104174")</f>
        <v>104174</v>
      </c>
      <c r="E434" s="22" t="s">
        <v>814</v>
      </c>
      <c r="F434" s="22" t="s">
        <v>814</v>
      </c>
      <c r="G434" s="22" t="s">
        <v>94</v>
      </c>
      <c r="H434" s="23" t="str">
        <f>HYPERLINK("http://www.marinespecies.org/aphia.php?p=taxdetails&amp;id=104174","104174")</f>
        <v>104174</v>
      </c>
      <c r="I434" s="22" t="s">
        <v>94</v>
      </c>
      <c r="J434" s="24" t="str">
        <f t="shared" si="2"/>
        <v/>
      </c>
    </row>
    <row r="435">
      <c r="A435" s="22" t="s">
        <v>814</v>
      </c>
      <c r="B435" s="22">
        <v>28767.0</v>
      </c>
      <c r="C435" s="23" t="str">
        <f>HYPERLINK("http://ecotaxoserver.obs-vlfr.fr/browsetaxo/?id=61986","61986")</f>
        <v>61986</v>
      </c>
      <c r="D435" s="23" t="str">
        <f>HYPERLINK("http://www.marinespecies.org/aphia.php?p=taxdetails&amp;id=104086","104086")</f>
        <v>104086</v>
      </c>
      <c r="E435" s="22" t="s">
        <v>111</v>
      </c>
      <c r="F435" s="22" t="s">
        <v>111</v>
      </c>
      <c r="G435" s="22" t="s">
        <v>94</v>
      </c>
      <c r="H435" s="23" t="str">
        <f>HYPERLINK("http://www.marinespecies.org/aphia.php?p=taxdetails&amp;id=104086","104086")</f>
        <v>104086</v>
      </c>
      <c r="I435" s="22" t="s">
        <v>94</v>
      </c>
      <c r="J435" s="24" t="str">
        <f t="shared" si="2"/>
        <v/>
      </c>
    </row>
    <row r="436">
      <c r="A436" s="22" t="s">
        <v>815</v>
      </c>
      <c r="B436" s="22">
        <v>553.0</v>
      </c>
      <c r="C436" s="23" t="str">
        <f>HYPERLINK("http://ecotaxoserver.obs-vlfr.fr/browsetaxo/?id=80117","80117")</f>
        <v>80117</v>
      </c>
      <c r="D436" s="23" t="str">
        <f>HYPERLINK("http://www.marinespecies.org/aphia.php?p=taxdetails&amp;id=104120","104120")</f>
        <v>104120</v>
      </c>
      <c r="E436" s="22" t="s">
        <v>144</v>
      </c>
      <c r="F436" s="22" t="s">
        <v>144</v>
      </c>
      <c r="G436" s="22" t="s">
        <v>94</v>
      </c>
      <c r="H436" s="23" t="str">
        <f>HYPERLINK("http://www.marinespecies.org/aphia.php?p=taxdetails&amp;id=104120","104120")</f>
        <v>104120</v>
      </c>
      <c r="I436" s="22" t="s">
        <v>94</v>
      </c>
      <c r="J436" s="24" t="str">
        <f t="shared" si="2"/>
        <v/>
      </c>
    </row>
    <row r="437">
      <c r="A437" s="22" t="s">
        <v>816</v>
      </c>
      <c r="B437" s="22">
        <v>128.0</v>
      </c>
      <c r="C437" s="23" t="str">
        <f>HYPERLINK("http://ecotaxoserver.obs-vlfr.fr/browsetaxo/?id=90388","90388")</f>
        <v>90388</v>
      </c>
      <c r="D437" s="23" t="str">
        <f>HYPERLINK("http://www.marinespecies.org/aphia.php?p=taxdetails&amp;id=135424","135424")</f>
        <v>135424</v>
      </c>
      <c r="E437" s="22" t="s">
        <v>817</v>
      </c>
      <c r="F437" s="22" t="s">
        <v>817</v>
      </c>
      <c r="G437" s="22" t="s">
        <v>94</v>
      </c>
      <c r="H437" s="23" t="str">
        <f>HYPERLINK("http://www.marinespecies.org/aphia.php?p=taxdetails&amp;id=135424","135424")</f>
        <v>135424</v>
      </c>
      <c r="I437" s="22" t="s">
        <v>94</v>
      </c>
      <c r="J437" s="24" t="str">
        <f t="shared" si="2"/>
        <v/>
      </c>
    </row>
    <row r="438">
      <c r="A438" s="22" t="s">
        <v>818</v>
      </c>
      <c r="B438" s="22">
        <v>23.0</v>
      </c>
      <c r="C438" s="23" t="str">
        <f>HYPERLINK("http://ecotaxoserver.obs-vlfr.fr/browsetaxo/?id=15962","15962")</f>
        <v>15962</v>
      </c>
      <c r="D438" s="23" t="str">
        <f>HYPERLINK("http://www.marinespecies.org/aphia.php?p=taxdetails&amp;id=8012","8012")</f>
        <v>8012</v>
      </c>
      <c r="E438" s="22" t="s">
        <v>819</v>
      </c>
      <c r="F438" s="22" t="s">
        <v>820</v>
      </c>
      <c r="G438" s="22" t="s">
        <v>94</v>
      </c>
      <c r="H438" s="23" t="str">
        <f>HYPERLINK("http://www.marinespecies.org/aphia.php?p=taxdetails&amp;id=8012","8012")</f>
        <v>8012</v>
      </c>
      <c r="I438" s="22" t="s">
        <v>94</v>
      </c>
      <c r="J438" s="24" t="str">
        <f t="shared" si="2"/>
        <v>!=</v>
      </c>
    </row>
    <row r="439">
      <c r="A439" s="22" t="s">
        <v>821</v>
      </c>
      <c r="B439" s="22">
        <v>66326.0</v>
      </c>
      <c r="C439" s="23" t="str">
        <f>HYPERLINK("http://ecotaxoserver.obs-vlfr.fr/browsetaxo/?id=11374","11374")</f>
        <v>11374</v>
      </c>
      <c r="D439" s="23" t="str">
        <f>HYPERLINK("http://www.marinespecies.org/aphia.php?p=taxdetails&amp;id=582209","582209")</f>
        <v>582209</v>
      </c>
      <c r="E439" s="22" t="s">
        <v>822</v>
      </c>
      <c r="F439" s="22" t="s">
        <v>823</v>
      </c>
      <c r="G439" s="22" t="s">
        <v>94</v>
      </c>
      <c r="H439" s="23" t="str">
        <f>HYPERLINK("http://www.marinespecies.org/aphia.php?p=taxdetails&amp;id=582209","582209")</f>
        <v>582209</v>
      </c>
      <c r="I439" s="22" t="s">
        <v>94</v>
      </c>
      <c r="J439" s="24" t="str">
        <f t="shared" si="2"/>
        <v>!=</v>
      </c>
    </row>
    <row r="440">
      <c r="A440" s="22" t="s">
        <v>824</v>
      </c>
      <c r="B440" s="22">
        <v>1855.0</v>
      </c>
      <c r="C440" s="23" t="str">
        <f>HYPERLINK("http://ecotaxoserver.obs-vlfr.fr/browsetaxo/?id=51166","51166")</f>
        <v>51166</v>
      </c>
      <c r="D440" s="23" t="str">
        <f>HYPERLINK("http://www.marinespecies.org/aphia.php?p=taxdetails&amp;id=105416","105416")</f>
        <v>105416</v>
      </c>
      <c r="E440" s="22" t="s">
        <v>825</v>
      </c>
      <c r="F440" s="22" t="s">
        <v>825</v>
      </c>
      <c r="G440" s="22" t="s">
        <v>94</v>
      </c>
      <c r="H440" s="23" t="str">
        <f>HYPERLINK("http://www.marinespecies.org/aphia.php?p=taxdetails&amp;id=105416","105416")</f>
        <v>105416</v>
      </c>
      <c r="I440" s="22" t="s">
        <v>94</v>
      </c>
      <c r="J440" s="24" t="str">
        <f t="shared" si="2"/>
        <v/>
      </c>
    </row>
    <row r="441">
      <c r="A441" s="22" t="s">
        <v>198</v>
      </c>
      <c r="B441" s="22">
        <v>94011.0</v>
      </c>
      <c r="C441" s="23" t="str">
        <f>HYPERLINK("http://ecotaxoserver.obs-vlfr.fr/browsetaxo/?id=25824","25824")</f>
        <v>25824</v>
      </c>
      <c r="D441" s="23" t="str">
        <f>HYPERLINK("http://www.marinespecies.org/aphia.php?p=taxdetails&amp;id=1086","1086")</f>
        <v>1086</v>
      </c>
      <c r="E441" s="22" t="s">
        <v>826</v>
      </c>
      <c r="F441" s="22" t="s">
        <v>826</v>
      </c>
      <c r="G441" s="22" t="s">
        <v>94</v>
      </c>
      <c r="H441" s="23" t="str">
        <f>HYPERLINK("http://www.marinespecies.org/aphia.php?p=taxdetails&amp;id=1086","1086")</f>
        <v>1086</v>
      </c>
      <c r="I441" s="22" t="s">
        <v>94</v>
      </c>
      <c r="J441" s="24" t="str">
        <f t="shared" si="2"/>
        <v/>
      </c>
    </row>
    <row r="442">
      <c r="A442" s="22" t="s">
        <v>827</v>
      </c>
      <c r="B442" s="22">
        <v>5839.0</v>
      </c>
      <c r="C442" s="23" t="str">
        <f>HYPERLINK("http://ecotaxoserver.obs-vlfr.fr/browsetaxo/?id=78383","78383")</f>
        <v>78383</v>
      </c>
      <c r="D442" s="23" t="str">
        <f>HYPERLINK("http://www.marinespecies.org/aphia.php?p=taxdetails&amp;id=110673","110673")</f>
        <v>110673</v>
      </c>
      <c r="E442" s="22" t="s">
        <v>828</v>
      </c>
      <c r="F442" s="22" t="s">
        <v>829</v>
      </c>
      <c r="G442" s="22" t="s">
        <v>94</v>
      </c>
      <c r="H442" s="23" t="str">
        <f>HYPERLINK("http://www.marinespecies.org/aphia.php?p=taxdetails&amp;id=110673","110673")</f>
        <v>110673</v>
      </c>
      <c r="I442" s="22" t="s">
        <v>94</v>
      </c>
      <c r="J442" s="24" t="str">
        <f t="shared" si="2"/>
        <v>!=</v>
      </c>
    </row>
    <row r="443">
      <c r="A443" s="22" t="s">
        <v>830</v>
      </c>
      <c r="B443" s="22">
        <v>199.0</v>
      </c>
      <c r="C443" s="23" t="str">
        <f>HYPERLINK("http://ecotaxoserver.obs-vlfr.fr/browsetaxo/?id=79786","79786")</f>
        <v>79786</v>
      </c>
      <c r="D443" s="23" t="str">
        <f>HYPERLINK("http://www.marinespecies.org/aphia.php?p=taxdetails&amp;id=237851","237851")</f>
        <v>237851</v>
      </c>
      <c r="E443" s="22" t="s">
        <v>827</v>
      </c>
      <c r="F443" s="22" t="s">
        <v>827</v>
      </c>
      <c r="G443" s="22" t="s">
        <v>94</v>
      </c>
      <c r="H443" s="23" t="str">
        <f>HYPERLINK("http://www.marinespecies.org/aphia.php?p=taxdetails&amp;id=237851","237851")</f>
        <v>237851</v>
      </c>
      <c r="I443" s="22" t="s">
        <v>94</v>
      </c>
      <c r="J443" s="24" t="str">
        <f t="shared" si="2"/>
        <v/>
      </c>
    </row>
    <row r="444">
      <c r="A444" s="22" t="s">
        <v>828</v>
      </c>
      <c r="B444" s="22">
        <v>60675.0</v>
      </c>
      <c r="C444" s="23" t="str">
        <f>HYPERLINK("http://ecotaxoserver.obs-vlfr.fr/browsetaxo/?id=45041","45041")</f>
        <v>45041</v>
      </c>
      <c r="D444" s="23" t="str">
        <f>HYPERLINK("http://www.marinespecies.org/aphia.php?p=taxdetails&amp;id=1128","1128")</f>
        <v>1128</v>
      </c>
      <c r="E444" s="22" t="s">
        <v>198</v>
      </c>
      <c r="F444" s="22" t="s">
        <v>702</v>
      </c>
      <c r="G444" s="22" t="s">
        <v>94</v>
      </c>
      <c r="H444" s="23" t="str">
        <f>HYPERLINK("http://www.marinespecies.org/aphia.php?p=taxdetails&amp;id=1128","1128")</f>
        <v>1128</v>
      </c>
      <c r="I444" s="22" t="s">
        <v>94</v>
      </c>
      <c r="J444" s="24" t="str">
        <f t="shared" si="2"/>
        <v>!=</v>
      </c>
    </row>
    <row r="445">
      <c r="A445" s="22" t="s">
        <v>831</v>
      </c>
      <c r="B445" s="22">
        <v>3.0</v>
      </c>
      <c r="C445" s="23" t="str">
        <f>HYPERLINK("http://ecotaxoserver.obs-vlfr.fr/browsetaxo/?id=72273","72273")</f>
        <v>72273</v>
      </c>
      <c r="D445" s="23" t="str">
        <f>HYPERLINK("http://www.marinespecies.org/aphia.php?p=taxdetails&amp;id=117095","117095")</f>
        <v>117095</v>
      </c>
      <c r="E445" s="22" t="s">
        <v>604</v>
      </c>
      <c r="F445" s="22" t="s">
        <v>604</v>
      </c>
      <c r="G445" s="22" t="s">
        <v>94</v>
      </c>
      <c r="H445" s="23" t="str">
        <f>HYPERLINK("http://www.marinespecies.org/aphia.php?p=taxdetails&amp;id=117095","117095")</f>
        <v>117095</v>
      </c>
      <c r="I445" s="22" t="s">
        <v>94</v>
      </c>
      <c r="J445" s="24" t="str">
        <f t="shared" si="2"/>
        <v/>
      </c>
    </row>
    <row r="446">
      <c r="A446" s="22" t="s">
        <v>832</v>
      </c>
      <c r="B446" s="22">
        <v>1.0</v>
      </c>
      <c r="C446" s="23" t="str">
        <f>HYPERLINK("http://ecotaxoserver.obs-vlfr.fr/browsetaxo/?id=93350","93350")</f>
        <v>93350</v>
      </c>
      <c r="D446" s="23" t="str">
        <f>HYPERLINK("http://www.marinespecies.org/aphia.php?p=taxdetails&amp;id=342315","342315")</f>
        <v>342315</v>
      </c>
      <c r="E446" s="22" t="s">
        <v>833</v>
      </c>
      <c r="F446" s="22" t="s">
        <v>833</v>
      </c>
      <c r="G446" s="22" t="s">
        <v>94</v>
      </c>
      <c r="H446" s="23" t="str">
        <f>HYPERLINK("http://www.marinespecies.org/aphia.php?p=taxdetails&amp;id=342315","342315")</f>
        <v>342315</v>
      </c>
      <c r="I446" s="22" t="s">
        <v>94</v>
      </c>
      <c r="J446" s="24" t="str">
        <f t="shared" si="2"/>
        <v/>
      </c>
    </row>
    <row r="447">
      <c r="A447" s="22" t="s">
        <v>834</v>
      </c>
      <c r="B447" s="22">
        <v>584.0</v>
      </c>
      <c r="C447" s="23" t="str">
        <f>HYPERLINK("http://ecotaxoserver.obs-vlfr.fr/browsetaxo/?id=78250","78250")</f>
        <v>78250</v>
      </c>
      <c r="D447" s="23" t="str">
        <f>HYPERLINK("http://www.marinespecies.org/aphia.php?p=taxdetails&amp;id=118401","118401")</f>
        <v>118401</v>
      </c>
      <c r="E447" s="22" t="s">
        <v>675</v>
      </c>
      <c r="F447" s="22" t="s">
        <v>835</v>
      </c>
      <c r="G447" s="22" t="s">
        <v>94</v>
      </c>
      <c r="H447" s="23" t="str">
        <f>HYPERLINK("http://www.marinespecies.org/aphia.php?p=taxdetails&amp;id=118401","118401")</f>
        <v>118401</v>
      </c>
      <c r="I447" s="22" t="s">
        <v>94</v>
      </c>
      <c r="J447" s="24" t="str">
        <f t="shared" si="2"/>
        <v>!=</v>
      </c>
    </row>
    <row r="448">
      <c r="A448" s="22" t="s">
        <v>836</v>
      </c>
      <c r="B448" s="22">
        <v>2.0</v>
      </c>
      <c r="C448" s="23" t="str">
        <f>HYPERLINK("http://ecotaxoserver.obs-vlfr.fr/browsetaxo/?id=93333","93333")</f>
        <v>93333</v>
      </c>
      <c r="D448" s="23" t="str">
        <f>HYPERLINK("http://www.marinespecies.org/aphia.php?p=taxdetails&amp;id=218161","218161")</f>
        <v>218161</v>
      </c>
      <c r="E448" s="22" t="s">
        <v>837</v>
      </c>
      <c r="F448" s="22" t="s">
        <v>837</v>
      </c>
      <c r="G448" s="22" t="s">
        <v>94</v>
      </c>
      <c r="H448" s="23" t="str">
        <f>HYPERLINK("http://www.marinespecies.org/aphia.php?p=taxdetails&amp;id=218161","218161")</f>
        <v>218161</v>
      </c>
      <c r="I448" s="22" t="s">
        <v>94</v>
      </c>
      <c r="J448" s="24" t="str">
        <f t="shared" si="2"/>
        <v/>
      </c>
    </row>
    <row r="449">
      <c r="A449" s="22" t="s">
        <v>838</v>
      </c>
      <c r="B449" s="22">
        <v>396.0</v>
      </c>
      <c r="C449" s="23" t="str">
        <f>HYPERLINK("http://ecotaxoserver.obs-vlfr.fr/browsetaxo/?id=80180","80180")</f>
        <v>80180</v>
      </c>
      <c r="D449" s="23" t="str">
        <f>HYPERLINK("http://www.marinespecies.org/aphia.php?p=taxdetails&amp;id=104240","104240")</f>
        <v>104240</v>
      </c>
      <c r="E449" s="22" t="s">
        <v>839</v>
      </c>
      <c r="F449" s="22" t="s">
        <v>839</v>
      </c>
      <c r="G449" s="22" t="s">
        <v>94</v>
      </c>
      <c r="H449" s="23" t="str">
        <f>HYPERLINK("http://www.marinespecies.org/aphia.php?p=taxdetails&amp;id=104240","104240")</f>
        <v>104240</v>
      </c>
      <c r="I449" s="22" t="s">
        <v>94</v>
      </c>
      <c r="J449" s="24" t="str">
        <f t="shared" si="2"/>
        <v/>
      </c>
    </row>
    <row r="450">
      <c r="A450" s="22" t="s">
        <v>840</v>
      </c>
      <c r="B450" s="22">
        <v>1.0</v>
      </c>
      <c r="C450" s="23" t="str">
        <f>HYPERLINK("http://ecotaxoserver.obs-vlfr.fr/browsetaxo/?id=93289","93289")</f>
        <v>93289</v>
      </c>
      <c r="D450" s="23" t="str">
        <f>HYPERLINK("http://www.marinespecies.org/aphia.php?p=taxdetails&amp;id=126208","126208")</f>
        <v>126208</v>
      </c>
      <c r="E450" s="22" t="s">
        <v>332</v>
      </c>
      <c r="F450" s="22" t="s">
        <v>332</v>
      </c>
      <c r="G450" s="22" t="s">
        <v>94</v>
      </c>
      <c r="H450" s="23" t="str">
        <f>HYPERLINK("http://www.marinespecies.org/aphia.php?p=taxdetails&amp;id=126208","126208")</f>
        <v>126208</v>
      </c>
      <c r="I450" s="22" t="s">
        <v>94</v>
      </c>
      <c r="J450" s="24" t="str">
        <f t="shared" si="2"/>
        <v/>
      </c>
    </row>
    <row r="451">
      <c r="A451" s="22" t="s">
        <v>841</v>
      </c>
      <c r="B451" s="22">
        <v>12475.0</v>
      </c>
      <c r="C451" s="23" t="str">
        <f>HYPERLINK("http://ecotaxoserver.obs-vlfr.fr/browsetaxo/?id=62036","62036")</f>
        <v>62036</v>
      </c>
      <c r="D451" s="23" t="str">
        <f>HYPERLINK("http://www.marinespecies.org/aphia.php?p=taxdetails&amp;id=115348","115348")</f>
        <v>115348</v>
      </c>
      <c r="E451" s="22" t="s">
        <v>842</v>
      </c>
      <c r="F451" s="22" t="s">
        <v>843</v>
      </c>
      <c r="G451" s="22" t="s">
        <v>94</v>
      </c>
      <c r="H451" s="23" t="str">
        <f>HYPERLINK("http://www.marinespecies.org/aphia.php?p=taxdetails&amp;id=115348","115348")</f>
        <v>115348</v>
      </c>
      <c r="I451" s="22" t="s">
        <v>94</v>
      </c>
      <c r="J451" s="24" t="str">
        <f t="shared" si="2"/>
        <v>!=</v>
      </c>
    </row>
    <row r="452">
      <c r="A452" s="22" t="s">
        <v>844</v>
      </c>
      <c r="B452" s="22">
        <v>953.0</v>
      </c>
      <c r="C452" s="23" t="str">
        <f>HYPERLINK("http://ecotaxoserver.obs-vlfr.fr/browsetaxo/?id=80224","80224")</f>
        <v>80224</v>
      </c>
      <c r="D452" s="23" t="str">
        <f>HYPERLINK("http://www.marinespecies.org/aphia.php?p=taxdetails&amp;id=116162","116162")</f>
        <v>116162</v>
      </c>
      <c r="E452" s="22" t="s">
        <v>841</v>
      </c>
      <c r="F452" s="22" t="s">
        <v>841</v>
      </c>
      <c r="G452" s="22" t="s">
        <v>94</v>
      </c>
      <c r="H452" s="23" t="str">
        <f>HYPERLINK("http://www.marinespecies.org/aphia.php?p=taxdetails&amp;id=116162","116162")</f>
        <v>116162</v>
      </c>
      <c r="I452" s="22" t="s">
        <v>94</v>
      </c>
      <c r="J452" s="24" t="str">
        <f t="shared" si="2"/>
        <v/>
      </c>
    </row>
    <row r="453">
      <c r="A453" s="22" t="s">
        <v>845</v>
      </c>
      <c r="B453" s="22">
        <v>5.0</v>
      </c>
      <c r="C453" s="23" t="str">
        <f>HYPERLINK("http://ecotaxoserver.obs-vlfr.fr/browsetaxo/?id=91869","91869")</f>
        <v>91869</v>
      </c>
      <c r="D453" s="23" t="str">
        <f>HYPERLINK("http://www.marinespecies.org/aphia.php?p=taxdetails&amp;id=23020","23020")</f>
        <v>23020</v>
      </c>
      <c r="E453" s="22" t="s">
        <v>432</v>
      </c>
      <c r="F453" s="22" t="s">
        <v>846</v>
      </c>
      <c r="G453" s="22" t="s">
        <v>94</v>
      </c>
      <c r="H453" s="23" t="str">
        <f>HYPERLINK("http://www.marinespecies.org/aphia.php?p=taxdetails&amp;id=23020","23020")</f>
        <v>23020</v>
      </c>
      <c r="I453" s="22" t="s">
        <v>94</v>
      </c>
      <c r="J453" s="24" t="str">
        <f t="shared" si="2"/>
        <v>!=</v>
      </c>
    </row>
    <row r="454">
      <c r="A454" s="22" t="s">
        <v>847</v>
      </c>
      <c r="B454" s="22">
        <v>2957.0</v>
      </c>
      <c r="C454" s="23" t="str">
        <f>HYPERLINK("http://ecotaxoserver.obs-vlfr.fr/browsetaxo/?id=31221","31221")</f>
        <v>31221</v>
      </c>
      <c r="D454" s="23" t="str">
        <f>HYPERLINK("http://www.marinespecies.org/aphia.php?p=taxdetails&amp;id=183543","183543")</f>
        <v>183543</v>
      </c>
      <c r="E454" s="22" t="s">
        <v>209</v>
      </c>
      <c r="F454" s="22" t="s">
        <v>210</v>
      </c>
      <c r="G454" s="22" t="s">
        <v>94</v>
      </c>
      <c r="H454" s="23" t="str">
        <f>HYPERLINK("http://www.marinespecies.org/aphia.php?p=taxdetails&amp;id=183543","183543")</f>
        <v>183543</v>
      </c>
      <c r="I454" s="22" t="s">
        <v>94</v>
      </c>
      <c r="J454" s="24" t="str">
        <f t="shared" si="2"/>
        <v>!=</v>
      </c>
    </row>
    <row r="455">
      <c r="A455" s="22" t="s">
        <v>848</v>
      </c>
      <c r="B455" s="22">
        <v>21.0</v>
      </c>
      <c r="C455" s="23" t="str">
        <f>HYPERLINK("http://ecotaxoserver.obs-vlfr.fr/browsetaxo/?id=57463","57463")</f>
        <v>57463</v>
      </c>
      <c r="D455" s="23" t="str">
        <f>HYPERLINK("http://www.marinespecies.org/aphia.php?p=taxdetails&amp;id=235770","235770")</f>
        <v>235770</v>
      </c>
      <c r="E455" s="22" t="s">
        <v>847</v>
      </c>
      <c r="F455" s="22" t="s">
        <v>847</v>
      </c>
      <c r="G455" s="22" t="s">
        <v>94</v>
      </c>
      <c r="H455" s="23" t="str">
        <f>HYPERLINK("http://www.marinespecies.org/aphia.php?p=taxdetails&amp;id=235770","235770")</f>
        <v>235770</v>
      </c>
      <c r="I455" s="22" t="s">
        <v>94</v>
      </c>
      <c r="J455" s="24" t="str">
        <f t="shared" si="2"/>
        <v/>
      </c>
    </row>
    <row r="456">
      <c r="A456" s="22" t="s">
        <v>849</v>
      </c>
      <c r="B456" s="22">
        <v>10.0</v>
      </c>
      <c r="C456" s="23" t="str">
        <f>HYPERLINK("http://ecotaxoserver.obs-vlfr.fr/browsetaxo/?id=15969","15969")</f>
        <v>15969</v>
      </c>
      <c r="D456" s="23" t="str">
        <f>HYPERLINK("http://www.marinespecies.org/aphia.php?p=taxdetails&amp;id=17657","17657")</f>
        <v>17657</v>
      </c>
      <c r="E456" s="22" t="s">
        <v>850</v>
      </c>
      <c r="F456" s="22" t="s">
        <v>851</v>
      </c>
      <c r="G456" s="22" t="s">
        <v>94</v>
      </c>
      <c r="H456" s="23" t="str">
        <f>HYPERLINK("http://www.marinespecies.org/aphia.php?p=taxdetails&amp;id=17657","17657")</f>
        <v>17657</v>
      </c>
      <c r="I456" s="22" t="s">
        <v>94</v>
      </c>
      <c r="J456" s="24" t="str">
        <f t="shared" si="2"/>
        <v>!=</v>
      </c>
    </row>
    <row r="457">
      <c r="A457" s="22" t="s">
        <v>852</v>
      </c>
      <c r="B457" s="22">
        <v>125555.0</v>
      </c>
      <c r="C457" s="23" t="str">
        <f>HYPERLINK("http://ecotaxoserver.obs-vlfr.fr/browsetaxo/?id=81941","81941")</f>
        <v>81941</v>
      </c>
      <c r="D457" s="23" t="str">
        <f>HYPERLINK("http://www.marinespecies.org/aphia.php?p=taxdetails&amp;id=106267","106267")</f>
        <v>106267</v>
      </c>
      <c r="E457" s="22" t="s">
        <v>853</v>
      </c>
      <c r="F457" s="22" t="s">
        <v>853</v>
      </c>
      <c r="G457" s="22" t="s">
        <v>94</v>
      </c>
      <c r="H457" s="23" t="str">
        <f>HYPERLINK("http://www.marinespecies.org/aphia.php?p=taxdetails&amp;id=106267","106267")</f>
        <v>106267</v>
      </c>
      <c r="I457" s="22" t="s">
        <v>94</v>
      </c>
      <c r="J457" s="24" t="str">
        <f t="shared" si="2"/>
        <v/>
      </c>
    </row>
    <row r="458">
      <c r="A458" s="22" t="s">
        <v>854</v>
      </c>
      <c r="B458" s="22">
        <v>2752.0</v>
      </c>
      <c r="C458" s="23" t="str">
        <f>HYPERLINK("http://ecotaxoserver.obs-vlfr.fr/browsetaxo/?id=83831","83831")</f>
        <v>83831</v>
      </c>
      <c r="D458" s="23" t="str">
        <f>HYPERLINK("http://www.marinespecies.org/aphia.php?p=taxdetails&amp;id=234084","234084")</f>
        <v>234084</v>
      </c>
      <c r="E458" s="22" t="s">
        <v>852</v>
      </c>
      <c r="F458" s="22" t="s">
        <v>852</v>
      </c>
      <c r="G458" s="22" t="s">
        <v>94</v>
      </c>
      <c r="H458" s="23" t="str">
        <f>HYPERLINK("http://www.marinespecies.org/aphia.php?p=taxdetails&amp;id=234084","234084")</f>
        <v>234084</v>
      </c>
      <c r="I458" s="22" t="s">
        <v>94</v>
      </c>
      <c r="J458" s="24" t="str">
        <f t="shared" si="2"/>
        <v/>
      </c>
    </row>
    <row r="459">
      <c r="A459" s="22" t="s">
        <v>855</v>
      </c>
      <c r="B459" s="22">
        <v>3635.0</v>
      </c>
      <c r="C459" s="23" t="str">
        <f>HYPERLINK("http://ecotaxoserver.obs-vlfr.fr/browsetaxo/?id=83830","83830")</f>
        <v>83830</v>
      </c>
      <c r="D459" s="23" t="str">
        <f>HYPERLINK("http://www.marinespecies.org/aphia.php?p=taxdetails&amp;id=106273","106273")</f>
        <v>106273</v>
      </c>
      <c r="E459" s="22" t="s">
        <v>852</v>
      </c>
      <c r="F459" s="22" t="s">
        <v>852</v>
      </c>
      <c r="G459" s="22" t="s">
        <v>94</v>
      </c>
      <c r="H459" s="23" t="str">
        <f>HYPERLINK("http://www.marinespecies.org/aphia.php?p=taxdetails&amp;id=106273","106273")</f>
        <v>106273</v>
      </c>
      <c r="I459" s="22" t="s">
        <v>94</v>
      </c>
      <c r="J459" s="24" t="str">
        <f t="shared" si="2"/>
        <v/>
      </c>
    </row>
    <row r="460">
      <c r="A460" s="22" t="s">
        <v>856</v>
      </c>
      <c r="B460" s="22">
        <v>10841.0</v>
      </c>
      <c r="C460" s="23" t="str">
        <f>HYPERLINK("http://ecotaxoserver.obs-vlfr.fr/browsetaxo/?id=83829","83829")</f>
        <v>83829</v>
      </c>
      <c r="D460" s="23" t="str">
        <f>HYPERLINK("http://www.marinespecies.org/aphia.php?p=taxdetails&amp;id=412882","412882")</f>
        <v>412882</v>
      </c>
      <c r="E460" s="22" t="s">
        <v>852</v>
      </c>
      <c r="F460" s="22" t="s">
        <v>852</v>
      </c>
      <c r="G460" s="22" t="s">
        <v>94</v>
      </c>
      <c r="H460" s="23" t="str">
        <f>HYPERLINK("http://www.marinespecies.org/aphia.php?p=taxdetails&amp;id=412882","412882")</f>
        <v>412882</v>
      </c>
      <c r="I460" s="22" t="s">
        <v>94</v>
      </c>
      <c r="J460" s="24" t="str">
        <f t="shared" si="2"/>
        <v/>
      </c>
    </row>
    <row r="461">
      <c r="A461" s="22" t="s">
        <v>857</v>
      </c>
      <c r="B461" s="22">
        <v>4.0</v>
      </c>
      <c r="C461" s="23" t="str">
        <f>HYPERLINK("http://ecotaxoserver.obs-vlfr.fr/browsetaxo/?id=83828","83828")</f>
        <v>83828</v>
      </c>
      <c r="D461" s="23" t="str">
        <f>HYPERLINK("http://www.marinespecies.org/aphia.php?p=taxdetails&amp;id=106274","106274")</f>
        <v>106274</v>
      </c>
      <c r="E461" s="22" t="s">
        <v>852</v>
      </c>
      <c r="F461" s="22" t="s">
        <v>852</v>
      </c>
      <c r="G461" s="22" t="s">
        <v>94</v>
      </c>
      <c r="H461" s="23" t="str">
        <f>HYPERLINK("http://www.marinespecies.org/aphia.php?p=taxdetails&amp;id=106274","106274")</f>
        <v>106274</v>
      </c>
      <c r="I461" s="22" t="s">
        <v>94</v>
      </c>
      <c r="J461" s="24" t="str">
        <f t="shared" si="2"/>
        <v/>
      </c>
    </row>
    <row r="462">
      <c r="A462" s="28" t="s">
        <v>858</v>
      </c>
      <c r="C462" s="23" t="str">
        <f>HYPERLINK("http://ecotaxoserver.obs-vlfr.fr/browsetaxo/?id=9","9")</f>
        <v>9</v>
      </c>
      <c r="D462" s="23" t="str">
        <f>HYPERLINK("http://www.marinespecies.org/aphia.php?p=taxdetails&amp;id=536210","536210")</f>
        <v>536210</v>
      </c>
      <c r="H462" s="23" t="str">
        <f>HYPERLINK("http://www.marinespecies.org/aphia.php?p=taxdetails&amp;id=536210","536210")</f>
        <v>536210</v>
      </c>
      <c r="J462" s="24"/>
    </row>
    <row r="463">
      <c r="A463" s="22" t="s">
        <v>859</v>
      </c>
      <c r="B463" s="22">
        <v>5.0</v>
      </c>
      <c r="C463" s="23" t="str">
        <f>HYPERLINK("http://ecotaxoserver.obs-vlfr.fr/browsetaxo/?id=92900","92900")</f>
        <v>92900</v>
      </c>
      <c r="D463" s="23" t="str">
        <f>HYPERLINK("http://www.marinespecies.org/aphia.php?p=taxdetails&amp;id=125452","125452")</f>
        <v>125452</v>
      </c>
      <c r="E463" s="22" t="s">
        <v>132</v>
      </c>
      <c r="F463" s="22" t="s">
        <v>860</v>
      </c>
      <c r="G463" s="22" t="s">
        <v>94</v>
      </c>
      <c r="H463" s="23" t="str">
        <f>HYPERLINK("http://www.marinespecies.org/aphia.php?p=taxdetails&amp;id=125452","125452")</f>
        <v>125452</v>
      </c>
      <c r="I463" s="22" t="s">
        <v>94</v>
      </c>
      <c r="J463" s="24" t="str">
        <f t="shared" ref="J463:J549" si="3">IF(E463&lt;&gt;F463,"!=","")</f>
        <v>!=</v>
      </c>
    </row>
    <row r="464">
      <c r="A464" s="22" t="s">
        <v>861</v>
      </c>
      <c r="B464" s="22">
        <v>500.0</v>
      </c>
      <c r="C464" s="23" t="str">
        <f>HYPERLINK("http://ecotaxoserver.obs-vlfr.fr/browsetaxo/?id=92319","92319")</f>
        <v>92319</v>
      </c>
      <c r="D464" s="23" t="str">
        <f>HYPERLINK("http://www.marinespecies.org/aphia.php?p=taxdetails&amp;id=128636","128636")</f>
        <v>128636</v>
      </c>
      <c r="E464" s="22" t="s">
        <v>598</v>
      </c>
      <c r="F464" s="22" t="s">
        <v>598</v>
      </c>
      <c r="G464" s="22" t="s">
        <v>94</v>
      </c>
      <c r="H464" s="23" t="str">
        <f>HYPERLINK("http://www.marinespecies.org/aphia.php?p=taxdetails&amp;id=128636","128636")</f>
        <v>128636</v>
      </c>
      <c r="I464" s="22" t="s">
        <v>94</v>
      </c>
      <c r="J464" s="24" t="str">
        <f t="shared" si="3"/>
        <v/>
      </c>
    </row>
    <row r="465">
      <c r="A465" s="22" t="s">
        <v>862</v>
      </c>
      <c r="B465" s="22">
        <v>697.0</v>
      </c>
      <c r="C465" s="23" t="str">
        <f>HYPERLINK("http://ecotaxoserver.obs-vlfr.fr/browsetaxo/?id=92118","92118")</f>
        <v>92118</v>
      </c>
      <c r="D465" s="23" t="str">
        <f>HYPERLINK("http://www.marinespecies.org/aphia.php?p=taxdetails&amp;id=105405","105405")</f>
        <v>105405</v>
      </c>
      <c r="E465" s="22" t="s">
        <v>863</v>
      </c>
      <c r="F465" s="22" t="s">
        <v>863</v>
      </c>
      <c r="G465" s="22" t="s">
        <v>94</v>
      </c>
      <c r="H465" s="23" t="str">
        <f>HYPERLINK("http://www.marinespecies.org/aphia.php?p=taxdetails&amp;id=105405","105405")</f>
        <v>105405</v>
      </c>
      <c r="I465" s="22" t="s">
        <v>94</v>
      </c>
      <c r="J465" s="24" t="str">
        <f t="shared" si="3"/>
        <v/>
      </c>
    </row>
    <row r="466">
      <c r="A466" s="22" t="s">
        <v>864</v>
      </c>
      <c r="B466" s="22">
        <v>2.0</v>
      </c>
      <c r="C466" s="23" t="str">
        <f>HYPERLINK("http://ecotaxoserver.obs-vlfr.fr/browsetaxo/?id=93229","93229")</f>
        <v>93229</v>
      </c>
      <c r="D466" s="23" t="str">
        <f>HYPERLINK("http://www.marinespecies.org/aphia.php?p=taxdetails&amp;id=139943","139943")</f>
        <v>139943</v>
      </c>
      <c r="E466" s="22" t="s">
        <v>865</v>
      </c>
      <c r="F466" s="22" t="s">
        <v>865</v>
      </c>
      <c r="G466" s="22" t="s">
        <v>94</v>
      </c>
      <c r="H466" s="23" t="str">
        <f>HYPERLINK("http://www.marinespecies.org/aphia.php?p=taxdetails&amp;id=139943","139943")</f>
        <v>139943</v>
      </c>
      <c r="I466" s="22" t="s">
        <v>94</v>
      </c>
      <c r="J466" s="24" t="str">
        <f t="shared" si="3"/>
        <v/>
      </c>
    </row>
    <row r="467">
      <c r="A467" s="22" t="s">
        <v>866</v>
      </c>
      <c r="B467" s="22">
        <v>1236.0</v>
      </c>
      <c r="C467" s="23" t="str">
        <f>HYPERLINK("http://ecotaxoserver.obs-vlfr.fr/browsetaxo/?id=51161","51161")</f>
        <v>51161</v>
      </c>
      <c r="D467" s="23" t="str">
        <f>HYPERLINK("http://www.marinespecies.org/aphia.php?p=taxdetails&amp;id=105406","105406")</f>
        <v>105406</v>
      </c>
      <c r="E467" s="22" t="s">
        <v>863</v>
      </c>
      <c r="F467" s="22" t="s">
        <v>863</v>
      </c>
      <c r="G467" s="22" t="s">
        <v>94</v>
      </c>
      <c r="H467" s="23" t="str">
        <f>HYPERLINK("http://www.marinespecies.org/aphia.php?p=taxdetails&amp;id=105406","105406")</f>
        <v>105406</v>
      </c>
      <c r="I467" s="22" t="s">
        <v>94</v>
      </c>
      <c r="J467" s="24" t="str">
        <f t="shared" si="3"/>
        <v/>
      </c>
    </row>
    <row r="468">
      <c r="A468" s="22" t="s">
        <v>867</v>
      </c>
      <c r="B468" s="22">
        <v>4097.0</v>
      </c>
      <c r="C468" s="23" t="str">
        <f>HYPERLINK("http://ecotaxoserver.obs-vlfr.fr/browsetaxo/?id=71617","71617")</f>
        <v>71617</v>
      </c>
      <c r="D468" s="23" t="str">
        <f>HYPERLINK("http://www.marinespecies.org/aphia.php?p=taxdetails&amp;id=105434","105434")</f>
        <v>105434</v>
      </c>
      <c r="E468" s="22" t="s">
        <v>866</v>
      </c>
      <c r="F468" s="22" t="s">
        <v>866</v>
      </c>
      <c r="G468" s="22" t="s">
        <v>94</v>
      </c>
      <c r="H468" s="23" t="str">
        <f>HYPERLINK("http://www.marinespecies.org/aphia.php?p=taxdetails&amp;id=105434","105434")</f>
        <v>105434</v>
      </c>
      <c r="I468" s="22" t="s">
        <v>94</v>
      </c>
      <c r="J468" s="24" t="str">
        <f t="shared" si="3"/>
        <v/>
      </c>
    </row>
    <row r="469">
      <c r="A469" s="22" t="s">
        <v>868</v>
      </c>
      <c r="B469" s="22">
        <v>50946.0</v>
      </c>
      <c r="C469" s="23" t="str">
        <f>HYPERLINK("http://ecotaxoserver.obs-vlfr.fr/browsetaxo/?id=11758","11758")</f>
        <v>11758</v>
      </c>
      <c r="D469" s="23" t="str">
        <f>HYPERLINK("http://www.marinespecies.org/aphia.php?p=taxdetails&amp;id=1410","1410")</f>
        <v>1410</v>
      </c>
      <c r="E469" s="22" t="s">
        <v>869</v>
      </c>
      <c r="F469" s="22" t="s">
        <v>100</v>
      </c>
      <c r="G469" s="22" t="s">
        <v>94</v>
      </c>
      <c r="H469" s="23" t="str">
        <f>HYPERLINK("http://www.marinespecies.org/aphia.php?p=taxdetails&amp;id=1410","1410")</f>
        <v>1410</v>
      </c>
      <c r="I469" s="22" t="s">
        <v>94</v>
      </c>
      <c r="J469" s="24" t="str">
        <f t="shared" si="3"/>
        <v>!=</v>
      </c>
    </row>
    <row r="470">
      <c r="A470" s="22" t="s">
        <v>870</v>
      </c>
      <c r="B470" s="22">
        <v>15.0</v>
      </c>
      <c r="C470" s="23" t="str">
        <f>HYPERLINK("http://ecotaxoserver.obs-vlfr.fr/browsetaxo/?id=83319","83319")</f>
        <v>83319</v>
      </c>
      <c r="D470" s="23" t="str">
        <f>HYPERLINK("http://www.marinespecies.org/aphia.php?p=taxdetails&amp;id=135502","135502")</f>
        <v>135502</v>
      </c>
      <c r="E470" s="22" t="s">
        <v>871</v>
      </c>
      <c r="F470" s="22" t="s">
        <v>871</v>
      </c>
      <c r="G470" s="22" t="s">
        <v>94</v>
      </c>
      <c r="H470" s="23" t="str">
        <f>HYPERLINK("http://www.marinespecies.org/aphia.php?p=taxdetails&amp;id=135502","135502")</f>
        <v>135502</v>
      </c>
      <c r="I470" s="22" t="s">
        <v>94</v>
      </c>
      <c r="J470" s="24" t="str">
        <f t="shared" si="3"/>
        <v/>
      </c>
    </row>
    <row r="471">
      <c r="A471" s="22" t="s">
        <v>872</v>
      </c>
      <c r="B471" s="22">
        <v>157.0</v>
      </c>
      <c r="C471" s="23" t="str">
        <f>HYPERLINK("http://ecotaxoserver.obs-vlfr.fr/browsetaxo/?id=92335","92335")</f>
        <v>92335</v>
      </c>
      <c r="D471" s="23" t="str">
        <f>HYPERLINK("http://www.marinespecies.org/aphia.php?p=taxdetails&amp;id=578570","578570")</f>
        <v>578570</v>
      </c>
      <c r="E471" s="22" t="s">
        <v>128</v>
      </c>
      <c r="F471" s="22" t="s">
        <v>873</v>
      </c>
      <c r="G471" s="22" t="s">
        <v>94</v>
      </c>
      <c r="H471" s="23" t="str">
        <f>HYPERLINK("http://www.marinespecies.org/aphia.php?p=taxdetails&amp;id=578570","578570")</f>
        <v>578570</v>
      </c>
      <c r="I471" s="22" t="s">
        <v>94</v>
      </c>
      <c r="J471" s="24" t="str">
        <f t="shared" si="3"/>
        <v>!=</v>
      </c>
    </row>
    <row r="472">
      <c r="A472" s="22" t="s">
        <v>874</v>
      </c>
      <c r="B472" s="22">
        <v>208.0</v>
      </c>
      <c r="C472" s="23" t="str">
        <f>HYPERLINK("http://ecotaxoserver.obs-vlfr.fr/browsetaxo/?id=28176","28176")</f>
        <v>28176</v>
      </c>
      <c r="D472" s="23" t="str">
        <f>HYPERLINK("http://www.marinespecies.org/aphia.php?p=taxdetails&amp;id=149028","149028")</f>
        <v>149028</v>
      </c>
      <c r="E472" s="22" t="s">
        <v>119</v>
      </c>
      <c r="F472" s="22" t="s">
        <v>258</v>
      </c>
      <c r="G472" s="22" t="s">
        <v>94</v>
      </c>
      <c r="H472" s="23" t="str">
        <f>HYPERLINK("http://www.marinespecies.org/aphia.php?p=taxdetails&amp;id=149028","149028")</f>
        <v>149028</v>
      </c>
      <c r="I472" s="22" t="s">
        <v>94</v>
      </c>
      <c r="J472" s="24" t="str">
        <f t="shared" si="3"/>
        <v>!=</v>
      </c>
    </row>
    <row r="473">
      <c r="A473" s="22" t="s">
        <v>875</v>
      </c>
      <c r="B473" s="22">
        <v>5412.0</v>
      </c>
      <c r="C473" s="23" t="str">
        <f>HYPERLINK("http://ecotaxoserver.obs-vlfr.fr/browsetaxo/?id=28174","28174")</f>
        <v>28174</v>
      </c>
      <c r="D473" s="23" t="str">
        <f>HYPERLINK("http://www.marinespecies.org/aphia.php?p=taxdetails&amp;id=149313","149313")</f>
        <v>149313</v>
      </c>
      <c r="E473" s="22" t="s">
        <v>119</v>
      </c>
      <c r="F473" s="22" t="s">
        <v>307</v>
      </c>
      <c r="G473" s="22" t="s">
        <v>94</v>
      </c>
      <c r="H473" s="23" t="str">
        <f>HYPERLINK("http://www.marinespecies.org/aphia.php?p=taxdetails&amp;id=149313","149313")</f>
        <v>149313</v>
      </c>
      <c r="I473" s="22" t="s">
        <v>94</v>
      </c>
      <c r="J473" s="24" t="str">
        <f t="shared" si="3"/>
        <v>!=</v>
      </c>
    </row>
    <row r="474">
      <c r="A474" s="22" t="s">
        <v>876</v>
      </c>
      <c r="B474" s="22">
        <v>3052.0</v>
      </c>
      <c r="C474" s="23" t="str">
        <f>HYPERLINK("http://ecotaxoserver.obs-vlfr.fr/browsetaxo/?id=56544","56544")</f>
        <v>56544</v>
      </c>
      <c r="D474" s="23" t="str">
        <f>HYPERLINK("http://www.marinespecies.org/aphia.php?p=taxdetails&amp;id=103358","103358")</f>
        <v>103358</v>
      </c>
      <c r="E474" s="22" t="s">
        <v>877</v>
      </c>
      <c r="F474" s="22" t="s">
        <v>878</v>
      </c>
      <c r="G474" s="22" t="s">
        <v>94</v>
      </c>
      <c r="H474" s="23" t="str">
        <f>HYPERLINK("http://www.marinespecies.org/aphia.php?p=taxdetails&amp;id=103358","103358")</f>
        <v>103358</v>
      </c>
      <c r="I474" s="22" t="s">
        <v>94</v>
      </c>
      <c r="J474" s="24" t="str">
        <f t="shared" si="3"/>
        <v>!=</v>
      </c>
    </row>
    <row r="475">
      <c r="A475" s="22" t="s">
        <v>879</v>
      </c>
      <c r="B475" s="22">
        <v>2.0</v>
      </c>
      <c r="C475" s="23" t="str">
        <f>HYPERLINK("http://ecotaxoserver.obs-vlfr.fr/browsetaxo/?id=92710","92710")</f>
        <v>92710</v>
      </c>
      <c r="D475" s="23" t="str">
        <f>HYPERLINK("http://www.marinespecies.org/aphia.php?p=taxdetails&amp;id=103386","103386")</f>
        <v>103386</v>
      </c>
      <c r="E475" s="22" t="s">
        <v>876</v>
      </c>
      <c r="F475" s="22" t="s">
        <v>876</v>
      </c>
      <c r="G475" s="22" t="s">
        <v>94</v>
      </c>
      <c r="H475" s="23" t="str">
        <f>HYPERLINK("http://www.marinespecies.org/aphia.php?p=taxdetails&amp;id=103386","103386")</f>
        <v>103386</v>
      </c>
      <c r="I475" s="22" t="s">
        <v>94</v>
      </c>
      <c r="J475" s="24" t="str">
        <f t="shared" si="3"/>
        <v/>
      </c>
    </row>
    <row r="476">
      <c r="A476" s="22" t="s">
        <v>877</v>
      </c>
      <c r="B476" s="22">
        <v>46458.0</v>
      </c>
      <c r="C476" s="23" t="str">
        <f>HYPERLINK("http://ecotaxoserver.obs-vlfr.fr/browsetaxo/?id=25930","25930")</f>
        <v>25930</v>
      </c>
      <c r="D476" s="23" t="str">
        <f>HYPERLINK("http://www.marinespecies.org/aphia.php?p=taxdetails&amp;id=103354","103354")</f>
        <v>103354</v>
      </c>
      <c r="E476" s="22" t="s">
        <v>880</v>
      </c>
      <c r="F476" s="22" t="s">
        <v>881</v>
      </c>
      <c r="G476" s="22" t="s">
        <v>94</v>
      </c>
      <c r="H476" s="23" t="str">
        <f>HYPERLINK("http://www.marinespecies.org/aphia.php?p=taxdetails&amp;id=103354","103354")</f>
        <v>103354</v>
      </c>
      <c r="I476" s="22" t="s">
        <v>94</v>
      </c>
      <c r="J476" s="24" t="str">
        <f t="shared" si="3"/>
        <v>!=</v>
      </c>
    </row>
    <row r="477">
      <c r="A477" s="22" t="s">
        <v>882</v>
      </c>
      <c r="B477" s="22">
        <v>14.0</v>
      </c>
      <c r="C477" s="23" t="str">
        <f>HYPERLINK("http://ecotaxoserver.obs-vlfr.fr/browsetaxo/?id=71763","71763")</f>
        <v>71763</v>
      </c>
      <c r="D477" s="23" t="str">
        <f>HYPERLINK("http://www.marinespecies.org/aphia.php?p=taxdetails&amp;id=125732","125732")</f>
        <v>125732</v>
      </c>
      <c r="E477" s="22" t="s">
        <v>132</v>
      </c>
      <c r="F477" s="22" t="s">
        <v>883</v>
      </c>
      <c r="G477" s="22" t="s">
        <v>94</v>
      </c>
      <c r="H477" s="23" t="str">
        <f>HYPERLINK("http://www.marinespecies.org/aphia.php?p=taxdetails&amp;id=125732","125732")</f>
        <v>125732</v>
      </c>
      <c r="I477" s="22" t="s">
        <v>94</v>
      </c>
      <c r="J477" s="24" t="str">
        <f t="shared" si="3"/>
        <v>!=</v>
      </c>
    </row>
    <row r="478">
      <c r="A478" s="22" t="s">
        <v>884</v>
      </c>
      <c r="B478" s="22">
        <v>430.0</v>
      </c>
      <c r="C478" s="23" t="str">
        <f>HYPERLINK("http://ecotaxoserver.obs-vlfr.fr/browsetaxo/?id=80119","80119")</f>
        <v>80119</v>
      </c>
      <c r="D478" s="23" t="str">
        <f>HYPERLINK("http://www.marinespecies.org/aphia.php?p=taxdetails&amp;id=104121","104121")</f>
        <v>104121</v>
      </c>
      <c r="E478" s="22" t="s">
        <v>144</v>
      </c>
      <c r="F478" s="22" t="s">
        <v>144</v>
      </c>
      <c r="G478" s="22" t="s">
        <v>94</v>
      </c>
      <c r="H478" s="23" t="str">
        <f>HYPERLINK("http://www.marinespecies.org/aphia.php?p=taxdetails&amp;id=104121","104121")</f>
        <v>104121</v>
      </c>
      <c r="I478" s="22" t="s">
        <v>94</v>
      </c>
      <c r="J478" s="24" t="str">
        <f t="shared" si="3"/>
        <v/>
      </c>
    </row>
    <row r="479">
      <c r="A479" s="22" t="s">
        <v>885</v>
      </c>
      <c r="B479" s="22">
        <v>76.0</v>
      </c>
      <c r="C479" s="23" t="str">
        <f>HYPERLINK("http://ecotaxoserver.obs-vlfr.fr/browsetaxo/?id=92261","92261")</f>
        <v>92261</v>
      </c>
      <c r="D479" s="23" t="str">
        <f>HYPERLINK("http://www.marinespecies.org/aphia.php?p=taxdetails&amp;id=254602","254602")</f>
        <v>254602</v>
      </c>
      <c r="E479" s="22" t="s">
        <v>884</v>
      </c>
      <c r="F479" s="22" t="s">
        <v>884</v>
      </c>
      <c r="G479" s="22" t="s">
        <v>94</v>
      </c>
      <c r="H479" s="23" t="str">
        <f>HYPERLINK("http://www.marinespecies.org/aphia.php?p=taxdetails&amp;id=254602","254602")</f>
        <v>254602</v>
      </c>
      <c r="I479" s="22" t="s">
        <v>94</v>
      </c>
      <c r="J479" s="24" t="str">
        <f t="shared" si="3"/>
        <v/>
      </c>
    </row>
    <row r="480">
      <c r="A480" s="22" t="s">
        <v>886</v>
      </c>
      <c r="B480" s="22">
        <v>165.0</v>
      </c>
      <c r="C480" s="23" t="str">
        <f>HYPERLINK("http://ecotaxoserver.obs-vlfr.fr/browsetaxo/?id=92260","92260")</f>
        <v>92260</v>
      </c>
      <c r="D480" s="23" t="str">
        <f>HYPERLINK("http://www.marinespecies.org/aphia.php?p=taxdetails&amp;id=237965","237965")</f>
        <v>237965</v>
      </c>
      <c r="E480" s="22" t="s">
        <v>884</v>
      </c>
      <c r="F480" s="22" t="s">
        <v>884</v>
      </c>
      <c r="G480" s="22" t="s">
        <v>94</v>
      </c>
      <c r="H480" s="23" t="str">
        <f>HYPERLINK("http://www.marinespecies.org/aphia.php?p=taxdetails&amp;id=237965","237965")</f>
        <v>237965</v>
      </c>
      <c r="I480" s="22" t="s">
        <v>94</v>
      </c>
      <c r="J480" s="24" t="str">
        <f t="shared" si="3"/>
        <v/>
      </c>
    </row>
    <row r="481">
      <c r="A481" s="22" t="s">
        <v>887</v>
      </c>
      <c r="B481" s="22">
        <v>13.0</v>
      </c>
      <c r="C481" s="23" t="str">
        <f>HYPERLINK("http://ecotaxoserver.obs-vlfr.fr/browsetaxo/?id=83502","83502")</f>
        <v>83502</v>
      </c>
      <c r="D481" s="23" t="str">
        <f>HYPERLINK("http://www.marinespecies.org/aphia.php?p=taxdetails&amp;id=106733","106733")</f>
        <v>106733</v>
      </c>
      <c r="E481" s="22" t="s">
        <v>225</v>
      </c>
      <c r="F481" s="22" t="s">
        <v>888</v>
      </c>
      <c r="G481" s="22" t="s">
        <v>94</v>
      </c>
      <c r="H481" s="23" t="str">
        <f>HYPERLINK("http://www.marinespecies.org/aphia.php?p=taxdetails&amp;id=106733","106733")</f>
        <v>106733</v>
      </c>
      <c r="I481" s="22" t="s">
        <v>94</v>
      </c>
      <c r="J481" s="24" t="str">
        <f t="shared" si="3"/>
        <v>!=</v>
      </c>
    </row>
    <row r="482">
      <c r="A482" s="22" t="s">
        <v>275</v>
      </c>
      <c r="B482" s="22">
        <v>34504.0</v>
      </c>
      <c r="C482" s="23" t="str">
        <f>HYPERLINK("http://ecotaxoserver.obs-vlfr.fr/browsetaxo/?id=12905","12905")</f>
        <v>12905</v>
      </c>
      <c r="D482" s="23" t="str">
        <f>HYPERLINK("http://www.marinespecies.org/aphia.php?p=taxdetails&amp;id=101","101")</f>
        <v>101</v>
      </c>
      <c r="E482" s="22" t="s">
        <v>445</v>
      </c>
      <c r="F482" s="22" t="s">
        <v>445</v>
      </c>
      <c r="G482" s="22" t="s">
        <v>94</v>
      </c>
      <c r="H482" s="23" t="str">
        <f>HYPERLINK("http://www.marinespecies.org/aphia.php?p=taxdetails&amp;id=101","101")</f>
        <v>101</v>
      </c>
      <c r="I482" s="22" t="s">
        <v>94</v>
      </c>
      <c r="J482" s="24" t="str">
        <f t="shared" si="3"/>
        <v/>
      </c>
    </row>
    <row r="483">
      <c r="A483" s="22" t="s">
        <v>889</v>
      </c>
      <c r="B483" s="22">
        <v>2.0</v>
      </c>
      <c r="C483" s="23" t="str">
        <f>HYPERLINK("http://ecotaxoserver.obs-vlfr.fr/browsetaxo/?id=78327","78327")</f>
        <v>78327</v>
      </c>
      <c r="D483" s="23" t="str">
        <f>HYPERLINK("http://www.marinespecies.org/aphia.php?p=taxdetails&amp;id=119859","119859")</f>
        <v>119859</v>
      </c>
      <c r="E483" s="22" t="s">
        <v>890</v>
      </c>
      <c r="F483" s="22" t="s">
        <v>891</v>
      </c>
      <c r="G483" s="22" t="s">
        <v>94</v>
      </c>
      <c r="H483" s="23" t="str">
        <f>HYPERLINK("http://www.marinespecies.org/aphia.php?p=taxdetails&amp;id=119859","119859")</f>
        <v>119859</v>
      </c>
      <c r="I483" s="22" t="s">
        <v>94</v>
      </c>
      <c r="J483" s="24" t="str">
        <f t="shared" si="3"/>
        <v>!=</v>
      </c>
    </row>
    <row r="484">
      <c r="A484" s="22" t="s">
        <v>892</v>
      </c>
      <c r="B484" s="22">
        <v>293.0</v>
      </c>
      <c r="C484" s="23" t="str">
        <f>HYPERLINK("http://ecotaxoserver.obs-vlfr.fr/browsetaxo/?id=79800","79800")</f>
        <v>79800</v>
      </c>
      <c r="D484" s="23" t="str">
        <f>HYPERLINK("http://www.marinespecies.org/aphia.php?p=taxdetails&amp;id=120020","120020")</f>
        <v>120020</v>
      </c>
      <c r="E484" s="22" t="s">
        <v>889</v>
      </c>
      <c r="F484" s="22" t="s">
        <v>889</v>
      </c>
      <c r="G484" s="22" t="s">
        <v>94</v>
      </c>
      <c r="H484" s="23" t="str">
        <f>HYPERLINK("http://www.marinespecies.org/aphia.php?p=taxdetails&amp;id=120020","120020")</f>
        <v>120020</v>
      </c>
      <c r="I484" s="22" t="s">
        <v>94</v>
      </c>
      <c r="J484" s="24" t="str">
        <f t="shared" si="3"/>
        <v/>
      </c>
    </row>
    <row r="485">
      <c r="A485" s="22" t="s">
        <v>893</v>
      </c>
      <c r="B485" s="22">
        <v>1.0</v>
      </c>
      <c r="C485" s="23" t="str">
        <f>HYPERLINK("http://ecotaxoserver.obs-vlfr.fr/browsetaxo/?id=92901","92901")</f>
        <v>92901</v>
      </c>
      <c r="D485" s="23" t="str">
        <f>HYPERLINK("http://www.marinespecies.org/aphia.php?p=taxdetails&amp;id=125536","125536")</f>
        <v>125536</v>
      </c>
      <c r="E485" s="22" t="s">
        <v>132</v>
      </c>
      <c r="F485" s="22" t="s">
        <v>894</v>
      </c>
      <c r="G485" s="22" t="s">
        <v>94</v>
      </c>
      <c r="H485" s="23" t="str">
        <f>HYPERLINK("http://www.marinespecies.org/aphia.php?p=taxdetails&amp;id=125536","125536")</f>
        <v>125536</v>
      </c>
      <c r="I485" s="22" t="s">
        <v>94</v>
      </c>
      <c r="J485" s="24" t="str">
        <f t="shared" si="3"/>
        <v>!=</v>
      </c>
    </row>
    <row r="486">
      <c r="A486" s="22" t="s">
        <v>895</v>
      </c>
      <c r="B486" s="22">
        <v>1.0</v>
      </c>
      <c r="C486" s="23" t="str">
        <f>HYPERLINK("http://ecotaxoserver.obs-vlfr.fr/browsetaxo/?id=27296","27296")</f>
        <v>27296</v>
      </c>
      <c r="D486" s="23" t="str">
        <f>HYPERLINK("http://www.marinespecies.org/aphia.php?p=taxdetails&amp;id=235955","235955")</f>
        <v>235955</v>
      </c>
      <c r="E486" s="22" t="s">
        <v>896</v>
      </c>
      <c r="F486" s="22" t="s">
        <v>896</v>
      </c>
      <c r="G486" s="22" t="s">
        <v>94</v>
      </c>
      <c r="H486" s="23" t="str">
        <f>HYPERLINK("http://www.marinespecies.org/aphia.php?p=taxdetails&amp;id=235955","235955")</f>
        <v>235955</v>
      </c>
      <c r="I486" s="22" t="s">
        <v>94</v>
      </c>
      <c r="J486" s="24" t="str">
        <f t="shared" si="3"/>
        <v/>
      </c>
    </row>
    <row r="487">
      <c r="A487" s="22" t="s">
        <v>897</v>
      </c>
      <c r="B487" s="22">
        <v>12.0</v>
      </c>
      <c r="C487" s="23" t="str">
        <f>HYPERLINK("http://ecotaxoserver.obs-vlfr.fr/browsetaxo/?id=92902","92902")</f>
        <v>92902</v>
      </c>
      <c r="D487" s="23" t="str">
        <f>HYPERLINK("http://www.marinespecies.org/aphia.php?p=taxdetails&amp;id=151456","151456")</f>
        <v>151456</v>
      </c>
      <c r="E487" s="22" t="s">
        <v>132</v>
      </c>
      <c r="F487" s="22" t="s">
        <v>242</v>
      </c>
      <c r="G487" s="22" t="s">
        <v>94</v>
      </c>
      <c r="H487" s="23" t="str">
        <f>HYPERLINK("http://www.marinespecies.org/aphia.php?p=taxdetails&amp;id=151456","151456")</f>
        <v>151456</v>
      </c>
      <c r="I487" s="22" t="s">
        <v>94</v>
      </c>
      <c r="J487" s="24" t="str">
        <f t="shared" si="3"/>
        <v>!=</v>
      </c>
    </row>
    <row r="488">
      <c r="A488" s="22" t="s">
        <v>898</v>
      </c>
      <c r="B488" s="22">
        <v>560.0</v>
      </c>
      <c r="C488" s="23" t="str">
        <f>HYPERLINK("http://ecotaxoserver.obs-vlfr.fr/browsetaxo/?id=47562","47562")</f>
        <v>47562</v>
      </c>
      <c r="D488" s="23" t="str">
        <f>HYPERLINK("http://www.marinespecies.org/aphia.php?p=taxdetails&amp;id=160268","160268")</f>
        <v>160268</v>
      </c>
      <c r="E488" s="22" t="s">
        <v>499</v>
      </c>
      <c r="F488" s="22" t="s">
        <v>899</v>
      </c>
      <c r="G488" s="22" t="s">
        <v>94</v>
      </c>
      <c r="H488" s="23" t="str">
        <f>HYPERLINK("http://www.marinespecies.org/aphia.php?p=taxdetails&amp;id=160268","160268")</f>
        <v>160268</v>
      </c>
      <c r="I488" s="22" t="s">
        <v>94</v>
      </c>
      <c r="J488" s="24" t="str">
        <f t="shared" si="3"/>
        <v>!=</v>
      </c>
    </row>
    <row r="489">
      <c r="A489" s="22" t="s">
        <v>900</v>
      </c>
      <c r="B489" s="22">
        <v>48.0</v>
      </c>
      <c r="C489" s="23" t="str">
        <f>HYPERLINK("http://ecotaxoserver.obs-vlfr.fr/browsetaxo/?id=81861","81861")</f>
        <v>81861</v>
      </c>
      <c r="D489" s="23" t="str">
        <f>HYPERLINK("http://www.marinespecies.org/aphia.php?p=taxdetails&amp;id=117567","117567")</f>
        <v>117567</v>
      </c>
      <c r="E489" s="22" t="s">
        <v>901</v>
      </c>
      <c r="F489" s="22" t="s">
        <v>901</v>
      </c>
      <c r="G489" s="22" t="s">
        <v>94</v>
      </c>
      <c r="H489" s="23" t="str">
        <f>HYPERLINK("http://www.marinespecies.org/aphia.php?p=taxdetails&amp;id=117567","117567")</f>
        <v>117567</v>
      </c>
      <c r="I489" s="22" t="s">
        <v>94</v>
      </c>
      <c r="J489" s="24" t="str">
        <f t="shared" si="3"/>
        <v/>
      </c>
    </row>
    <row r="490">
      <c r="A490" s="22" t="s">
        <v>902</v>
      </c>
      <c r="B490" s="22">
        <v>14.0</v>
      </c>
      <c r="C490" s="23" t="str">
        <f>HYPERLINK("http://ecotaxoserver.obs-vlfr.fr/browsetaxo/?id=51392","51392")</f>
        <v>51392</v>
      </c>
      <c r="D490" s="23" t="str">
        <f>HYPERLINK("http://www.marinespecies.org/aphia.php?p=taxdetails&amp;id=16843","16843")</f>
        <v>16843</v>
      </c>
      <c r="E490" s="22" t="s">
        <v>249</v>
      </c>
      <c r="F490" s="22" t="s">
        <v>903</v>
      </c>
      <c r="G490" s="22" t="s">
        <v>94</v>
      </c>
      <c r="H490" s="23" t="str">
        <f>HYPERLINK("http://www.marinespecies.org/aphia.php?p=taxdetails&amp;id=16843","16843")</f>
        <v>16843</v>
      </c>
      <c r="I490" s="22" t="s">
        <v>94</v>
      </c>
      <c r="J490" s="24" t="str">
        <f t="shared" si="3"/>
        <v>!=</v>
      </c>
    </row>
    <row r="491">
      <c r="A491" s="22" t="s">
        <v>904</v>
      </c>
      <c r="B491" s="22">
        <v>178.0</v>
      </c>
      <c r="C491" s="23" t="str">
        <f>HYPERLINK("http://ecotaxoserver.obs-vlfr.fr/browsetaxo/?id=54952","54952")</f>
        <v>54952</v>
      </c>
      <c r="D491" s="23" t="str">
        <f>HYPERLINK("http://www.marinespecies.org/aphia.php?p=taxdetails&amp;id=112197","112197")</f>
        <v>112197</v>
      </c>
      <c r="E491" s="22" t="s">
        <v>905</v>
      </c>
      <c r="F491" s="22" t="s">
        <v>906</v>
      </c>
      <c r="G491" s="22" t="s">
        <v>94</v>
      </c>
      <c r="H491" s="23" t="str">
        <f>HYPERLINK("http://www.marinespecies.org/aphia.php?p=taxdetails&amp;id=112197","112197")</f>
        <v>112197</v>
      </c>
      <c r="I491" s="22" t="s">
        <v>94</v>
      </c>
      <c r="J491" s="24" t="str">
        <f t="shared" si="3"/>
        <v>!=</v>
      </c>
    </row>
    <row r="492">
      <c r="A492" s="22" t="s">
        <v>907</v>
      </c>
      <c r="B492" s="22">
        <v>2.0</v>
      </c>
      <c r="C492" s="23" t="str">
        <f>HYPERLINK("http://ecotaxoserver.obs-vlfr.fr/browsetaxo/?id=77933","77933")</f>
        <v>77933</v>
      </c>
      <c r="D492" s="23" t="str">
        <f>HYPERLINK("http://www.marinespecies.org/aphia.php?p=taxdetails&amp;id=113440","113440")</f>
        <v>113440</v>
      </c>
      <c r="E492" s="22" t="s">
        <v>908</v>
      </c>
      <c r="F492" s="22" t="s">
        <v>908</v>
      </c>
      <c r="G492" s="22" t="s">
        <v>94</v>
      </c>
      <c r="H492" s="23" t="str">
        <f>HYPERLINK("http://www.marinespecies.org/aphia.php?p=taxdetails&amp;id=113440","113440")</f>
        <v>113440</v>
      </c>
      <c r="I492" s="22" t="s">
        <v>94</v>
      </c>
      <c r="J492" s="24" t="str">
        <f t="shared" si="3"/>
        <v/>
      </c>
    </row>
    <row r="493">
      <c r="A493" s="22" t="s">
        <v>909</v>
      </c>
      <c r="B493" s="22">
        <v>1.0</v>
      </c>
      <c r="C493" s="23" t="str">
        <f>HYPERLINK("http://ecotaxoserver.obs-vlfr.fr/browsetaxo/?id=54950","54950")</f>
        <v>54950</v>
      </c>
      <c r="D493" s="23" t="str">
        <f>HYPERLINK("http://www.marinespecies.org/aphia.php?p=taxdetails&amp;id=112206","112206")</f>
        <v>112206</v>
      </c>
      <c r="E493" s="22" t="s">
        <v>905</v>
      </c>
      <c r="F493" s="22" t="s">
        <v>910</v>
      </c>
      <c r="G493" s="22" t="s">
        <v>94</v>
      </c>
      <c r="H493" s="23" t="str">
        <f>HYPERLINK("http://www.marinespecies.org/aphia.php?p=taxdetails&amp;id=112206","112206")</f>
        <v>112206</v>
      </c>
      <c r="I493" s="22" t="s">
        <v>94</v>
      </c>
      <c r="J493" s="24" t="str">
        <f t="shared" si="3"/>
        <v>!=</v>
      </c>
    </row>
    <row r="494">
      <c r="A494" s="22" t="s">
        <v>911</v>
      </c>
      <c r="B494" s="22">
        <v>12.0</v>
      </c>
      <c r="C494" s="23" t="str">
        <f>HYPERLINK("http://ecotaxoserver.obs-vlfr.fr/browsetaxo/?id=54949","54949")</f>
        <v>54949</v>
      </c>
      <c r="D494" s="23" t="str">
        <f>HYPERLINK("http://www.marinespecies.org/aphia.php?p=taxdetails&amp;id=112199","112199")</f>
        <v>112199</v>
      </c>
      <c r="E494" s="22" t="s">
        <v>905</v>
      </c>
      <c r="F494" s="22" t="s">
        <v>906</v>
      </c>
      <c r="G494" s="22" t="s">
        <v>94</v>
      </c>
      <c r="H494" s="23" t="str">
        <f>HYPERLINK("http://www.marinespecies.org/aphia.php?p=taxdetails&amp;id=112199","112199")</f>
        <v>112199</v>
      </c>
      <c r="I494" s="22" t="s">
        <v>94</v>
      </c>
      <c r="J494" s="24" t="str">
        <f t="shared" si="3"/>
        <v>!=</v>
      </c>
    </row>
    <row r="495">
      <c r="A495" s="22" t="s">
        <v>912</v>
      </c>
      <c r="B495" s="22">
        <v>4.0</v>
      </c>
      <c r="C495" s="23" t="str">
        <f>HYPERLINK("http://ecotaxoserver.obs-vlfr.fr/browsetaxo/?id=54948","54948")</f>
        <v>54948</v>
      </c>
      <c r="D495" s="23" t="str">
        <f>HYPERLINK("http://www.marinespecies.org/aphia.php?p=taxdetails&amp;id=112200","112200")</f>
        <v>112200</v>
      </c>
      <c r="E495" s="22" t="s">
        <v>905</v>
      </c>
      <c r="F495" s="22" t="s">
        <v>913</v>
      </c>
      <c r="G495" s="22" t="s">
        <v>94</v>
      </c>
      <c r="H495" s="23" t="str">
        <f>HYPERLINK("http://www.marinespecies.org/aphia.php?p=taxdetails&amp;id=112200","112200")</f>
        <v>112200</v>
      </c>
      <c r="I495" s="22" t="s">
        <v>94</v>
      </c>
      <c r="J495" s="24" t="str">
        <f t="shared" si="3"/>
        <v>!=</v>
      </c>
    </row>
    <row r="496">
      <c r="A496" s="22" t="s">
        <v>913</v>
      </c>
      <c r="B496" s="22">
        <v>4.0</v>
      </c>
      <c r="C496" s="23" t="str">
        <f>HYPERLINK("http://ecotaxoserver.obs-vlfr.fr/browsetaxo/?id=92940","92940")</f>
        <v>92940</v>
      </c>
      <c r="D496" s="23" t="str">
        <f>HYPERLINK("http://www.marinespecies.org/aphia.php?p=taxdetails&amp;id=111930","111930")</f>
        <v>111930</v>
      </c>
      <c r="E496" s="22" t="s">
        <v>868</v>
      </c>
      <c r="F496" s="22" t="s">
        <v>914</v>
      </c>
      <c r="G496" s="22" t="s">
        <v>94</v>
      </c>
      <c r="H496" s="23" t="str">
        <f>HYPERLINK("http://www.marinespecies.org/aphia.php?p=taxdetails&amp;id=111930","111930")</f>
        <v>111930</v>
      </c>
      <c r="I496" s="22" t="s">
        <v>94</v>
      </c>
      <c r="J496" s="24" t="str">
        <f t="shared" si="3"/>
        <v>!=</v>
      </c>
    </row>
    <row r="497">
      <c r="A497" s="22" t="s">
        <v>915</v>
      </c>
      <c r="B497" s="22">
        <v>1.0</v>
      </c>
      <c r="C497" s="23" t="str">
        <f>HYPERLINK("http://ecotaxoserver.obs-vlfr.fr/browsetaxo/?id=25617","25617")</f>
        <v>25617</v>
      </c>
      <c r="D497" s="23" t="str">
        <f>HYPERLINK("http://www.marinespecies.org/aphia.php?p=taxdetails&amp;id=952","952")</f>
        <v>952</v>
      </c>
      <c r="E497" s="22" t="s">
        <v>239</v>
      </c>
      <c r="F497" s="22" t="s">
        <v>916</v>
      </c>
      <c r="G497" s="22" t="s">
        <v>94</v>
      </c>
      <c r="H497" s="23" t="str">
        <f>HYPERLINK("http://www.marinespecies.org/aphia.php?p=taxdetails&amp;id=952","952")</f>
        <v>952</v>
      </c>
      <c r="I497" s="22" t="s">
        <v>94</v>
      </c>
      <c r="J497" s="24" t="str">
        <f t="shared" si="3"/>
        <v>!=</v>
      </c>
    </row>
    <row r="498">
      <c r="A498" s="22" t="s">
        <v>133</v>
      </c>
      <c r="B498" s="22">
        <v>1656.0</v>
      </c>
      <c r="C498" s="23" t="str">
        <f>HYPERLINK("http://ecotaxoserver.obs-vlfr.fr/browsetaxo/?id=25928","25928")</f>
        <v>25928</v>
      </c>
      <c r="D498" s="23" t="str">
        <f>HYPERLINK("http://www.marinespecies.org/aphia.php?p=taxdetails&amp;id=1828","1828")</f>
        <v>1828</v>
      </c>
      <c r="E498" s="22" t="s">
        <v>917</v>
      </c>
      <c r="F498" s="22" t="s">
        <v>917</v>
      </c>
      <c r="G498" s="22" t="s">
        <v>94</v>
      </c>
      <c r="H498" s="23" t="str">
        <f>HYPERLINK("http://www.marinespecies.org/aphia.php?p=taxdetails&amp;id=1828","1828")</f>
        <v>1828</v>
      </c>
      <c r="I498" s="22" t="s">
        <v>94</v>
      </c>
      <c r="J498" s="24" t="str">
        <f t="shared" si="3"/>
        <v/>
      </c>
    </row>
    <row r="499">
      <c r="A499" s="22" t="s">
        <v>918</v>
      </c>
      <c r="B499" s="22">
        <v>99.0</v>
      </c>
      <c r="C499" s="23" t="str">
        <f>HYPERLINK("http://ecotaxoserver.obs-vlfr.fr/browsetaxo/?id=92716","92716")</f>
        <v>92716</v>
      </c>
      <c r="D499" s="23" t="str">
        <f>HYPERLINK("http://www.marinespecies.org/aphia.php?p=taxdetails&amp;id=125537","125537")</f>
        <v>125537</v>
      </c>
      <c r="E499" s="22" t="s">
        <v>132</v>
      </c>
      <c r="F499" s="22" t="s">
        <v>790</v>
      </c>
      <c r="G499" s="22" t="s">
        <v>94</v>
      </c>
      <c r="H499" s="23" t="str">
        <f>HYPERLINK("http://www.marinespecies.org/aphia.php?p=taxdetails&amp;id=125537","125537")</f>
        <v>125537</v>
      </c>
      <c r="I499" s="22" t="s">
        <v>94</v>
      </c>
      <c r="J499" s="24" t="str">
        <f t="shared" si="3"/>
        <v>!=</v>
      </c>
    </row>
    <row r="500">
      <c r="A500" s="22" t="s">
        <v>919</v>
      </c>
      <c r="B500" s="22">
        <v>1.0</v>
      </c>
      <c r="C500" s="23" t="str">
        <f>HYPERLINK("http://ecotaxoserver.obs-vlfr.fr/browsetaxo/?id=18803","18803")</f>
        <v>18803</v>
      </c>
      <c r="D500" s="23" t="str">
        <f>HYPERLINK("http://www.marinespecies.org/aphia.php?p=taxdetails&amp;id=109408","109408")</f>
        <v>109408</v>
      </c>
      <c r="E500" s="22" t="s">
        <v>453</v>
      </c>
      <c r="F500" s="22" t="s">
        <v>453</v>
      </c>
      <c r="G500" s="22" t="s">
        <v>94</v>
      </c>
      <c r="H500" s="23" t="str">
        <f>HYPERLINK("http://www.marinespecies.org/aphia.php?p=taxdetails&amp;id=109408","109408")</f>
        <v>109408</v>
      </c>
      <c r="I500" s="22" t="s">
        <v>94</v>
      </c>
      <c r="J500" s="24" t="str">
        <f t="shared" si="3"/>
        <v/>
      </c>
    </row>
    <row r="501">
      <c r="A501" s="22" t="s">
        <v>920</v>
      </c>
      <c r="B501" s="22">
        <v>74.0</v>
      </c>
      <c r="C501" s="23" t="str">
        <f>HYPERLINK("http://ecotaxoserver.obs-vlfr.fr/browsetaxo/?id=92234","92234")</f>
        <v>92234</v>
      </c>
      <c r="D501" s="23" t="str">
        <f>HYPERLINK("http://www.marinespecies.org/aphia.php?p=taxdetails&amp;id=346507","346507")</f>
        <v>346507</v>
      </c>
      <c r="E501" s="22" t="s">
        <v>842</v>
      </c>
      <c r="F501" s="22" t="s">
        <v>921</v>
      </c>
      <c r="G501" s="22" t="s">
        <v>94</v>
      </c>
      <c r="H501" s="23" t="str">
        <f>HYPERLINK("http://www.marinespecies.org/aphia.php?p=taxdetails&amp;id=346507","346507")</f>
        <v>346507</v>
      </c>
      <c r="I501" s="22" t="s">
        <v>94</v>
      </c>
      <c r="J501" s="24" t="str">
        <f t="shared" si="3"/>
        <v>!=</v>
      </c>
    </row>
    <row r="502">
      <c r="A502" s="22" t="s">
        <v>168</v>
      </c>
      <c r="B502" s="22">
        <v>1.0</v>
      </c>
      <c r="C502" s="23" t="str">
        <f>HYPERLINK("http://ecotaxoserver.obs-vlfr.fr/browsetaxo/?id=18802","18802")</f>
        <v>18802</v>
      </c>
      <c r="D502" s="23" t="str">
        <f>HYPERLINK("http://www.marinespecies.org/aphia.php?p=taxdetails&amp;id=109428","109428")</f>
        <v>109428</v>
      </c>
      <c r="E502" s="22" t="s">
        <v>453</v>
      </c>
      <c r="F502" s="22" t="s">
        <v>453</v>
      </c>
      <c r="G502" s="22" t="s">
        <v>94</v>
      </c>
      <c r="H502" s="23" t="str">
        <f>HYPERLINK("http://www.marinespecies.org/aphia.php?p=taxdetails&amp;id=109428","109428")</f>
        <v>109428</v>
      </c>
      <c r="I502" s="22" t="s">
        <v>94</v>
      </c>
      <c r="J502" s="24" t="str">
        <f t="shared" si="3"/>
        <v/>
      </c>
    </row>
    <row r="503">
      <c r="A503" s="22" t="s">
        <v>453</v>
      </c>
      <c r="B503" s="22">
        <v>4049.0</v>
      </c>
      <c r="C503" s="23" t="str">
        <f>HYPERLINK("http://ecotaxoserver.obs-vlfr.fr/browsetaxo/?id=13948","13948")</f>
        <v>13948</v>
      </c>
      <c r="D503" s="23" t="str">
        <f>HYPERLINK("http://www.marinespecies.org/aphia.php?p=taxdetails&amp;id=109391","109391")</f>
        <v>109391</v>
      </c>
      <c r="E503" s="22" t="s">
        <v>740</v>
      </c>
      <c r="F503" s="22" t="s">
        <v>740</v>
      </c>
      <c r="G503" s="22" t="s">
        <v>94</v>
      </c>
      <c r="H503" s="23" t="str">
        <f>HYPERLINK("http://www.marinespecies.org/aphia.php?p=taxdetails&amp;id=109391","109391")</f>
        <v>109391</v>
      </c>
      <c r="I503" s="22" t="s">
        <v>94</v>
      </c>
      <c r="J503" s="24" t="str">
        <f t="shared" si="3"/>
        <v/>
      </c>
    </row>
    <row r="504">
      <c r="A504" s="22" t="s">
        <v>922</v>
      </c>
      <c r="B504" s="22">
        <v>1.0</v>
      </c>
      <c r="C504" s="23" t="str">
        <f>HYPERLINK("http://ecotaxoserver.obs-vlfr.fr/browsetaxo/?id=31681","31681")</f>
        <v>31681</v>
      </c>
      <c r="D504" s="23" t="str">
        <f>HYPERLINK("http://www.marinespecies.org/aphia.php?p=taxdetails&amp;id=109519","109519")</f>
        <v>109519</v>
      </c>
      <c r="E504" s="22" t="s">
        <v>168</v>
      </c>
      <c r="F504" s="22" t="s">
        <v>168</v>
      </c>
      <c r="G504" s="22" t="s">
        <v>94</v>
      </c>
      <c r="H504" s="23" t="str">
        <f>HYPERLINK("http://www.marinespecies.org/aphia.php?p=taxdetails&amp;id=109519","109519")</f>
        <v>109519</v>
      </c>
      <c r="I504" s="22" t="s">
        <v>94</v>
      </c>
      <c r="J504" s="24" t="str">
        <f t="shared" si="3"/>
        <v/>
      </c>
    </row>
    <row r="505">
      <c r="A505" s="22" t="s">
        <v>923</v>
      </c>
      <c r="B505" s="22">
        <v>7.0</v>
      </c>
      <c r="C505" s="23" t="str">
        <f>HYPERLINK("http://ecotaxoserver.obs-vlfr.fr/browsetaxo/?id=92453","92453")</f>
        <v>92453</v>
      </c>
      <c r="D505" s="23" t="str">
        <f>HYPERLINK("http://www.marinespecies.org/aphia.php?p=taxdetails&amp;id=110011","110011")</f>
        <v>110011</v>
      </c>
      <c r="E505" s="22" t="s">
        <v>128</v>
      </c>
      <c r="F505" s="22" t="s">
        <v>922</v>
      </c>
      <c r="G505" s="22" t="s">
        <v>94</v>
      </c>
      <c r="H505" s="23" t="str">
        <f>HYPERLINK("http://www.marinespecies.org/aphia.php?p=taxdetails&amp;id=110011","110011")</f>
        <v>110011</v>
      </c>
      <c r="I505" s="22" t="s">
        <v>94</v>
      </c>
      <c r="J505" s="24" t="str">
        <f t="shared" si="3"/>
        <v>!=</v>
      </c>
    </row>
    <row r="506">
      <c r="A506" s="22" t="s">
        <v>924</v>
      </c>
      <c r="B506" s="22">
        <v>2.0</v>
      </c>
      <c r="C506" s="23" t="str">
        <f>HYPERLINK("http://ecotaxoserver.obs-vlfr.fr/browsetaxo/?id=58288","58288")</f>
        <v>58288</v>
      </c>
      <c r="D506" s="23" t="str">
        <f>HYPERLINK("http://www.marinespecies.org/aphia.php?p=taxdetails&amp;id=233510","233510")</f>
        <v>233510</v>
      </c>
      <c r="E506" s="22" t="s">
        <v>925</v>
      </c>
      <c r="F506" s="22" t="s">
        <v>922</v>
      </c>
      <c r="G506" s="22" t="s">
        <v>94</v>
      </c>
      <c r="H506" s="23" t="str">
        <f>HYPERLINK("http://www.marinespecies.org/aphia.php?p=taxdetails&amp;id=233510","233510")</f>
        <v>233510</v>
      </c>
      <c r="I506" s="22" t="s">
        <v>94</v>
      </c>
      <c r="J506" s="24" t="str">
        <f t="shared" si="3"/>
        <v>!=</v>
      </c>
    </row>
    <row r="507">
      <c r="A507" s="22" t="s">
        <v>926</v>
      </c>
      <c r="B507" s="22">
        <v>11.0</v>
      </c>
      <c r="C507" s="23" t="str">
        <f>HYPERLINK("http://ecotaxoserver.obs-vlfr.fr/browsetaxo/?id=92459","92459")</f>
        <v>92459</v>
      </c>
      <c r="D507" s="23" t="str">
        <f>HYPERLINK("http://www.marinespecies.org/aphia.php?p=taxdetails&amp;id=110020","110020")</f>
        <v>110020</v>
      </c>
      <c r="E507" s="22" t="s">
        <v>128</v>
      </c>
      <c r="F507" s="22" t="s">
        <v>922</v>
      </c>
      <c r="G507" s="22" t="s">
        <v>94</v>
      </c>
      <c r="H507" s="23" t="str">
        <f>HYPERLINK("http://www.marinespecies.org/aphia.php?p=taxdetails&amp;id=110020","110020")</f>
        <v>110020</v>
      </c>
      <c r="I507" s="22" t="s">
        <v>94</v>
      </c>
      <c r="J507" s="24" t="str">
        <f t="shared" si="3"/>
        <v>!=</v>
      </c>
    </row>
    <row r="508">
      <c r="A508" s="22" t="s">
        <v>927</v>
      </c>
      <c r="B508" s="22">
        <v>1.0</v>
      </c>
      <c r="C508" s="23" t="str">
        <f>HYPERLINK("http://ecotaxoserver.obs-vlfr.fr/browsetaxo/?id=92463","92463")</f>
        <v>92463</v>
      </c>
      <c r="D508" s="23" t="str">
        <f>HYPERLINK("http://www.marinespecies.org/aphia.php?p=taxdetails&amp;id=110030","110030")</f>
        <v>110030</v>
      </c>
      <c r="E508" s="22" t="s">
        <v>128</v>
      </c>
      <c r="F508" s="22" t="s">
        <v>922</v>
      </c>
      <c r="G508" s="22" t="s">
        <v>94</v>
      </c>
      <c r="H508" s="23" t="str">
        <f>HYPERLINK("http://www.marinespecies.org/aphia.php?p=taxdetails&amp;id=110030","110030")</f>
        <v>110030</v>
      </c>
      <c r="I508" s="22" t="s">
        <v>94</v>
      </c>
      <c r="J508" s="24" t="str">
        <f t="shared" si="3"/>
        <v>!=</v>
      </c>
    </row>
    <row r="509">
      <c r="A509" s="22" t="s">
        <v>928</v>
      </c>
      <c r="B509" s="22">
        <v>75.0</v>
      </c>
      <c r="C509" s="23" t="str">
        <f>HYPERLINK("http://ecotaxoserver.obs-vlfr.fr/browsetaxo/?id=58296","58296")</f>
        <v>58296</v>
      </c>
      <c r="D509" s="23" t="str">
        <f>HYPERLINK("http://www.marinespecies.org/aphia.php?p=taxdetails&amp;id=110035","110035")</f>
        <v>110035</v>
      </c>
      <c r="E509" s="22" t="s">
        <v>922</v>
      </c>
      <c r="F509" s="22" t="s">
        <v>922</v>
      </c>
      <c r="G509" s="22" t="s">
        <v>94</v>
      </c>
      <c r="H509" s="23" t="str">
        <f>HYPERLINK("http://www.marinespecies.org/aphia.php?p=taxdetails&amp;id=110035","110035")</f>
        <v>110035</v>
      </c>
      <c r="I509" s="22" t="s">
        <v>94</v>
      </c>
      <c r="J509" s="24" t="str">
        <f t="shared" si="3"/>
        <v/>
      </c>
    </row>
    <row r="510">
      <c r="A510" s="22" t="s">
        <v>929</v>
      </c>
      <c r="B510" s="22">
        <v>4.0</v>
      </c>
      <c r="C510" s="23" t="str">
        <f>HYPERLINK("http://ecotaxoserver.obs-vlfr.fr/browsetaxo/?id=92467","92467")</f>
        <v>92467</v>
      </c>
      <c r="D510" s="23" t="str">
        <f>HYPERLINK("http://www.marinespecies.org/aphia.php?p=taxdetails&amp;id=110040","110040")</f>
        <v>110040</v>
      </c>
      <c r="E510" s="22" t="s">
        <v>128</v>
      </c>
      <c r="F510" s="22" t="s">
        <v>922</v>
      </c>
      <c r="G510" s="22" t="s">
        <v>94</v>
      </c>
      <c r="H510" s="23" t="str">
        <f>HYPERLINK("http://www.marinespecies.org/aphia.php?p=taxdetails&amp;id=110040","110040")</f>
        <v>110040</v>
      </c>
      <c r="I510" s="22" t="s">
        <v>94</v>
      </c>
      <c r="J510" s="24" t="str">
        <f t="shared" si="3"/>
        <v>!=</v>
      </c>
    </row>
    <row r="511">
      <c r="A511" s="22" t="s">
        <v>930</v>
      </c>
      <c r="B511" s="22">
        <v>5.0</v>
      </c>
      <c r="C511" s="23" t="str">
        <f>HYPERLINK("http://ecotaxoserver.obs-vlfr.fr/browsetaxo/?id=58290","58290")</f>
        <v>58290</v>
      </c>
      <c r="D511" s="23" t="str">
        <f>HYPERLINK("http://www.marinespecies.org/aphia.php?p=taxdetails&amp;id=110041","110041")</f>
        <v>110041</v>
      </c>
      <c r="E511" s="22" t="s">
        <v>922</v>
      </c>
      <c r="F511" s="22" t="s">
        <v>922</v>
      </c>
      <c r="G511" s="22" t="s">
        <v>94</v>
      </c>
      <c r="H511" s="23" t="str">
        <f>HYPERLINK("http://www.marinespecies.org/aphia.php?p=taxdetails&amp;id=110041","110041")</f>
        <v>110041</v>
      </c>
      <c r="I511" s="22" t="s">
        <v>94</v>
      </c>
      <c r="J511" s="24" t="str">
        <f t="shared" si="3"/>
        <v/>
      </c>
    </row>
    <row r="512">
      <c r="A512" s="22" t="s">
        <v>931</v>
      </c>
      <c r="B512" s="22">
        <v>25.0</v>
      </c>
      <c r="C512" s="23" t="str">
        <f>HYPERLINK("http://ecotaxoserver.obs-vlfr.fr/browsetaxo/?id=92709","92709")</f>
        <v>92709</v>
      </c>
      <c r="D512" s="23" t="str">
        <f>HYPERLINK("http://www.marinespecies.org/aphia.php?p=taxdetails&amp;id=602203","602203")</f>
        <v>602203</v>
      </c>
      <c r="E512" s="22" t="s">
        <v>932</v>
      </c>
      <c r="F512" s="22" t="s">
        <v>932</v>
      </c>
      <c r="G512" s="22" t="s">
        <v>94</v>
      </c>
      <c r="H512" s="23" t="str">
        <f>HYPERLINK("http://www.marinespecies.org/aphia.php?p=taxdetails&amp;id=602203","602203")</f>
        <v>602203</v>
      </c>
      <c r="I512" s="22" t="s">
        <v>94</v>
      </c>
      <c r="J512" s="24" t="str">
        <f t="shared" si="3"/>
        <v/>
      </c>
    </row>
    <row r="513">
      <c r="A513" s="22" t="s">
        <v>933</v>
      </c>
      <c r="B513" s="22">
        <v>50.0</v>
      </c>
      <c r="C513" s="23" t="str">
        <f>HYPERLINK("http://ecotaxoserver.obs-vlfr.fr/browsetaxo/?id=28170","28170")</f>
        <v>28170</v>
      </c>
      <c r="D513" s="23" t="str">
        <f>HYPERLINK("http://www.marinespecies.org/aphia.php?p=taxdetails&amp;id=149335","149335")</f>
        <v>149335</v>
      </c>
      <c r="E513" s="22" t="s">
        <v>119</v>
      </c>
      <c r="F513" s="22" t="s">
        <v>934</v>
      </c>
      <c r="G513" s="22" t="s">
        <v>94</v>
      </c>
      <c r="H513" s="23" t="str">
        <f>HYPERLINK("http://www.marinespecies.org/aphia.php?p=taxdetails&amp;id=149335","149335")</f>
        <v>149335</v>
      </c>
      <c r="I513" s="22" t="s">
        <v>94</v>
      </c>
      <c r="J513" s="24" t="str">
        <f t="shared" si="3"/>
        <v>!=</v>
      </c>
    </row>
    <row r="514">
      <c r="A514" s="22" t="s">
        <v>935</v>
      </c>
      <c r="B514" s="22">
        <v>11502.0</v>
      </c>
      <c r="C514" s="23" t="str">
        <f>HYPERLINK("http://ecotaxoserver.obs-vlfr.fr/browsetaxo/?id=28299","28299")</f>
        <v>28299</v>
      </c>
      <c r="D514" s="23" t="str">
        <f>HYPERLINK("http://www.marinespecies.org/aphia.php?p=taxdetails&amp;id=149111","149111")</f>
        <v>149111</v>
      </c>
      <c r="E514" s="22" t="s">
        <v>688</v>
      </c>
      <c r="F514" s="22" t="s">
        <v>689</v>
      </c>
      <c r="G514" s="22" t="s">
        <v>94</v>
      </c>
      <c r="H514" s="23" t="str">
        <f>HYPERLINK("http://www.marinespecies.org/aphia.php?p=taxdetails&amp;id=149111","149111")</f>
        <v>149111</v>
      </c>
      <c r="I514" s="22" t="s">
        <v>94</v>
      </c>
      <c r="J514" s="24" t="str">
        <f t="shared" si="3"/>
        <v>!=</v>
      </c>
    </row>
    <row r="515">
      <c r="A515" s="22" t="s">
        <v>936</v>
      </c>
      <c r="B515" s="22">
        <v>1.0</v>
      </c>
      <c r="C515" s="23" t="str">
        <f>HYPERLINK("http://ecotaxoserver.obs-vlfr.fr/browsetaxo/?id=92800","92800")</f>
        <v>92800</v>
      </c>
      <c r="D515" s="23" t="str">
        <f>HYPERLINK("http://www.marinespecies.org/aphia.php?p=taxdetails&amp;id=206221","206221")</f>
        <v>206221</v>
      </c>
      <c r="E515" s="22" t="s">
        <v>937</v>
      </c>
      <c r="F515" s="22" t="s">
        <v>937</v>
      </c>
      <c r="G515" s="22" t="s">
        <v>94</v>
      </c>
      <c r="H515" s="23" t="str">
        <f>HYPERLINK("http://www.marinespecies.org/aphia.php?p=taxdetails&amp;id=206221","206221")</f>
        <v>206221</v>
      </c>
      <c r="I515" s="22" t="s">
        <v>94</v>
      </c>
      <c r="J515" s="24" t="str">
        <f t="shared" si="3"/>
        <v/>
      </c>
    </row>
    <row r="516">
      <c r="A516" s="22" t="s">
        <v>938</v>
      </c>
      <c r="B516" s="22">
        <v>1713.0</v>
      </c>
      <c r="C516" s="23" t="str">
        <f>HYPERLINK("http://ecotaxoserver.obs-vlfr.fr/browsetaxo/?id=13947","13947")</f>
        <v>13947</v>
      </c>
      <c r="D516" s="23" t="str">
        <f>HYPERLINK("http://www.marinespecies.org/aphia.php?p=taxdetails&amp;id=109392","109392")</f>
        <v>109392</v>
      </c>
      <c r="E516" s="22" t="s">
        <v>740</v>
      </c>
      <c r="F516" s="22" t="s">
        <v>740</v>
      </c>
      <c r="G516" s="22" t="s">
        <v>94</v>
      </c>
      <c r="H516" s="23" t="str">
        <f>HYPERLINK("http://www.marinespecies.org/aphia.php?p=taxdetails&amp;id=109392","109392")</f>
        <v>109392</v>
      </c>
      <c r="I516" s="22" t="s">
        <v>94</v>
      </c>
      <c r="J516" s="24" t="str">
        <f t="shared" si="3"/>
        <v/>
      </c>
    </row>
    <row r="517">
      <c r="A517" s="22" t="s">
        <v>939</v>
      </c>
      <c r="B517" s="22">
        <v>504.0</v>
      </c>
      <c r="C517" s="23" t="str">
        <f>HYPERLINK("http://ecotaxoserver.obs-vlfr.fr/browsetaxo/?id=31777","31777")</f>
        <v>31777</v>
      </c>
      <c r="D517" s="23" t="str">
        <f>HYPERLINK("http://www.marinespecies.org/aphia.php?p=taxdetails&amp;id=109475","109475")</f>
        <v>109475</v>
      </c>
      <c r="E517" s="22" t="s">
        <v>187</v>
      </c>
      <c r="F517" s="22" t="s">
        <v>187</v>
      </c>
      <c r="G517" s="22" t="s">
        <v>94</v>
      </c>
      <c r="H517" s="23" t="str">
        <f>HYPERLINK("http://www.marinespecies.org/aphia.php?p=taxdetails&amp;id=109475","109475")</f>
        <v>109475</v>
      </c>
      <c r="I517" s="22" t="s">
        <v>94</v>
      </c>
      <c r="J517" s="24" t="str">
        <f t="shared" si="3"/>
        <v/>
      </c>
    </row>
    <row r="518">
      <c r="A518" s="22" t="s">
        <v>550</v>
      </c>
      <c r="B518" s="22">
        <v>1926.0</v>
      </c>
      <c r="C518" s="23" t="str">
        <f>HYPERLINK("http://ecotaxoserver.obs-vlfr.fr/browsetaxo/?id=26427","26427")</f>
        <v>26427</v>
      </c>
      <c r="D518" s="23" t="str">
        <f>HYPERLINK("http://www.marinespecies.org/aphia.php?p=taxdetails&amp;id=164","164")</f>
        <v>164</v>
      </c>
      <c r="E518" s="22" t="s">
        <v>940</v>
      </c>
      <c r="F518" s="22" t="s">
        <v>846</v>
      </c>
      <c r="G518" s="22" t="s">
        <v>94</v>
      </c>
      <c r="H518" s="23" t="str">
        <f>HYPERLINK("http://www.marinespecies.org/aphia.php?p=taxdetails&amp;id=164","164")</f>
        <v>164</v>
      </c>
      <c r="I518" s="22" t="s">
        <v>94</v>
      </c>
      <c r="J518" s="24" t="str">
        <f t="shared" si="3"/>
        <v>!=</v>
      </c>
    </row>
    <row r="519">
      <c r="A519" s="22" t="s">
        <v>941</v>
      </c>
      <c r="B519" s="22">
        <v>1626.0</v>
      </c>
      <c r="C519" s="23" t="str">
        <f>HYPERLINK("http://ecotaxoserver.obs-vlfr.fr/browsetaxo/?id=18765","18765")</f>
        <v>18765</v>
      </c>
      <c r="D519" s="23" t="str">
        <f>HYPERLINK("http://www.marinespecies.org/aphia.php?p=taxdetails&amp;id=109476","109476")</f>
        <v>109476</v>
      </c>
      <c r="E519" s="22" t="s">
        <v>187</v>
      </c>
      <c r="F519" s="22" t="s">
        <v>187</v>
      </c>
      <c r="G519" s="22" t="s">
        <v>94</v>
      </c>
      <c r="H519" s="23" t="str">
        <f>HYPERLINK("http://www.marinespecies.org/aphia.php?p=taxdetails&amp;id=109476","109476")</f>
        <v>109476</v>
      </c>
      <c r="I519" s="22" t="s">
        <v>94</v>
      </c>
      <c r="J519" s="24" t="str">
        <f t="shared" si="3"/>
        <v/>
      </c>
    </row>
    <row r="520">
      <c r="A520" s="22" t="s">
        <v>942</v>
      </c>
      <c r="B520" s="22">
        <v>43.0</v>
      </c>
      <c r="C520" s="23" t="str">
        <f>HYPERLINK("http://ecotaxoserver.obs-vlfr.fr/browsetaxo/?id=31556","31556")</f>
        <v>31556</v>
      </c>
      <c r="D520" s="23" t="str">
        <f>HYPERLINK("http://www.marinespecies.org/aphia.php?p=taxdetails&amp;id=109876","109876")</f>
        <v>109876</v>
      </c>
      <c r="E520" s="22" t="s">
        <v>941</v>
      </c>
      <c r="F520" s="22" t="s">
        <v>941</v>
      </c>
      <c r="G520" s="22" t="s">
        <v>94</v>
      </c>
      <c r="H520" s="23" t="str">
        <f>HYPERLINK("http://www.marinespecies.org/aphia.php?p=taxdetails&amp;id=109876","109876")</f>
        <v>109876</v>
      </c>
      <c r="I520" s="22" t="s">
        <v>94</v>
      </c>
      <c r="J520" s="24" t="str">
        <f t="shared" si="3"/>
        <v/>
      </c>
    </row>
    <row r="521">
      <c r="A521" s="22" t="s">
        <v>943</v>
      </c>
      <c r="B521" s="22">
        <v>6.0</v>
      </c>
      <c r="C521" s="23" t="str">
        <f>HYPERLINK("http://ecotaxoserver.obs-vlfr.fr/browsetaxo/?id=28168","28168")</f>
        <v>28168</v>
      </c>
      <c r="D521" s="23" t="str">
        <f>HYPERLINK("http://www.marinespecies.org/aphia.php?p=taxdetails&amp;id=149033","149033")</f>
        <v>149033</v>
      </c>
      <c r="E521" s="22" t="s">
        <v>119</v>
      </c>
      <c r="F521" s="22" t="s">
        <v>944</v>
      </c>
      <c r="G521" s="22" t="s">
        <v>94</v>
      </c>
      <c r="H521" s="23" t="str">
        <f>HYPERLINK("http://www.marinespecies.org/aphia.php?p=taxdetails&amp;id=149033","149033")</f>
        <v>149033</v>
      </c>
      <c r="I521" s="22" t="s">
        <v>94</v>
      </c>
      <c r="J521" s="24" t="str">
        <f t="shared" si="3"/>
        <v>!=</v>
      </c>
    </row>
    <row r="522">
      <c r="A522" s="22" t="s">
        <v>945</v>
      </c>
      <c r="B522" s="22">
        <v>3.0</v>
      </c>
      <c r="C522" s="23" t="str">
        <f>HYPERLINK("http://ecotaxoserver.obs-vlfr.fr/browsetaxo/?id=72864","72864")</f>
        <v>72864</v>
      </c>
      <c r="D522" s="23" t="str">
        <f>HYPERLINK("http://www.marinespecies.org/aphia.php?p=taxdetails&amp;id=106370","106370")</f>
        <v>106370</v>
      </c>
      <c r="E522" s="22" t="s">
        <v>946</v>
      </c>
      <c r="F522" s="22" t="s">
        <v>946</v>
      </c>
      <c r="G522" s="22" t="s">
        <v>94</v>
      </c>
      <c r="H522" s="23" t="str">
        <f>HYPERLINK("http://www.marinespecies.org/aphia.php?p=taxdetails&amp;id=106370","106370")</f>
        <v>106370</v>
      </c>
      <c r="I522" s="22" t="s">
        <v>94</v>
      </c>
      <c r="J522" s="24" t="str">
        <f t="shared" si="3"/>
        <v/>
      </c>
    </row>
    <row r="523">
      <c r="A523" s="22" t="s">
        <v>947</v>
      </c>
      <c r="B523" s="22">
        <v>13.0</v>
      </c>
      <c r="C523" s="23" t="str">
        <f>HYPERLINK("http://ecotaxoserver.obs-vlfr.fr/browsetaxo/?id=92904","92904")</f>
        <v>92904</v>
      </c>
      <c r="D523" s="23" t="str">
        <f>HYPERLINK("http://www.marinespecies.org/aphia.php?p=taxdetails&amp;id=125538","125538")</f>
        <v>125538</v>
      </c>
      <c r="E523" s="22" t="s">
        <v>132</v>
      </c>
      <c r="F523" s="22" t="s">
        <v>242</v>
      </c>
      <c r="G523" s="22" t="s">
        <v>94</v>
      </c>
      <c r="H523" s="23" t="str">
        <f>HYPERLINK("http://www.marinespecies.org/aphia.php?p=taxdetails&amp;id=125538","125538")</f>
        <v>125538</v>
      </c>
      <c r="I523" s="22" t="s">
        <v>94</v>
      </c>
      <c r="J523" s="24" t="str">
        <f t="shared" si="3"/>
        <v>!=</v>
      </c>
    </row>
    <row r="524">
      <c r="A524" s="22" t="s">
        <v>363</v>
      </c>
      <c r="B524" s="22">
        <v>141.0</v>
      </c>
      <c r="C524" s="23" t="str">
        <f>HYPERLINK("http://ecotaxoserver.obs-vlfr.fr/browsetaxo/?id=51391","51391")</f>
        <v>51391</v>
      </c>
      <c r="D524" s="23" t="str">
        <f>HYPERLINK("http://www.marinespecies.org/aphia.php?p=taxdetails&amp;id=16844","16844")</f>
        <v>16844</v>
      </c>
      <c r="E524" s="22" t="s">
        <v>249</v>
      </c>
      <c r="F524" s="22" t="s">
        <v>249</v>
      </c>
      <c r="G524" s="22" t="s">
        <v>94</v>
      </c>
      <c r="H524" s="23" t="str">
        <f>HYPERLINK("http://www.marinespecies.org/aphia.php?p=taxdetails&amp;id=16844","16844")</f>
        <v>16844</v>
      </c>
      <c r="I524" s="22" t="s">
        <v>94</v>
      </c>
      <c r="J524" s="24" t="str">
        <f t="shared" si="3"/>
        <v/>
      </c>
    </row>
    <row r="525">
      <c r="A525" s="22" t="s">
        <v>948</v>
      </c>
      <c r="B525" s="22">
        <v>44.0</v>
      </c>
      <c r="C525" s="23" t="str">
        <f>HYPERLINK("http://ecotaxoserver.obs-vlfr.fr/browsetaxo/?id=92138","92138")</f>
        <v>92138</v>
      </c>
      <c r="D525" s="23" t="str">
        <f>HYPERLINK("http://www.marinespecies.org/aphia.php?p=taxdetails&amp;id=204105","204105")</f>
        <v>204105</v>
      </c>
      <c r="E525" s="22" t="s">
        <v>949</v>
      </c>
      <c r="F525" s="22" t="s">
        <v>950</v>
      </c>
      <c r="G525" s="22" t="s">
        <v>94</v>
      </c>
      <c r="H525" s="23" t="str">
        <f>HYPERLINK("http://www.marinespecies.org/aphia.php?p=taxdetails&amp;id=204105","204105")</f>
        <v>204105</v>
      </c>
      <c r="I525" s="22" t="s">
        <v>94</v>
      </c>
      <c r="J525" s="24" t="str">
        <f t="shared" si="3"/>
        <v>!=</v>
      </c>
    </row>
    <row r="526">
      <c r="A526" s="22" t="s">
        <v>951</v>
      </c>
      <c r="B526" s="22">
        <v>18.0</v>
      </c>
      <c r="C526" s="23" t="str">
        <f>HYPERLINK("http://ecotaxoserver.obs-vlfr.fr/browsetaxo/?id=93378","93378")</f>
        <v>93378</v>
      </c>
      <c r="D526" s="23" t="str">
        <f>HYPERLINK("http://www.marinespecies.org/aphia.php?p=taxdetails&amp;id=127482","127482")</f>
        <v>127482</v>
      </c>
      <c r="E526" s="22" t="s">
        <v>952</v>
      </c>
      <c r="F526" s="22" t="s">
        <v>953</v>
      </c>
      <c r="G526" s="22" t="s">
        <v>94</v>
      </c>
      <c r="H526" s="23" t="str">
        <f>HYPERLINK("http://www.marinespecies.org/aphia.php?p=taxdetails&amp;id=127482","127482")</f>
        <v>127482</v>
      </c>
      <c r="I526" s="22" t="s">
        <v>94</v>
      </c>
      <c r="J526" s="24" t="str">
        <f t="shared" si="3"/>
        <v>!=</v>
      </c>
    </row>
    <row r="527">
      <c r="A527" s="22" t="s">
        <v>954</v>
      </c>
      <c r="B527" s="22">
        <v>6929.0</v>
      </c>
      <c r="C527" s="23" t="str">
        <f>HYPERLINK("http://ecotaxoserver.obs-vlfr.fr/browsetaxo/?id=80121","80121")</f>
        <v>80121</v>
      </c>
      <c r="D527" s="23" t="str">
        <f>HYPERLINK("http://www.marinespecies.org/aphia.php?p=taxdetails&amp;id=104140","104140")</f>
        <v>104140</v>
      </c>
      <c r="E527" s="22" t="s">
        <v>284</v>
      </c>
      <c r="F527" s="22" t="s">
        <v>284</v>
      </c>
      <c r="G527" s="22" t="s">
        <v>94</v>
      </c>
      <c r="H527" s="23" t="str">
        <f>HYPERLINK("http://www.marinespecies.org/aphia.php?p=taxdetails&amp;id=104140","104140")</f>
        <v>104140</v>
      </c>
      <c r="I527" s="22" t="s">
        <v>94</v>
      </c>
      <c r="J527" s="24" t="str">
        <f t="shared" si="3"/>
        <v/>
      </c>
    </row>
    <row r="528">
      <c r="A528" s="22" t="s">
        <v>955</v>
      </c>
      <c r="B528" s="22">
        <v>2.0</v>
      </c>
      <c r="C528" s="23" t="str">
        <f>HYPERLINK("http://ecotaxoserver.obs-vlfr.fr/browsetaxo/?id=92804","92804")</f>
        <v>92804</v>
      </c>
      <c r="D528" s="23" t="str">
        <f>HYPERLINK("http://www.marinespecies.org/aphia.php?p=taxdetails&amp;id=104422","104422")</f>
        <v>104422</v>
      </c>
      <c r="E528" s="22" t="s">
        <v>954</v>
      </c>
      <c r="F528" s="22" t="s">
        <v>954</v>
      </c>
      <c r="G528" s="22" t="s">
        <v>94</v>
      </c>
      <c r="H528" s="23" t="str">
        <f>HYPERLINK("http://www.marinespecies.org/aphia.php?p=taxdetails&amp;id=104422","104422")</f>
        <v>104422</v>
      </c>
      <c r="I528" s="22" t="s">
        <v>94</v>
      </c>
      <c r="J528" s="24" t="str">
        <f t="shared" si="3"/>
        <v/>
      </c>
    </row>
    <row r="529">
      <c r="A529" s="22" t="s">
        <v>956</v>
      </c>
      <c r="B529" s="22">
        <v>804.0</v>
      </c>
      <c r="C529" s="23" t="str">
        <f>HYPERLINK("http://ecotaxoserver.obs-vlfr.fr/browsetaxo/?id=12404","12404")</f>
        <v>12404</v>
      </c>
      <c r="D529" s="23" t="str">
        <f>HYPERLINK("http://www.marinespecies.org/aphia.php?p=taxdetails&amp;id=134528","134528")</f>
        <v>134528</v>
      </c>
      <c r="E529" s="22" t="s">
        <v>957</v>
      </c>
      <c r="F529" s="22" t="s">
        <v>958</v>
      </c>
      <c r="G529" s="22" t="s">
        <v>94</v>
      </c>
      <c r="H529" s="23" t="str">
        <f>HYPERLINK("http://www.marinespecies.org/aphia.php?p=taxdetails&amp;id=134528","134528")</f>
        <v>134528</v>
      </c>
      <c r="I529" s="22" t="s">
        <v>94</v>
      </c>
      <c r="J529" s="24" t="str">
        <f t="shared" si="3"/>
        <v>!=</v>
      </c>
    </row>
    <row r="530">
      <c r="A530" s="22" t="s">
        <v>959</v>
      </c>
      <c r="B530" s="22">
        <v>1.0</v>
      </c>
      <c r="C530" s="23" t="str">
        <f>HYPERLINK("http://ecotaxoserver.obs-vlfr.fr/browsetaxo/?id=93325","93325")</f>
        <v>93325</v>
      </c>
      <c r="D530" s="23" t="str">
        <f>HYPERLINK("http://www.marinespecies.org/aphia.php?p=taxdetails&amp;id=341430","341430")</f>
        <v>341430</v>
      </c>
      <c r="E530" s="22" t="s">
        <v>196</v>
      </c>
      <c r="F530" s="22" t="s">
        <v>196</v>
      </c>
      <c r="G530" s="22" t="s">
        <v>94</v>
      </c>
      <c r="H530" s="23" t="str">
        <f>HYPERLINK("http://www.marinespecies.org/aphia.php?p=taxdetails&amp;id=341430","341430")</f>
        <v>341430</v>
      </c>
      <c r="I530" s="22" t="s">
        <v>94</v>
      </c>
      <c r="J530" s="24" t="str">
        <f t="shared" si="3"/>
        <v/>
      </c>
    </row>
    <row r="531">
      <c r="A531" s="22" t="s">
        <v>960</v>
      </c>
      <c r="B531" s="22">
        <v>2.0</v>
      </c>
      <c r="C531" s="23" t="str">
        <f>HYPERLINK("http://ecotaxoserver.obs-vlfr.fr/browsetaxo/?id=358","358")</f>
        <v>358</v>
      </c>
      <c r="D531" s="23" t="str">
        <f>HYPERLINK("http://www.marinespecies.org/aphia.php?p=taxdetails&amp;id=369190","369190")</f>
        <v>369190</v>
      </c>
      <c r="E531" s="22" t="s">
        <v>636</v>
      </c>
      <c r="F531" s="22" t="s">
        <v>637</v>
      </c>
      <c r="G531" s="22" t="s">
        <v>94</v>
      </c>
      <c r="H531" s="23" t="str">
        <f>HYPERLINK("http://www.marinespecies.org/aphia.php?p=taxdetails&amp;id=369190","369190")</f>
        <v>369190</v>
      </c>
      <c r="I531" s="22" t="s">
        <v>94</v>
      </c>
      <c r="J531" s="24" t="str">
        <f t="shared" si="3"/>
        <v>!=</v>
      </c>
    </row>
    <row r="532">
      <c r="A532" s="22" t="s">
        <v>961</v>
      </c>
      <c r="B532" s="22">
        <v>33674.0</v>
      </c>
      <c r="C532" s="23" t="str">
        <f>HYPERLINK("http://ecotaxoserver.obs-vlfr.fr/browsetaxo/?id=5","5")</f>
        <v>5</v>
      </c>
      <c r="D532" s="23" t="str">
        <f>HYPERLINK("http://www.marinespecies.org/aphia.php?p=taxdetails&amp;id=582419","582419")</f>
        <v>582419</v>
      </c>
      <c r="E532" s="22" t="s">
        <v>181</v>
      </c>
      <c r="F532" s="22" t="s">
        <v>962</v>
      </c>
      <c r="G532" s="22" t="s">
        <v>94</v>
      </c>
      <c r="H532" s="23" t="str">
        <f>HYPERLINK("http://www.marinespecies.org/aphia.php?p=taxdetails&amp;id=582419","582419")</f>
        <v>582419</v>
      </c>
      <c r="I532" s="22" t="s">
        <v>94</v>
      </c>
      <c r="J532" s="24" t="str">
        <f t="shared" si="3"/>
        <v>!=</v>
      </c>
    </row>
    <row r="533">
      <c r="A533" s="22" t="s">
        <v>842</v>
      </c>
      <c r="B533" s="22">
        <v>52637.0</v>
      </c>
      <c r="C533" s="23" t="str">
        <f>HYPERLINK("http://ecotaxoserver.obs-vlfr.fr/browsetaxo/?id=45071","45071")</f>
        <v>45071</v>
      </c>
      <c r="D533" s="23" t="str">
        <f>HYPERLINK("http://www.marinespecies.org/aphia.php?p=taxdetails&amp;id=1102","1102")</f>
        <v>1102</v>
      </c>
      <c r="E533" s="22" t="s">
        <v>383</v>
      </c>
      <c r="F533" s="22" t="s">
        <v>656</v>
      </c>
      <c r="G533" s="22" t="s">
        <v>94</v>
      </c>
      <c r="H533" s="23" t="str">
        <f>HYPERLINK("http://www.marinespecies.org/aphia.php?p=taxdetails&amp;id=1102","1102")</f>
        <v>1102</v>
      </c>
      <c r="I533" s="22" t="s">
        <v>94</v>
      </c>
      <c r="J533" s="24" t="str">
        <f t="shared" si="3"/>
        <v>!=</v>
      </c>
    </row>
    <row r="534">
      <c r="A534" s="22" t="s">
        <v>963</v>
      </c>
      <c r="B534" s="22">
        <v>2.0</v>
      </c>
      <c r="C534" s="23" t="str">
        <f>HYPERLINK("http://ecotaxoserver.obs-vlfr.fr/browsetaxo/?id=28166","28166")</f>
        <v>28166</v>
      </c>
      <c r="D534" s="23" t="str">
        <f>HYPERLINK("http://www.marinespecies.org/aphia.php?p=taxdetails&amp;id=149210","149210")</f>
        <v>149210</v>
      </c>
      <c r="E534" s="22" t="s">
        <v>119</v>
      </c>
      <c r="F534" s="22" t="s">
        <v>964</v>
      </c>
      <c r="G534" s="22" t="s">
        <v>94</v>
      </c>
      <c r="H534" s="23" t="str">
        <f>HYPERLINK("http://www.marinespecies.org/aphia.php?p=taxdetails&amp;id=149210","149210")</f>
        <v>149210</v>
      </c>
      <c r="I534" s="22" t="s">
        <v>94</v>
      </c>
      <c r="J534" s="24" t="str">
        <f t="shared" si="3"/>
        <v>!=</v>
      </c>
    </row>
    <row r="535">
      <c r="A535" s="22" t="s">
        <v>965</v>
      </c>
      <c r="B535" s="22">
        <v>102.0</v>
      </c>
      <c r="C535" s="23" t="str">
        <f>HYPERLINK("http://ecotaxoserver.obs-vlfr.fr/browsetaxo/?id=54946","54946")</f>
        <v>54946</v>
      </c>
      <c r="D535" s="23" t="str">
        <f>HYPERLINK("http://www.marinespecies.org/aphia.php?p=taxdetails&amp;id=112209","112209")</f>
        <v>112209</v>
      </c>
      <c r="E535" s="22" t="s">
        <v>905</v>
      </c>
      <c r="F535" s="22" t="s">
        <v>966</v>
      </c>
      <c r="G535" s="22" t="s">
        <v>94</v>
      </c>
      <c r="H535" s="23" t="str">
        <f>HYPERLINK("http://www.marinespecies.org/aphia.php?p=taxdetails&amp;id=112209","112209")</f>
        <v>112209</v>
      </c>
      <c r="I535" s="22" t="s">
        <v>94</v>
      </c>
      <c r="J535" s="24" t="str">
        <f t="shared" si="3"/>
        <v>!=</v>
      </c>
    </row>
    <row r="536">
      <c r="A536" s="22" t="s">
        <v>967</v>
      </c>
      <c r="B536" s="22">
        <v>1.0</v>
      </c>
      <c r="C536" s="23" t="str">
        <f>HYPERLINK("http://ecotaxoserver.obs-vlfr.fr/browsetaxo/?id=27383","27383")</f>
        <v>27383</v>
      </c>
      <c r="D536" s="23" t="str">
        <f>HYPERLINK("http://www.marinespecies.org/aphia.php?p=taxdetails&amp;id=615435","615435")</f>
        <v>615435</v>
      </c>
      <c r="E536" s="22" t="s">
        <v>968</v>
      </c>
      <c r="F536" s="22" t="s">
        <v>968</v>
      </c>
      <c r="G536" s="22" t="s">
        <v>94</v>
      </c>
      <c r="H536" s="23" t="str">
        <f>HYPERLINK("http://www.marinespecies.org/aphia.php?p=taxdetails&amp;id=615435","615435")</f>
        <v>615435</v>
      </c>
      <c r="I536" s="22" t="s">
        <v>94</v>
      </c>
      <c r="J536" s="24" t="str">
        <f t="shared" si="3"/>
        <v/>
      </c>
    </row>
    <row r="537">
      <c r="A537" s="22" t="s">
        <v>969</v>
      </c>
      <c r="B537" s="22">
        <v>1.0</v>
      </c>
      <c r="C537" s="23" t="str">
        <f>HYPERLINK("http://ecotaxoserver.obs-vlfr.fr/browsetaxo/?id=88094","88094")</f>
        <v>88094</v>
      </c>
      <c r="D537" s="23" t="str">
        <f>HYPERLINK("http://www.marinespecies.org/aphia.php?p=taxdetails&amp;id=137976","137976")</f>
        <v>137976</v>
      </c>
      <c r="E537" s="22" t="s">
        <v>381</v>
      </c>
      <c r="F537" s="22" t="s">
        <v>970</v>
      </c>
      <c r="G537" s="22" t="s">
        <v>94</v>
      </c>
      <c r="H537" s="23" t="str">
        <f>HYPERLINK("http://www.marinespecies.org/aphia.php?p=taxdetails&amp;id=137976","137976")</f>
        <v>137976</v>
      </c>
      <c r="I537" s="22" t="s">
        <v>94</v>
      </c>
      <c r="J537" s="24" t="str">
        <f t="shared" si="3"/>
        <v>!=</v>
      </c>
    </row>
    <row r="538">
      <c r="A538" s="22" t="s">
        <v>543</v>
      </c>
      <c r="B538" s="22">
        <v>295.0</v>
      </c>
      <c r="C538" s="23" t="str">
        <f>HYPERLINK("http://ecotaxoserver.obs-vlfr.fr/browsetaxo/?id=92213","92213")</f>
        <v>92213</v>
      </c>
      <c r="D538" s="23" t="str">
        <f>HYPERLINK("http://www.marinespecies.org/aphia.php?p=taxdetails&amp;id=149234","149234")</f>
        <v>149234</v>
      </c>
      <c r="E538" s="22" t="s">
        <v>266</v>
      </c>
      <c r="F538" s="22" t="s">
        <v>971</v>
      </c>
      <c r="G538" s="22" t="s">
        <v>94</v>
      </c>
      <c r="H538" s="23" t="str">
        <f>HYPERLINK("http://www.marinespecies.org/aphia.php?p=taxdetails&amp;id=149234","149234")</f>
        <v>149234</v>
      </c>
      <c r="I538" s="22" t="s">
        <v>94</v>
      </c>
      <c r="J538" s="24" t="str">
        <f t="shared" si="3"/>
        <v>!=</v>
      </c>
    </row>
    <row r="539">
      <c r="A539" s="22" t="s">
        <v>972</v>
      </c>
      <c r="B539" s="22">
        <v>4622.0</v>
      </c>
      <c r="C539" s="23" t="str">
        <f>HYPERLINK("http://ecotaxoserver.obs-vlfr.fr/browsetaxo/?id=28244","28244")</f>
        <v>28244</v>
      </c>
      <c r="D539" s="23" t="str">
        <f>HYPERLINK("http://www.marinespecies.org/aphia.php?p=taxdetails&amp;id=163248","163248")</f>
        <v>163248</v>
      </c>
      <c r="E539" s="22" t="s">
        <v>281</v>
      </c>
      <c r="F539" s="22" t="s">
        <v>451</v>
      </c>
      <c r="G539" s="22" t="s">
        <v>94</v>
      </c>
      <c r="H539" s="23" t="str">
        <f>HYPERLINK("http://www.marinespecies.org/aphia.php?p=taxdetails&amp;id=163248","163248")</f>
        <v>163248</v>
      </c>
      <c r="I539" s="22" t="s">
        <v>94</v>
      </c>
      <c r="J539" s="24" t="str">
        <f t="shared" si="3"/>
        <v>!=</v>
      </c>
    </row>
    <row r="540">
      <c r="A540" s="22" t="s">
        <v>973</v>
      </c>
      <c r="B540" s="22">
        <v>93.0</v>
      </c>
      <c r="C540" s="23" t="str">
        <f>HYPERLINK("http://ecotaxoserver.obs-vlfr.fr/browsetaxo/?id=11504","11504")</f>
        <v>11504</v>
      </c>
      <c r="D540" s="23" t="str">
        <f>HYPERLINK("http://www.marinespecies.org/aphia.php?p=taxdetails&amp;id=1818","1818")</f>
        <v>1818</v>
      </c>
      <c r="E540" s="22" t="s">
        <v>223</v>
      </c>
      <c r="F540" s="22" t="s">
        <v>224</v>
      </c>
      <c r="G540" s="22" t="s">
        <v>94</v>
      </c>
      <c r="H540" s="23" t="str">
        <f>HYPERLINK("http://www.marinespecies.org/aphia.php?p=taxdetails&amp;id=1818","1818")</f>
        <v>1818</v>
      </c>
      <c r="I540" s="22" t="s">
        <v>94</v>
      </c>
      <c r="J540" s="24" t="str">
        <f t="shared" si="3"/>
        <v>!=</v>
      </c>
    </row>
    <row r="541">
      <c r="A541" s="22" t="s">
        <v>974</v>
      </c>
      <c r="B541" s="22">
        <v>17980.0</v>
      </c>
      <c r="C541" s="23" t="str">
        <f>HYPERLINK("http://ecotaxoserver.obs-vlfr.fr/browsetaxo/?id=81967","81967")</f>
        <v>81967</v>
      </c>
      <c r="D541" s="23" t="str">
        <f>HYPERLINK("http://www.marinespecies.org/aphia.php?p=taxdetails&amp;id=394447","394447")</f>
        <v>394447</v>
      </c>
      <c r="E541" s="22" t="s">
        <v>975</v>
      </c>
      <c r="F541" s="22" t="s">
        <v>975</v>
      </c>
      <c r="G541" s="22" t="s">
        <v>94</v>
      </c>
      <c r="H541" s="23" t="str">
        <f>HYPERLINK("http://www.marinespecies.org/aphia.php?p=taxdetails&amp;id=394447","394447")</f>
        <v>394447</v>
      </c>
      <c r="I541" s="22" t="s">
        <v>94</v>
      </c>
      <c r="J541" s="24" t="str">
        <f t="shared" si="3"/>
        <v/>
      </c>
    </row>
    <row r="542">
      <c r="A542" s="22" t="s">
        <v>976</v>
      </c>
      <c r="B542" s="22">
        <v>22.0</v>
      </c>
      <c r="C542" s="23" t="str">
        <f>HYPERLINK("http://ecotaxoserver.obs-vlfr.fr/browsetaxo/?id=92343","92343")</f>
        <v>92343</v>
      </c>
      <c r="D542" s="23" t="str">
        <f>HYPERLINK("http://www.marinespecies.org/aphia.php?p=taxdetails&amp;id=180367","180367")</f>
        <v>180367</v>
      </c>
      <c r="E542" s="22" t="s">
        <v>128</v>
      </c>
      <c r="F542" s="22" t="s">
        <v>977</v>
      </c>
      <c r="G542" s="22" t="s">
        <v>94</v>
      </c>
      <c r="H542" s="23" t="str">
        <f>HYPERLINK("http://www.marinespecies.org/aphia.php?p=taxdetails&amp;id=180367","180367")</f>
        <v>180367</v>
      </c>
      <c r="I542" s="22" t="s">
        <v>94</v>
      </c>
      <c r="J542" s="24" t="str">
        <f t="shared" si="3"/>
        <v>!=</v>
      </c>
    </row>
    <row r="543">
      <c r="A543" s="22" t="s">
        <v>978</v>
      </c>
      <c r="B543" s="22">
        <v>2.0</v>
      </c>
      <c r="C543" s="23" t="str">
        <f>HYPERLINK("http://ecotaxoserver.obs-vlfr.fr/browsetaxo/?id=92905","92905")</f>
        <v>92905</v>
      </c>
      <c r="D543" s="23" t="str">
        <f>HYPERLINK("http://www.marinespecies.org/aphia.php?p=taxdetails&amp;id=125453","125453")</f>
        <v>125453</v>
      </c>
      <c r="E543" s="22" t="s">
        <v>132</v>
      </c>
      <c r="F543" s="22" t="s">
        <v>860</v>
      </c>
      <c r="G543" s="22" t="s">
        <v>94</v>
      </c>
      <c r="H543" s="23" t="str">
        <f>HYPERLINK("http://www.marinespecies.org/aphia.php?p=taxdetails&amp;id=125453","125453")</f>
        <v>125453</v>
      </c>
      <c r="I543" s="22" t="s">
        <v>94</v>
      </c>
      <c r="J543" s="24" t="str">
        <f t="shared" si="3"/>
        <v>!=</v>
      </c>
    </row>
    <row r="544">
      <c r="A544" s="22" t="s">
        <v>979</v>
      </c>
      <c r="B544" s="22">
        <v>1.0</v>
      </c>
      <c r="C544" s="23" t="str">
        <f>HYPERLINK("http://ecotaxoserver.obs-vlfr.fr/browsetaxo/?id=93273","93273")</f>
        <v>93273</v>
      </c>
      <c r="D544" s="23" t="str">
        <f>HYPERLINK("http://www.marinespecies.org/aphia.php?p=taxdetails&amp;id=125695","125695")</f>
        <v>125695</v>
      </c>
      <c r="E544" s="22" t="s">
        <v>978</v>
      </c>
      <c r="F544" s="22" t="s">
        <v>978</v>
      </c>
      <c r="G544" s="22" t="s">
        <v>94</v>
      </c>
      <c r="H544" s="23" t="str">
        <f>HYPERLINK("http://www.marinespecies.org/aphia.php?p=taxdetails&amp;id=125695","125695")</f>
        <v>125695</v>
      </c>
      <c r="I544" s="22" t="s">
        <v>94</v>
      </c>
      <c r="J544" s="24" t="str">
        <f t="shared" si="3"/>
        <v/>
      </c>
    </row>
    <row r="545">
      <c r="A545" s="22" t="s">
        <v>980</v>
      </c>
      <c r="B545" s="22">
        <v>42.0</v>
      </c>
      <c r="C545" s="23" t="str">
        <f>HYPERLINK("http://ecotaxoserver.obs-vlfr.fr/browsetaxo/?id=47952","47952")</f>
        <v>47952</v>
      </c>
      <c r="D545" s="23" t="str">
        <f>HYPERLINK("http://www.marinespecies.org/aphia.php?p=taxdetails&amp;id=593157","593157")</f>
        <v>593157</v>
      </c>
      <c r="E545" s="22" t="s">
        <v>499</v>
      </c>
      <c r="F545" s="22" t="s">
        <v>981</v>
      </c>
      <c r="G545" s="22" t="s">
        <v>94</v>
      </c>
      <c r="H545" s="23" t="str">
        <f>HYPERLINK("http://www.marinespecies.org/aphia.php?p=taxdetails&amp;id=593157","593157")</f>
        <v>593157</v>
      </c>
      <c r="I545" s="22" t="s">
        <v>94</v>
      </c>
      <c r="J545" s="24" t="str">
        <f t="shared" si="3"/>
        <v>!=</v>
      </c>
    </row>
    <row r="546">
      <c r="A546" s="22" t="s">
        <v>982</v>
      </c>
      <c r="B546" s="22">
        <v>117.0</v>
      </c>
      <c r="C546" s="23" t="str">
        <f>HYPERLINK("http://ecotaxoserver.obs-vlfr.fr/browsetaxo/?id=16799","16799")</f>
        <v>16799</v>
      </c>
      <c r="D546" s="23" t="str">
        <f>HYPERLINK("http://www.marinespecies.org/aphia.php?p=taxdetails&amp;id=14712","14712")</f>
        <v>14712</v>
      </c>
      <c r="E546" s="22" t="s">
        <v>275</v>
      </c>
      <c r="F546" s="22" t="s">
        <v>275</v>
      </c>
      <c r="G546" s="22" t="s">
        <v>94</v>
      </c>
      <c r="H546" s="23" t="str">
        <f>HYPERLINK("http://www.marinespecies.org/aphia.php?p=taxdetails&amp;id=14712","14712")</f>
        <v>14712</v>
      </c>
      <c r="I546" s="22" t="s">
        <v>94</v>
      </c>
      <c r="J546" s="24" t="str">
        <f t="shared" si="3"/>
        <v/>
      </c>
    </row>
    <row r="547">
      <c r="A547" s="22" t="s">
        <v>983</v>
      </c>
      <c r="B547" s="22">
        <v>139.0</v>
      </c>
      <c r="C547" s="23" t="str">
        <f>HYPERLINK("http://ecotaxoserver.obs-vlfr.fr/browsetaxo/?id=18763","18763")</f>
        <v>18763</v>
      </c>
      <c r="D547" s="23" t="str">
        <f>HYPERLINK("http://www.marinespecies.org/aphia.php?p=taxdetails&amp;id=109540","109540")</f>
        <v>109540</v>
      </c>
      <c r="E547" s="22" t="s">
        <v>984</v>
      </c>
      <c r="F547" s="22" t="s">
        <v>984</v>
      </c>
      <c r="G547" s="22" t="s">
        <v>94</v>
      </c>
      <c r="H547" s="23" t="str">
        <f>HYPERLINK("http://www.marinespecies.org/aphia.php?p=taxdetails&amp;id=109540","109540")</f>
        <v>109540</v>
      </c>
      <c r="I547" s="22" t="s">
        <v>94</v>
      </c>
      <c r="J547" s="24" t="str">
        <f t="shared" si="3"/>
        <v/>
      </c>
    </row>
    <row r="548">
      <c r="A548" s="22" t="s">
        <v>985</v>
      </c>
      <c r="B548" s="22">
        <v>1.0</v>
      </c>
      <c r="C548" s="23" t="str">
        <f>HYPERLINK("http://ecotaxoserver.obs-vlfr.fr/browsetaxo/?id=78978","78978")</f>
        <v>78978</v>
      </c>
      <c r="D548" s="23" t="str">
        <f>HYPERLINK("http://www.marinespecies.org/aphia.php?p=taxdetails&amp;id=233625","233625")</f>
        <v>233625</v>
      </c>
      <c r="E548" s="22" t="s">
        <v>986</v>
      </c>
      <c r="F548" s="22" t="s">
        <v>983</v>
      </c>
      <c r="G548" s="22" t="s">
        <v>94</v>
      </c>
      <c r="H548" s="23" t="str">
        <f>HYPERLINK("http://www.marinespecies.org/aphia.php?p=taxdetails&amp;id=233625","233625")</f>
        <v>233625</v>
      </c>
      <c r="I548" s="22" t="s">
        <v>94</v>
      </c>
      <c r="J548" s="24" t="str">
        <f t="shared" si="3"/>
        <v>!=</v>
      </c>
    </row>
    <row r="549">
      <c r="A549" s="22" t="s">
        <v>987</v>
      </c>
      <c r="B549" s="22">
        <v>24811.0</v>
      </c>
      <c r="C549" s="23" t="str">
        <f>HYPERLINK("http://ecotaxoserver.obs-vlfr.fr/browsetaxo/?id=78968","78968")</f>
        <v>78968</v>
      </c>
      <c r="D549" s="23" t="str">
        <f>HYPERLINK("http://www.marinespecies.org/aphia.php?p=taxdetails&amp;id=110152","110152")</f>
        <v>110152</v>
      </c>
      <c r="E549" s="22" t="s">
        <v>983</v>
      </c>
      <c r="F549" s="22" t="s">
        <v>983</v>
      </c>
      <c r="G549" s="22" t="s">
        <v>94</v>
      </c>
      <c r="H549" s="23" t="str">
        <f>HYPERLINK("http://www.marinespecies.org/aphia.php?p=taxdetails&amp;id=110152","110152")</f>
        <v>110152</v>
      </c>
      <c r="I549" s="22" t="s">
        <v>94</v>
      </c>
      <c r="J549" s="24" t="str">
        <f t="shared" si="3"/>
        <v/>
      </c>
    </row>
    <row r="550">
      <c r="A550" s="28" t="s">
        <v>984</v>
      </c>
      <c r="C550" s="23" t="str">
        <f>HYPERLINK("http://ecotaxoserver.obs-vlfr.fr/browsetaxo/?id=31807","31807")</f>
        <v>31807</v>
      </c>
      <c r="D550" s="23" t="str">
        <f>HYPERLINK("http://www.marinespecies.org/aphia.php?p=taxdetails&amp;id=231800","231800")</f>
        <v>231800</v>
      </c>
      <c r="H550" s="23" t="str">
        <f>HYPERLINK("http://www.marinespecies.org/aphia.php?p=taxdetails&amp;id=231800","231800")</f>
        <v>231800</v>
      </c>
      <c r="J550" s="24"/>
    </row>
    <row r="551">
      <c r="A551" s="22" t="s">
        <v>988</v>
      </c>
      <c r="B551" s="22">
        <v>5.0</v>
      </c>
      <c r="C551" s="23" t="str">
        <f>HYPERLINK("http://ecotaxoserver.obs-vlfr.fr/browsetaxo/?id=18762","18762")</f>
        <v>18762</v>
      </c>
      <c r="D551" s="23" t="str">
        <f>HYPERLINK("http://www.marinespecies.org/aphia.php?p=taxdetails&amp;id=109522","109522")</f>
        <v>109522</v>
      </c>
      <c r="E551" s="22" t="s">
        <v>300</v>
      </c>
      <c r="F551" s="22" t="s">
        <v>989</v>
      </c>
      <c r="G551" s="22" t="s">
        <v>94</v>
      </c>
      <c r="H551" s="23" t="str">
        <f>HYPERLINK("http://www.marinespecies.org/aphia.php?p=taxdetails&amp;id=109522","109522")</f>
        <v>109522</v>
      </c>
      <c r="I551" s="22" t="s">
        <v>94</v>
      </c>
      <c r="J551" s="24" t="str">
        <f t="shared" ref="J551:J706" si="4">IF(E551&lt;&gt;F551,"!=","")</f>
        <v>!=</v>
      </c>
    </row>
    <row r="552">
      <c r="A552" s="22" t="s">
        <v>990</v>
      </c>
      <c r="B552" s="22">
        <v>6560.0</v>
      </c>
      <c r="C552" s="23" t="str">
        <f>HYPERLINK("http://ecotaxoserver.obs-vlfr.fr/browsetaxo/?id=61985","61985")</f>
        <v>61985</v>
      </c>
      <c r="D552" s="23" t="str">
        <f>HYPERLINK("http://www.marinespecies.org/aphia.php?p=taxdetails&amp;id=104087","104087")</f>
        <v>104087</v>
      </c>
      <c r="E552" s="22" t="s">
        <v>111</v>
      </c>
      <c r="F552" s="22" t="s">
        <v>111</v>
      </c>
      <c r="G552" s="22" t="s">
        <v>94</v>
      </c>
      <c r="H552" s="23" t="str">
        <f>HYPERLINK("http://www.marinespecies.org/aphia.php?p=taxdetails&amp;id=104087","104087")</f>
        <v>104087</v>
      </c>
      <c r="I552" s="22" t="s">
        <v>94</v>
      </c>
      <c r="J552" s="24" t="str">
        <f t="shared" si="4"/>
        <v/>
      </c>
    </row>
    <row r="553">
      <c r="A553" s="22" t="s">
        <v>991</v>
      </c>
      <c r="B553" s="22">
        <v>938.0</v>
      </c>
      <c r="C553" s="23" t="str">
        <f>HYPERLINK("http://ecotaxoserver.obs-vlfr.fr/browsetaxo/?id=80151","80151")</f>
        <v>80151</v>
      </c>
      <c r="D553" s="23" t="str">
        <f>HYPERLINK("http://www.marinespecies.org/aphia.php?p=taxdetails&amp;id=104178","104178")</f>
        <v>104178</v>
      </c>
      <c r="E553" s="22" t="s">
        <v>990</v>
      </c>
      <c r="F553" s="22" t="s">
        <v>990</v>
      </c>
      <c r="G553" s="22" t="s">
        <v>94</v>
      </c>
      <c r="H553" s="23" t="str">
        <f>HYPERLINK("http://www.marinespecies.org/aphia.php?p=taxdetails&amp;id=104178","104178")</f>
        <v>104178</v>
      </c>
      <c r="I553" s="22" t="s">
        <v>94</v>
      </c>
      <c r="J553" s="24" t="str">
        <f t="shared" si="4"/>
        <v/>
      </c>
    </row>
    <row r="554">
      <c r="A554" s="22" t="s">
        <v>992</v>
      </c>
      <c r="B554" s="22">
        <v>95.0</v>
      </c>
      <c r="C554" s="23" t="str">
        <f>HYPERLINK("http://ecotaxoserver.obs-vlfr.fr/browsetaxo/?id=92758","92758")</f>
        <v>92758</v>
      </c>
      <c r="D554" s="23" t="str">
        <f>HYPERLINK("http://www.marinespecies.org/aphia.php?p=taxdetails&amp;id=104579","104579")</f>
        <v>104579</v>
      </c>
      <c r="E554" s="22" t="s">
        <v>991</v>
      </c>
      <c r="F554" s="22" t="s">
        <v>991</v>
      </c>
      <c r="G554" s="22" t="s">
        <v>94</v>
      </c>
      <c r="H554" s="23" t="str">
        <f>HYPERLINK("http://www.marinespecies.org/aphia.php?p=taxdetails&amp;id=104579","104579")</f>
        <v>104579</v>
      </c>
      <c r="I554" s="22" t="s">
        <v>94</v>
      </c>
      <c r="J554" s="24" t="str">
        <f t="shared" si="4"/>
        <v/>
      </c>
    </row>
    <row r="555">
      <c r="A555" s="22" t="s">
        <v>993</v>
      </c>
      <c r="B555" s="22">
        <v>3.0</v>
      </c>
      <c r="C555" s="23" t="str">
        <f>HYPERLINK("http://ecotaxoserver.obs-vlfr.fr/browsetaxo/?id=12845","12845")</f>
        <v>12845</v>
      </c>
      <c r="D555" s="23" t="str">
        <f>HYPERLINK("http://www.marinespecies.org/aphia.php?p=taxdetails&amp;id=1278","1278")</f>
        <v>1278</v>
      </c>
      <c r="E555" s="22" t="s">
        <v>252</v>
      </c>
      <c r="F555" s="22" t="s">
        <v>252</v>
      </c>
      <c r="G555" s="22" t="s">
        <v>94</v>
      </c>
      <c r="H555" s="23" t="str">
        <f>HYPERLINK("http://www.marinespecies.org/aphia.php?p=taxdetails&amp;id=1278","1278")</f>
        <v>1278</v>
      </c>
      <c r="I555" s="22" t="s">
        <v>94</v>
      </c>
      <c r="J555" s="24" t="str">
        <f t="shared" si="4"/>
        <v/>
      </c>
    </row>
    <row r="556">
      <c r="A556" s="22" t="s">
        <v>994</v>
      </c>
      <c r="B556" s="22">
        <v>1.0</v>
      </c>
      <c r="C556" s="23" t="str">
        <f>HYPERLINK("http://ecotaxoserver.obs-vlfr.fr/browsetaxo/?id=93149","93149")</f>
        <v>93149</v>
      </c>
      <c r="D556" s="23" t="str">
        <f>HYPERLINK("http://www.marinespecies.org/aphia.php?p=taxdetails&amp;id=159445","159445")</f>
        <v>159445</v>
      </c>
      <c r="E556" s="22" t="s">
        <v>995</v>
      </c>
      <c r="F556" s="22" t="s">
        <v>995</v>
      </c>
      <c r="G556" s="22" t="s">
        <v>94</v>
      </c>
      <c r="H556" s="23" t="str">
        <f>HYPERLINK("http://www.marinespecies.org/aphia.php?p=taxdetails&amp;id=159445","159445")</f>
        <v>159445</v>
      </c>
      <c r="I556" s="22" t="s">
        <v>94</v>
      </c>
      <c r="J556" s="24" t="str">
        <f t="shared" si="4"/>
        <v/>
      </c>
    </row>
    <row r="557">
      <c r="A557" s="22" t="s">
        <v>996</v>
      </c>
      <c r="B557" s="22">
        <v>1.0</v>
      </c>
      <c r="C557" s="23" t="str">
        <f>HYPERLINK("http://ecotaxoserver.obs-vlfr.fr/browsetaxo/?id=93211","93211")</f>
        <v>93211</v>
      </c>
      <c r="D557" s="23" t="str">
        <f>HYPERLINK("http://www.marinespecies.org/aphia.php?p=taxdetails&amp;id=106777","106777")</f>
        <v>106777</v>
      </c>
      <c r="E557" s="22" t="s">
        <v>997</v>
      </c>
      <c r="F557" s="22" t="s">
        <v>997</v>
      </c>
      <c r="G557" s="22" t="s">
        <v>94</v>
      </c>
      <c r="H557" s="23" t="str">
        <f>HYPERLINK("http://www.marinespecies.org/aphia.php?p=taxdetails&amp;id=106777","106777")</f>
        <v>106777</v>
      </c>
      <c r="I557" s="22" t="s">
        <v>94</v>
      </c>
      <c r="J557" s="24" t="str">
        <f t="shared" si="4"/>
        <v/>
      </c>
    </row>
    <row r="558">
      <c r="A558" s="22" t="s">
        <v>998</v>
      </c>
      <c r="B558" s="22">
        <v>155.0</v>
      </c>
      <c r="C558" s="23" t="str">
        <f>HYPERLINK("http://ecotaxoserver.obs-vlfr.fr/browsetaxo/?id=72395","72395")</f>
        <v>72395</v>
      </c>
      <c r="D558" s="23" t="str">
        <f>HYPERLINK("http://www.marinespecies.org/aphia.php?p=taxdetails&amp;id=135339","135339")</f>
        <v>135339</v>
      </c>
      <c r="E558" s="22" t="s">
        <v>96</v>
      </c>
      <c r="F558" s="22" t="s">
        <v>96</v>
      </c>
      <c r="G558" s="22" t="s">
        <v>94</v>
      </c>
      <c r="H558" s="23" t="str">
        <f>HYPERLINK("http://www.marinespecies.org/aphia.php?p=taxdetails&amp;id=135339","135339")</f>
        <v>135339</v>
      </c>
      <c r="I558" s="22" t="s">
        <v>94</v>
      </c>
      <c r="J558" s="24" t="str">
        <f t="shared" si="4"/>
        <v/>
      </c>
    </row>
    <row r="559">
      <c r="A559" s="22" t="s">
        <v>999</v>
      </c>
      <c r="B559" s="22">
        <v>1.0</v>
      </c>
      <c r="C559" s="23" t="str">
        <f>HYPERLINK("http://ecotaxoserver.obs-vlfr.fr/browsetaxo/?id=83288","83288")</f>
        <v>83288</v>
      </c>
      <c r="D559" s="23" t="str">
        <f>HYPERLINK("http://www.marinespecies.org/aphia.php?p=taxdetails&amp;id=135449","135449")</f>
        <v>135449</v>
      </c>
      <c r="E559" s="22" t="s">
        <v>1000</v>
      </c>
      <c r="F559" s="22" t="s">
        <v>1000</v>
      </c>
      <c r="G559" s="22" t="s">
        <v>94</v>
      </c>
      <c r="H559" s="23" t="str">
        <f>HYPERLINK("http://www.marinespecies.org/aphia.php?p=taxdetails&amp;id=135449","135449")</f>
        <v>135449</v>
      </c>
      <c r="I559" s="22" t="s">
        <v>94</v>
      </c>
      <c r="J559" s="24" t="str">
        <f t="shared" si="4"/>
        <v/>
      </c>
    </row>
    <row r="560">
      <c r="A560" s="22" t="s">
        <v>1001</v>
      </c>
      <c r="B560" s="22">
        <v>22.0</v>
      </c>
      <c r="C560" s="23" t="str">
        <f>HYPERLINK("http://ecotaxoserver.obs-vlfr.fr/browsetaxo/?id=31665","31665")</f>
        <v>31665</v>
      </c>
      <c r="D560" s="23" t="str">
        <f>HYPERLINK("http://www.marinespecies.org/aphia.php?p=taxdetails&amp;id=109463","109463")</f>
        <v>109463</v>
      </c>
      <c r="E560" s="22" t="s">
        <v>745</v>
      </c>
      <c r="F560" s="22" t="s">
        <v>746</v>
      </c>
      <c r="G560" s="22" t="s">
        <v>94</v>
      </c>
      <c r="H560" s="23" t="str">
        <f>HYPERLINK("http://www.marinespecies.org/aphia.php?p=taxdetails&amp;id=109463","109463")</f>
        <v>109463</v>
      </c>
      <c r="I560" s="22" t="s">
        <v>94</v>
      </c>
      <c r="J560" s="24" t="str">
        <f t="shared" si="4"/>
        <v>!=</v>
      </c>
    </row>
    <row r="561">
      <c r="A561" s="22" t="s">
        <v>1002</v>
      </c>
      <c r="B561" s="22">
        <v>4.0</v>
      </c>
      <c r="C561" s="23" t="str">
        <f>HYPERLINK("http://ecotaxoserver.obs-vlfr.fr/browsetaxo/?id=92479","92479")</f>
        <v>92479</v>
      </c>
      <c r="D561" s="23" t="str">
        <f>HYPERLINK("http://www.marinespecies.org/aphia.php?p=taxdetails&amp;id=232335","232335")</f>
        <v>232335</v>
      </c>
      <c r="E561" s="22" t="s">
        <v>128</v>
      </c>
      <c r="F561" s="22" t="s">
        <v>1001</v>
      </c>
      <c r="G561" s="22" t="s">
        <v>94</v>
      </c>
      <c r="H561" s="23" t="str">
        <f>HYPERLINK("http://www.marinespecies.org/aphia.php?p=taxdetails&amp;id=232335","232335")</f>
        <v>232335</v>
      </c>
      <c r="I561" s="22" t="s">
        <v>94</v>
      </c>
      <c r="J561" s="24" t="str">
        <f t="shared" si="4"/>
        <v>!=</v>
      </c>
    </row>
    <row r="562">
      <c r="A562" s="22" t="s">
        <v>1003</v>
      </c>
      <c r="B562" s="22">
        <v>3.0</v>
      </c>
      <c r="C562" s="23" t="str">
        <f>HYPERLINK("http://ecotaxoserver.obs-vlfr.fr/browsetaxo/?id=58197","58197")</f>
        <v>58197</v>
      </c>
      <c r="D562" s="23" t="str">
        <f>HYPERLINK("http://www.marinespecies.org/aphia.php?p=taxdetails&amp;id=109677","109677")</f>
        <v>109677</v>
      </c>
      <c r="E562" s="22" t="s">
        <v>1001</v>
      </c>
      <c r="F562" s="22" t="s">
        <v>1001</v>
      </c>
      <c r="G562" s="22" t="s">
        <v>94</v>
      </c>
      <c r="H562" s="23" t="str">
        <f>HYPERLINK("http://www.marinespecies.org/aphia.php?p=taxdetails&amp;id=109677","109677")</f>
        <v>109677</v>
      </c>
      <c r="I562" s="22" t="s">
        <v>94</v>
      </c>
      <c r="J562" s="24" t="str">
        <f t="shared" si="4"/>
        <v/>
      </c>
    </row>
    <row r="563">
      <c r="A563" s="22" t="s">
        <v>1004</v>
      </c>
      <c r="B563" s="22">
        <v>1.0</v>
      </c>
      <c r="C563" s="23" t="str">
        <f>HYPERLINK("http://ecotaxoserver.obs-vlfr.fr/browsetaxo/?id=92482","92482")</f>
        <v>92482</v>
      </c>
      <c r="D563" s="23" t="str">
        <f>HYPERLINK("http://www.marinespecies.org/aphia.php?p=taxdetails&amp;id=232352","232352")</f>
        <v>232352</v>
      </c>
      <c r="E563" s="22" t="s">
        <v>128</v>
      </c>
      <c r="F563" s="22" t="s">
        <v>1001</v>
      </c>
      <c r="G563" s="22" t="s">
        <v>94</v>
      </c>
      <c r="H563" s="23" t="str">
        <f>HYPERLINK("http://www.marinespecies.org/aphia.php?p=taxdetails&amp;id=232352","232352")</f>
        <v>232352</v>
      </c>
      <c r="I563" s="22" t="s">
        <v>94</v>
      </c>
      <c r="J563" s="24" t="str">
        <f t="shared" si="4"/>
        <v>!=</v>
      </c>
    </row>
    <row r="564">
      <c r="A564" s="22" t="s">
        <v>1005</v>
      </c>
      <c r="B564" s="22">
        <v>8.0</v>
      </c>
      <c r="C564" s="23" t="str">
        <f>HYPERLINK("http://ecotaxoserver.obs-vlfr.fr/browsetaxo/?id=92498","92498")</f>
        <v>92498</v>
      </c>
      <c r="D564" s="23" t="str">
        <f>HYPERLINK("http://www.marinespecies.org/aphia.php?p=taxdetails&amp;id=109686","109686")</f>
        <v>109686</v>
      </c>
      <c r="E564" s="22" t="s">
        <v>128</v>
      </c>
      <c r="F564" s="22" t="s">
        <v>1001</v>
      </c>
      <c r="G564" s="22" t="s">
        <v>94</v>
      </c>
      <c r="H564" s="23" t="str">
        <f>HYPERLINK("http://www.marinespecies.org/aphia.php?p=taxdetails&amp;id=109686","109686")</f>
        <v>109686</v>
      </c>
      <c r="I564" s="22" t="s">
        <v>94</v>
      </c>
      <c r="J564" s="24" t="str">
        <f t="shared" si="4"/>
        <v>!=</v>
      </c>
    </row>
    <row r="565">
      <c r="A565" s="22" t="s">
        <v>1006</v>
      </c>
      <c r="B565" s="22">
        <v>2.0</v>
      </c>
      <c r="C565" s="23" t="str">
        <f>HYPERLINK("http://ecotaxoserver.obs-vlfr.fr/browsetaxo/?id=93274","93274")</f>
        <v>93274</v>
      </c>
      <c r="D565" s="23" t="str">
        <f>HYPERLINK("http://www.marinespecies.org/aphia.php?p=taxdetails&amp;id=159376","159376")</f>
        <v>159376</v>
      </c>
      <c r="E565" s="22" t="s">
        <v>1007</v>
      </c>
      <c r="F565" s="22" t="s">
        <v>1008</v>
      </c>
      <c r="G565" s="22" t="s">
        <v>94</v>
      </c>
      <c r="H565" s="23" t="str">
        <f>HYPERLINK("http://www.marinespecies.org/aphia.php?p=taxdetails&amp;id=159376","159376")</f>
        <v>159376</v>
      </c>
      <c r="I565" s="22" t="s">
        <v>94</v>
      </c>
      <c r="J565" s="24" t="str">
        <f t="shared" si="4"/>
        <v>!=</v>
      </c>
    </row>
    <row r="566">
      <c r="A566" s="22" t="s">
        <v>1009</v>
      </c>
      <c r="B566" s="22">
        <v>49310.0</v>
      </c>
      <c r="C566" s="23" t="str">
        <f>HYPERLINK("http://ecotaxoserver.obs-vlfr.fr/browsetaxo/?id=92121","92121")</f>
        <v>92121</v>
      </c>
      <c r="D566" s="23" t="str">
        <f>HYPERLINK("http://www.marinespecies.org/aphia.php?p=taxdetails&amp;id=160271","160271")</f>
        <v>160271</v>
      </c>
      <c r="E566" s="22" t="s">
        <v>357</v>
      </c>
      <c r="F566" s="22" t="s">
        <v>1010</v>
      </c>
      <c r="G566" s="22" t="s">
        <v>94</v>
      </c>
      <c r="H566" s="23" t="str">
        <f>HYPERLINK("http://www.marinespecies.org/aphia.php?p=taxdetails&amp;id=160271","160271")</f>
        <v>160271</v>
      </c>
      <c r="I566" s="22" t="s">
        <v>94</v>
      </c>
      <c r="J566" s="24" t="str">
        <f t="shared" si="4"/>
        <v>!=</v>
      </c>
    </row>
    <row r="567">
      <c r="A567" s="22" t="s">
        <v>1011</v>
      </c>
      <c r="B567" s="22">
        <v>25.0</v>
      </c>
      <c r="C567" s="23" t="str">
        <f>HYPERLINK("http://ecotaxoserver.obs-vlfr.fr/browsetaxo/?id=51706","51706")</f>
        <v>51706</v>
      </c>
      <c r="D567" s="23" t="str">
        <f>HYPERLINK("http://www.marinespecies.org/aphia.php?p=taxdetails&amp;id=123456","123456")</f>
        <v>123456</v>
      </c>
      <c r="E567" s="22" t="s">
        <v>1012</v>
      </c>
      <c r="F567" s="22" t="s">
        <v>1012</v>
      </c>
      <c r="G567" s="22" t="s">
        <v>94</v>
      </c>
      <c r="H567" s="23" t="str">
        <f>HYPERLINK("http://www.marinespecies.org/aphia.php?p=taxdetails&amp;id=123456","123456")</f>
        <v>123456</v>
      </c>
      <c r="I567" s="22" t="s">
        <v>94</v>
      </c>
      <c r="J567" s="24" t="str">
        <f t="shared" si="4"/>
        <v/>
      </c>
    </row>
    <row r="568">
      <c r="A568" s="22" t="s">
        <v>1013</v>
      </c>
      <c r="B568" s="22">
        <v>1.0</v>
      </c>
      <c r="C568" s="23" t="str">
        <f>HYPERLINK("http://ecotaxoserver.obs-vlfr.fr/browsetaxo/?id=12874","12874")</f>
        <v>12874</v>
      </c>
      <c r="D568" s="23" t="str">
        <f>HYPERLINK("http://www.marinespecies.org/aphia.php?p=taxdetails&amp;id=123083","123083")</f>
        <v>123083</v>
      </c>
      <c r="E568" s="22" t="s">
        <v>786</v>
      </c>
      <c r="F568" s="22" t="s">
        <v>788</v>
      </c>
      <c r="G568" s="22" t="s">
        <v>94</v>
      </c>
      <c r="H568" s="23" t="str">
        <f>HYPERLINK("http://www.marinespecies.org/aphia.php?p=taxdetails&amp;id=123083","123083")</f>
        <v>123083</v>
      </c>
      <c r="I568" s="22" t="s">
        <v>94</v>
      </c>
      <c r="J568" s="24" t="str">
        <f t="shared" si="4"/>
        <v>!=</v>
      </c>
    </row>
    <row r="569">
      <c r="A569" s="22" t="s">
        <v>1014</v>
      </c>
      <c r="B569" s="22">
        <v>21.0</v>
      </c>
      <c r="C569" s="23" t="str">
        <f>HYPERLINK("http://ecotaxoserver.obs-vlfr.fr/browsetaxo/?id=83519","83519")</f>
        <v>83519</v>
      </c>
      <c r="D569" s="23" t="str">
        <f>HYPERLINK("http://www.marinespecies.org/aphia.php?p=taxdetails&amp;id=106862","106862")</f>
        <v>106862</v>
      </c>
      <c r="E569" s="22" t="s">
        <v>1015</v>
      </c>
      <c r="F569" s="22" t="s">
        <v>1016</v>
      </c>
      <c r="G569" s="22" t="s">
        <v>94</v>
      </c>
      <c r="H569" s="23" t="str">
        <f>HYPERLINK("http://www.marinespecies.org/aphia.php?p=taxdetails&amp;id=106862","106862")</f>
        <v>106862</v>
      </c>
      <c r="I569" s="22" t="s">
        <v>94</v>
      </c>
      <c r="J569" s="24" t="str">
        <f t="shared" si="4"/>
        <v>!=</v>
      </c>
    </row>
    <row r="570">
      <c r="A570" s="22" t="s">
        <v>1017</v>
      </c>
      <c r="B570" s="22">
        <v>35.0</v>
      </c>
      <c r="C570" s="23" t="str">
        <f>HYPERLINK("http://ecotaxoserver.obs-vlfr.fr/browsetaxo/?id=74264","74264")</f>
        <v>74264</v>
      </c>
      <c r="D570" s="23" t="str">
        <f>HYPERLINK("http://www.marinespecies.org/aphia.php?p=taxdetails&amp;id=139047","139047")</f>
        <v>139047</v>
      </c>
      <c r="E570" s="22" t="s">
        <v>1018</v>
      </c>
      <c r="F570" s="22" t="s">
        <v>1018</v>
      </c>
      <c r="G570" s="22" t="s">
        <v>94</v>
      </c>
      <c r="H570" s="23" t="str">
        <f>HYPERLINK("http://www.marinespecies.org/aphia.php?p=taxdetails&amp;id=139047","139047")</f>
        <v>139047</v>
      </c>
      <c r="I570" s="22" t="s">
        <v>94</v>
      </c>
      <c r="J570" s="24" t="str">
        <f t="shared" si="4"/>
        <v/>
      </c>
    </row>
    <row r="571">
      <c r="A571" s="22" t="s">
        <v>227</v>
      </c>
      <c r="B571" s="22">
        <v>1374.0</v>
      </c>
      <c r="C571" s="23" t="str">
        <f>HYPERLINK("http://ecotaxoserver.obs-vlfr.fr/browsetaxo/?id=16675","16675")</f>
        <v>16675</v>
      </c>
      <c r="D571" s="23" t="str">
        <f>HYPERLINK("http://www.marinespecies.org/aphia.php?p=taxdetails&amp;id=19494","19494")</f>
        <v>19494</v>
      </c>
      <c r="E571" s="22" t="s">
        <v>1019</v>
      </c>
      <c r="F571" s="22" t="s">
        <v>1019</v>
      </c>
      <c r="G571" s="22" t="s">
        <v>94</v>
      </c>
      <c r="H571" s="23" t="str">
        <f>HYPERLINK("http://www.marinespecies.org/aphia.php?p=taxdetails&amp;id=19494","19494")</f>
        <v>19494</v>
      </c>
      <c r="I571" s="22" t="s">
        <v>94</v>
      </c>
      <c r="J571" s="24" t="str">
        <f t="shared" si="4"/>
        <v/>
      </c>
    </row>
    <row r="572">
      <c r="A572" s="22" t="s">
        <v>1020</v>
      </c>
      <c r="B572" s="22">
        <v>2.0</v>
      </c>
      <c r="C572" s="23" t="str">
        <f>HYPERLINK("http://ecotaxoserver.obs-vlfr.fr/browsetaxo/?id=93345","93345")</f>
        <v>93345</v>
      </c>
      <c r="D572" s="23" t="str">
        <f>HYPERLINK("http://www.marinespecies.org/aphia.php?p=taxdetails&amp;id=719622","719622")</f>
        <v>719622</v>
      </c>
      <c r="E572" s="22" t="s">
        <v>1021</v>
      </c>
      <c r="F572" s="22" t="s">
        <v>1021</v>
      </c>
      <c r="G572" s="22" t="s">
        <v>94</v>
      </c>
      <c r="H572" s="23" t="str">
        <f>HYPERLINK("http://www.marinespecies.org/aphia.php?p=taxdetails&amp;id=719622","719622")</f>
        <v>719622</v>
      </c>
      <c r="I572" s="22" t="s">
        <v>94</v>
      </c>
      <c r="J572" s="24" t="str">
        <f t="shared" si="4"/>
        <v/>
      </c>
    </row>
    <row r="573">
      <c r="A573" s="22" t="s">
        <v>1022</v>
      </c>
      <c r="B573" s="22">
        <v>37.0</v>
      </c>
      <c r="C573" s="23" t="str">
        <f>HYPERLINK("http://ecotaxoserver.obs-vlfr.fr/browsetaxo/?id=47862","47862")</f>
        <v>47862</v>
      </c>
      <c r="D573" s="23" t="str">
        <f>HYPERLINK("http://www.marinespecies.org/aphia.php?p=taxdetails&amp;id=593194","593194")</f>
        <v>593194</v>
      </c>
      <c r="E573" s="22" t="s">
        <v>499</v>
      </c>
      <c r="F573" s="22" t="s">
        <v>1023</v>
      </c>
      <c r="G573" s="22" t="s">
        <v>94</v>
      </c>
      <c r="H573" s="23" t="str">
        <f>HYPERLINK("http://www.marinespecies.org/aphia.php?p=taxdetails&amp;id=593194","593194")</f>
        <v>593194</v>
      </c>
      <c r="I573" s="22" t="s">
        <v>94</v>
      </c>
      <c r="J573" s="24" t="str">
        <f t="shared" si="4"/>
        <v>!=</v>
      </c>
    </row>
    <row r="574">
      <c r="A574" s="22" t="s">
        <v>1019</v>
      </c>
      <c r="B574" s="22">
        <v>28794.0</v>
      </c>
      <c r="C574" s="23" t="str">
        <f>HYPERLINK("http://ecotaxoserver.obs-vlfr.fr/browsetaxo/?id=12865","12865")</f>
        <v>12865</v>
      </c>
      <c r="D574" s="23" t="str">
        <f>HYPERLINK("http://www.marinespecies.org/aphia.php?p=taxdetails&amp;id=1337","1337")</f>
        <v>1337</v>
      </c>
      <c r="E574" s="22" t="s">
        <v>229</v>
      </c>
      <c r="F574" s="22" t="s">
        <v>229</v>
      </c>
      <c r="G574" s="22" t="s">
        <v>94</v>
      </c>
      <c r="H574" s="23" t="str">
        <f>HYPERLINK("http://www.marinespecies.org/aphia.php?p=taxdetails&amp;id=1337","1337")</f>
        <v>1337</v>
      </c>
      <c r="I574" s="22" t="s">
        <v>94</v>
      </c>
      <c r="J574" s="24" t="str">
        <f t="shared" si="4"/>
        <v/>
      </c>
    </row>
    <row r="575">
      <c r="A575" s="22" t="s">
        <v>1024</v>
      </c>
      <c r="B575" s="22">
        <v>100.0</v>
      </c>
      <c r="C575" s="23" t="str">
        <f>HYPERLINK("http://ecotaxoserver.obs-vlfr.fr/browsetaxo/?id=83745","83745")</f>
        <v>83745</v>
      </c>
      <c r="D575" s="23" t="str">
        <f>HYPERLINK("http://www.marinespecies.org/aphia.php?p=taxdetails&amp;id=101796","101796")</f>
        <v>101796</v>
      </c>
      <c r="E575" s="22" t="s">
        <v>1025</v>
      </c>
      <c r="F575" s="22" t="s">
        <v>1025</v>
      </c>
      <c r="G575" s="22" t="s">
        <v>94</v>
      </c>
      <c r="H575" s="23" t="str">
        <f>HYPERLINK("http://www.marinespecies.org/aphia.php?p=taxdetails&amp;id=101796","101796")</f>
        <v>101796</v>
      </c>
      <c r="I575" s="22" t="s">
        <v>94</v>
      </c>
      <c r="J575" s="24" t="str">
        <f t="shared" si="4"/>
        <v/>
      </c>
    </row>
    <row r="576">
      <c r="A576" s="22" t="s">
        <v>1025</v>
      </c>
      <c r="B576" s="22">
        <v>188.0</v>
      </c>
      <c r="C576" s="23" t="str">
        <f>HYPERLINK("http://ecotaxoserver.obs-vlfr.fr/browsetaxo/?id=82142","82142")</f>
        <v>82142</v>
      </c>
      <c r="D576" s="23" t="str">
        <f>HYPERLINK("http://www.marinespecies.org/aphia.php?p=taxdetails&amp;id=101417","101417")</f>
        <v>101417</v>
      </c>
      <c r="E576" s="22" t="s">
        <v>1026</v>
      </c>
      <c r="F576" s="22" t="s">
        <v>1027</v>
      </c>
      <c r="G576" s="22" t="s">
        <v>94</v>
      </c>
      <c r="H576" s="23" t="str">
        <f>HYPERLINK("http://www.marinespecies.org/aphia.php?p=taxdetails&amp;id=101417","101417")</f>
        <v>101417</v>
      </c>
      <c r="I576" s="22" t="s">
        <v>94</v>
      </c>
      <c r="J576" s="24" t="str">
        <f t="shared" si="4"/>
        <v>!=</v>
      </c>
    </row>
    <row r="577">
      <c r="A577" s="22" t="s">
        <v>1026</v>
      </c>
      <c r="B577" s="22">
        <v>12023.0</v>
      </c>
      <c r="C577" s="23" t="str">
        <f>HYPERLINK("http://ecotaxoserver.obs-vlfr.fr/browsetaxo/?id=78159","78159")</f>
        <v>78159</v>
      </c>
      <c r="D577" s="23" t="str">
        <f>HYPERLINK("http://www.marinespecies.org/aphia.php?p=taxdetails&amp;id=1205","1205")</f>
        <v>1205</v>
      </c>
      <c r="E577" s="22" t="s">
        <v>197</v>
      </c>
      <c r="F577" s="22" t="s">
        <v>197</v>
      </c>
      <c r="G577" s="22" t="s">
        <v>94</v>
      </c>
      <c r="H577" s="23" t="str">
        <f>HYPERLINK("http://www.marinespecies.org/aphia.php?p=taxdetails&amp;id=1205","1205")</f>
        <v>1205</v>
      </c>
      <c r="I577" s="22" t="s">
        <v>94</v>
      </c>
      <c r="J577" s="24" t="str">
        <f t="shared" si="4"/>
        <v/>
      </c>
    </row>
    <row r="578">
      <c r="A578" s="22" t="s">
        <v>1028</v>
      </c>
      <c r="B578" s="22">
        <v>2.0</v>
      </c>
      <c r="C578" s="23" t="str">
        <f>HYPERLINK("http://ecotaxoserver.obs-vlfr.fr/browsetaxo/?id=51241","51241")</f>
        <v>51241</v>
      </c>
      <c r="D578" s="23" t="str">
        <f>HYPERLINK("http://www.marinespecies.org/aphia.php?p=taxdetails&amp;id=158535","158535")</f>
        <v>158535</v>
      </c>
      <c r="E578" s="22" t="s">
        <v>660</v>
      </c>
      <c r="F578" s="22" t="s">
        <v>1029</v>
      </c>
      <c r="G578" s="22" t="s">
        <v>94</v>
      </c>
      <c r="H578" s="23" t="str">
        <f>HYPERLINK("http://www.marinespecies.org/aphia.php?p=taxdetails&amp;id=158535","158535")</f>
        <v>158535</v>
      </c>
      <c r="I578" s="22" t="s">
        <v>94</v>
      </c>
      <c r="J578" s="24" t="str">
        <f t="shared" si="4"/>
        <v>!=</v>
      </c>
    </row>
    <row r="579">
      <c r="A579" s="22" t="s">
        <v>1030</v>
      </c>
      <c r="B579" s="22">
        <v>1.0</v>
      </c>
      <c r="C579" s="23" t="str">
        <f>HYPERLINK("http://ecotaxoserver.obs-vlfr.fr/browsetaxo/?id=52274","52274")</f>
        <v>52274</v>
      </c>
      <c r="D579" s="23" t="str">
        <f>HYPERLINK("http://www.marinespecies.org/aphia.php?p=taxdetails&amp;id=341434","341434")</f>
        <v>341434</v>
      </c>
      <c r="E579" s="22" t="s">
        <v>89</v>
      </c>
      <c r="F579" s="22" t="s">
        <v>1031</v>
      </c>
      <c r="G579" s="22" t="s">
        <v>94</v>
      </c>
      <c r="H579" s="23" t="str">
        <f>HYPERLINK("http://www.marinespecies.org/aphia.php?p=taxdetails&amp;id=341434","341434")</f>
        <v>341434</v>
      </c>
      <c r="I579" s="22" t="s">
        <v>94</v>
      </c>
      <c r="J579" s="24" t="str">
        <f t="shared" si="4"/>
        <v>!=</v>
      </c>
    </row>
    <row r="580">
      <c r="A580" s="22" t="s">
        <v>1032</v>
      </c>
      <c r="B580" s="22">
        <v>2.0</v>
      </c>
      <c r="C580" s="23" t="str">
        <f>HYPERLINK("http://ecotaxoserver.obs-vlfr.fr/browsetaxo/?id=78235","78235")</f>
        <v>78235</v>
      </c>
      <c r="D580" s="23" t="str">
        <f>HYPERLINK("http://www.marinespecies.org/aphia.php?p=taxdetails&amp;id=118454","118454")</f>
        <v>118454</v>
      </c>
      <c r="E580" s="22" t="s">
        <v>1033</v>
      </c>
      <c r="F580" s="22" t="s">
        <v>1034</v>
      </c>
      <c r="G580" s="22" t="s">
        <v>94</v>
      </c>
      <c r="H580" s="23" t="str">
        <f>HYPERLINK("http://www.marinespecies.org/aphia.php?p=taxdetails&amp;id=118454","118454")</f>
        <v>118454</v>
      </c>
      <c r="I580" s="22" t="s">
        <v>94</v>
      </c>
      <c r="J580" s="24" t="str">
        <f t="shared" si="4"/>
        <v>!=</v>
      </c>
    </row>
    <row r="581">
      <c r="A581" s="22" t="s">
        <v>1035</v>
      </c>
      <c r="B581" s="22">
        <v>1.0</v>
      </c>
      <c r="C581" s="23" t="str">
        <f>HYPERLINK("http://ecotaxoserver.obs-vlfr.fr/browsetaxo/?id=92141","92141")</f>
        <v>92141</v>
      </c>
      <c r="D581" s="23" t="str">
        <f>HYPERLINK("http://www.marinespecies.org/aphia.php?p=taxdetails&amp;id=148388","148388")</f>
        <v>148388</v>
      </c>
      <c r="E581" s="22" t="s">
        <v>1036</v>
      </c>
      <c r="F581" s="22" t="s">
        <v>1036</v>
      </c>
      <c r="G581" s="22" t="s">
        <v>94</v>
      </c>
      <c r="H581" s="23" t="str">
        <f>HYPERLINK("http://www.marinespecies.org/aphia.php?p=taxdetails&amp;id=148388","148388")</f>
        <v>148388</v>
      </c>
      <c r="I581" s="22" t="s">
        <v>94</v>
      </c>
      <c r="J581" s="24" t="str">
        <f t="shared" si="4"/>
        <v/>
      </c>
    </row>
    <row r="582">
      <c r="A582" s="22" t="s">
        <v>949</v>
      </c>
      <c r="B582" s="22">
        <v>4619.0</v>
      </c>
      <c r="C582" s="23" t="str">
        <f>HYPERLINK("http://ecotaxoserver.obs-vlfr.fr/browsetaxo/?id=16627","16627")</f>
        <v>16627</v>
      </c>
      <c r="D582" s="23" t="str">
        <f>HYPERLINK("http://www.marinespecies.org/aphia.php?p=taxdetails&amp;id=1307","1307")</f>
        <v>1307</v>
      </c>
      <c r="E582" s="22" t="s">
        <v>993</v>
      </c>
      <c r="F582" s="22" t="s">
        <v>993</v>
      </c>
      <c r="G582" s="22" t="s">
        <v>94</v>
      </c>
      <c r="H582" s="23" t="str">
        <f>HYPERLINK("http://www.marinespecies.org/aphia.php?p=taxdetails&amp;id=1307","1307")</f>
        <v>1307</v>
      </c>
      <c r="I582" s="22" t="s">
        <v>94</v>
      </c>
      <c r="J582" s="24" t="str">
        <f t="shared" si="4"/>
        <v/>
      </c>
    </row>
    <row r="583">
      <c r="A583" s="22" t="s">
        <v>1037</v>
      </c>
      <c r="B583" s="22">
        <v>1565.0</v>
      </c>
      <c r="C583" s="23" t="str">
        <f>HYPERLINK("http://ecotaxoserver.obs-vlfr.fr/browsetaxo/?id=80130","80130")</f>
        <v>80130</v>
      </c>
      <c r="D583" s="23" t="str">
        <f>HYPERLINK("http://www.marinespecies.org/aphia.php?p=taxdetails&amp;id=104160","104160")</f>
        <v>104160</v>
      </c>
      <c r="E583" s="22" t="s">
        <v>435</v>
      </c>
      <c r="F583" s="22" t="s">
        <v>435</v>
      </c>
      <c r="G583" s="22" t="s">
        <v>94</v>
      </c>
      <c r="H583" s="23" t="str">
        <f>HYPERLINK("http://www.marinespecies.org/aphia.php?p=taxdetails&amp;id=104160","104160")</f>
        <v>104160</v>
      </c>
      <c r="I583" s="22" t="s">
        <v>94</v>
      </c>
      <c r="J583" s="24" t="str">
        <f t="shared" si="4"/>
        <v/>
      </c>
    </row>
    <row r="584">
      <c r="A584" s="22" t="s">
        <v>1038</v>
      </c>
      <c r="B584" s="22">
        <v>91.0</v>
      </c>
      <c r="C584" s="23" t="str">
        <f>HYPERLINK("http://ecotaxoserver.obs-vlfr.fr/browsetaxo/?id=83337","83337")</f>
        <v>83337</v>
      </c>
      <c r="D584" s="23" t="str">
        <f>HYPERLINK("http://www.marinespecies.org/aphia.php?p=taxdetails&amp;id=104501","104501")</f>
        <v>104501</v>
      </c>
      <c r="E584" s="22" t="s">
        <v>1037</v>
      </c>
      <c r="F584" s="22" t="s">
        <v>1037</v>
      </c>
      <c r="G584" s="22" t="s">
        <v>94</v>
      </c>
      <c r="H584" s="23" t="str">
        <f>HYPERLINK("http://www.marinespecies.org/aphia.php?p=taxdetails&amp;id=104501","104501")</f>
        <v>104501</v>
      </c>
      <c r="I584" s="22" t="s">
        <v>94</v>
      </c>
      <c r="J584" s="24" t="str">
        <f t="shared" si="4"/>
        <v/>
      </c>
    </row>
    <row r="585">
      <c r="A585" s="22" t="s">
        <v>1039</v>
      </c>
      <c r="B585" s="22">
        <v>182.0</v>
      </c>
      <c r="C585" s="23" t="str">
        <f>HYPERLINK("http://ecotaxoserver.obs-vlfr.fr/browsetaxo/?id=11690","11690")</f>
        <v>11690</v>
      </c>
      <c r="D585" s="23" t="str">
        <f>HYPERLINK("http://www.marinespecies.org/aphia.php?p=taxdetails&amp;id=115060","115060")</f>
        <v>115060</v>
      </c>
      <c r="E585" s="22" t="s">
        <v>560</v>
      </c>
      <c r="F585" s="22" t="s">
        <v>560</v>
      </c>
      <c r="G585" s="22" t="s">
        <v>94</v>
      </c>
      <c r="H585" s="23" t="str">
        <f>HYPERLINK("http://www.marinespecies.org/aphia.php?p=taxdetails&amp;id=115060","115060")</f>
        <v>115060</v>
      </c>
      <c r="I585" s="22" t="s">
        <v>94</v>
      </c>
      <c r="J585" s="24" t="str">
        <f t="shared" si="4"/>
        <v/>
      </c>
    </row>
    <row r="586">
      <c r="A586" s="22" t="s">
        <v>676</v>
      </c>
      <c r="B586" s="22">
        <v>1175.0</v>
      </c>
      <c r="C586" s="23" t="str">
        <f>HYPERLINK("http://ecotaxoserver.obs-vlfr.fr/browsetaxo/?id=45051","45051")</f>
        <v>45051</v>
      </c>
      <c r="D586" s="23" t="str">
        <f>HYPERLINK("http://www.marinespecies.org/aphia.php?p=taxdetails&amp;id=1131","1131")</f>
        <v>1131</v>
      </c>
      <c r="E586" s="22" t="s">
        <v>198</v>
      </c>
      <c r="F586" s="22" t="s">
        <v>199</v>
      </c>
      <c r="G586" s="22" t="s">
        <v>94</v>
      </c>
      <c r="H586" s="23" t="str">
        <f>HYPERLINK("http://www.marinespecies.org/aphia.php?p=taxdetails&amp;id=1131","1131")</f>
        <v>1131</v>
      </c>
      <c r="I586" s="22" t="s">
        <v>94</v>
      </c>
      <c r="J586" s="24" t="str">
        <f t="shared" si="4"/>
        <v>!=</v>
      </c>
    </row>
    <row r="587">
      <c r="A587" s="22" t="s">
        <v>1040</v>
      </c>
      <c r="B587" s="22">
        <v>2.0</v>
      </c>
      <c r="C587" s="23" t="str">
        <f>HYPERLINK("http://ecotaxoserver.obs-vlfr.fr/browsetaxo/?id=93144","93144")</f>
        <v>93144</v>
      </c>
      <c r="D587" s="23" t="str">
        <f>HYPERLINK("http://www.marinespecies.org/aphia.php?p=taxdetails&amp;id=125539","125539")</f>
        <v>125539</v>
      </c>
      <c r="E587" s="22" t="s">
        <v>1041</v>
      </c>
      <c r="F587" s="22" t="s">
        <v>1041</v>
      </c>
      <c r="G587" s="22" t="s">
        <v>94</v>
      </c>
      <c r="H587" s="23" t="str">
        <f>HYPERLINK("http://www.marinespecies.org/aphia.php?p=taxdetails&amp;id=125539","125539")</f>
        <v>125539</v>
      </c>
      <c r="I587" s="22" t="s">
        <v>94</v>
      </c>
      <c r="J587" s="24" t="str">
        <f t="shared" si="4"/>
        <v/>
      </c>
    </row>
    <row r="588">
      <c r="A588" s="22" t="s">
        <v>1042</v>
      </c>
      <c r="B588" s="22">
        <v>566.0</v>
      </c>
      <c r="C588" s="23" t="str">
        <f>HYPERLINK("http://ecotaxoserver.obs-vlfr.fr/browsetaxo/?id=18761","18761")</f>
        <v>18761</v>
      </c>
      <c r="D588" s="23" t="str">
        <f>HYPERLINK("http://www.marinespecies.org/aphia.php?p=taxdetails&amp;id=231788","231788")</f>
        <v>231788</v>
      </c>
      <c r="E588" s="22" t="s">
        <v>1043</v>
      </c>
      <c r="F588" s="22" t="s">
        <v>1044</v>
      </c>
      <c r="G588" s="22" t="s">
        <v>94</v>
      </c>
      <c r="H588" s="23" t="str">
        <f>HYPERLINK("http://www.marinespecies.org/aphia.php?p=taxdetails&amp;id=231788","231788")</f>
        <v>231788</v>
      </c>
      <c r="I588" s="22" t="s">
        <v>94</v>
      </c>
      <c r="J588" s="24" t="str">
        <f t="shared" si="4"/>
        <v>!=</v>
      </c>
    </row>
    <row r="589">
      <c r="A589" s="22" t="s">
        <v>1045</v>
      </c>
      <c r="B589" s="22">
        <v>23.0</v>
      </c>
      <c r="C589" s="23" t="str">
        <f>HYPERLINK("http://ecotaxoserver.obs-vlfr.fr/browsetaxo/?id=31576","31576")</f>
        <v>31576</v>
      </c>
      <c r="D589" s="23" t="str">
        <f>HYPERLINK("http://www.marinespecies.org/aphia.php?p=taxdetails&amp;id=233024","233024")</f>
        <v>233024</v>
      </c>
      <c r="E589" s="22" t="s">
        <v>1042</v>
      </c>
      <c r="F589" s="22" t="s">
        <v>1042</v>
      </c>
      <c r="G589" s="22" t="s">
        <v>94</v>
      </c>
      <c r="H589" s="23" t="str">
        <f>HYPERLINK("http://www.marinespecies.org/aphia.php?p=taxdetails&amp;id=233024","233024")</f>
        <v>233024</v>
      </c>
      <c r="I589" s="22" t="s">
        <v>94</v>
      </c>
      <c r="J589" s="24" t="str">
        <f t="shared" si="4"/>
        <v/>
      </c>
    </row>
    <row r="590">
      <c r="A590" s="22" t="s">
        <v>1046</v>
      </c>
      <c r="B590" s="22">
        <v>132.0</v>
      </c>
      <c r="C590" s="23" t="str">
        <f>HYPERLINK("http://ecotaxoserver.obs-vlfr.fr/browsetaxo/?id=93050","93050")</f>
        <v>93050</v>
      </c>
      <c r="D590" s="23" t="str">
        <f>HYPERLINK("http://www.marinespecies.org/aphia.php?p=taxdetails&amp;id=618883","618883")</f>
        <v>618883</v>
      </c>
      <c r="E590" s="22" t="s">
        <v>1047</v>
      </c>
      <c r="F590" s="22" t="s">
        <v>1047</v>
      </c>
      <c r="G590" s="22" t="s">
        <v>94</v>
      </c>
      <c r="H590" s="23" t="str">
        <f>HYPERLINK("http://www.marinespecies.org/aphia.php?p=taxdetails&amp;id=618883","618883")</f>
        <v>618883</v>
      </c>
      <c r="I590" s="22" t="s">
        <v>94</v>
      </c>
      <c r="J590" s="24" t="str">
        <f t="shared" si="4"/>
        <v/>
      </c>
    </row>
    <row r="591">
      <c r="A591" s="22" t="s">
        <v>1048</v>
      </c>
      <c r="B591" s="22">
        <v>524.0</v>
      </c>
      <c r="C591" s="23" t="str">
        <f>HYPERLINK("http://ecotaxoserver.obs-vlfr.fr/browsetaxo/?id=93535","93535")</f>
        <v>93535</v>
      </c>
      <c r="D591" s="23" t="str">
        <f>HYPERLINK("http://www.marinespecies.org/aphia.php?p=taxdetails&amp;id=109477","109477")</f>
        <v>109477</v>
      </c>
      <c r="E591" s="22" t="s">
        <v>1049</v>
      </c>
      <c r="F591" s="22" t="s">
        <v>1049</v>
      </c>
      <c r="G591" s="22" t="s">
        <v>94</v>
      </c>
      <c r="H591" s="23" t="str">
        <f>HYPERLINK("http://www.marinespecies.org/aphia.php?p=taxdetails&amp;id=109477","109477")</f>
        <v>109477</v>
      </c>
      <c r="I591" s="22" t="s">
        <v>94</v>
      </c>
      <c r="J591" s="24" t="str">
        <f t="shared" si="4"/>
        <v/>
      </c>
    </row>
    <row r="592">
      <c r="A592" s="22" t="s">
        <v>1050</v>
      </c>
      <c r="B592" s="22">
        <v>1.0</v>
      </c>
      <c r="C592" s="23" t="str">
        <f>HYPERLINK("http://ecotaxoserver.obs-vlfr.fr/browsetaxo/?id=54523","54523")</f>
        <v>54523</v>
      </c>
      <c r="D592" s="23" t="str">
        <f>HYPERLINK("http://www.marinespecies.org/aphia.php?p=taxdetails&amp;id=134941","134941")</f>
        <v>134941</v>
      </c>
      <c r="E592" s="22" t="s">
        <v>367</v>
      </c>
      <c r="F592" s="22" t="s">
        <v>367</v>
      </c>
      <c r="G592" s="22" t="s">
        <v>94</v>
      </c>
      <c r="H592" s="23" t="str">
        <f>HYPERLINK("http://www.marinespecies.org/aphia.php?p=taxdetails&amp;id=134941","134941")</f>
        <v>134941</v>
      </c>
      <c r="I592" s="22" t="s">
        <v>94</v>
      </c>
      <c r="J592" s="24" t="str">
        <f t="shared" si="4"/>
        <v/>
      </c>
    </row>
    <row r="593">
      <c r="A593" s="22" t="s">
        <v>1051</v>
      </c>
      <c r="B593" s="22">
        <v>111.0</v>
      </c>
      <c r="C593" s="23" t="str">
        <f>HYPERLINK("http://ecotaxoserver.obs-vlfr.fr/browsetaxo/?id=80169","80169")</f>
        <v>80169</v>
      </c>
      <c r="D593" s="23" t="str">
        <f>HYPERLINK("http://www.marinespecies.org/aphia.php?p=taxdetails&amp;id=104208","104208")</f>
        <v>104208</v>
      </c>
      <c r="E593" s="22" t="s">
        <v>1052</v>
      </c>
      <c r="F593" s="22" t="s">
        <v>1052</v>
      </c>
      <c r="G593" s="22" t="s">
        <v>94</v>
      </c>
      <c r="H593" s="23" t="str">
        <f>HYPERLINK("http://www.marinespecies.org/aphia.php?p=taxdetails&amp;id=104208","104208")</f>
        <v>104208</v>
      </c>
      <c r="I593" s="22" t="s">
        <v>94</v>
      </c>
      <c r="J593" s="24" t="str">
        <f t="shared" si="4"/>
        <v/>
      </c>
    </row>
    <row r="594">
      <c r="A594" s="22" t="s">
        <v>1053</v>
      </c>
      <c r="B594" s="22">
        <v>9.0</v>
      </c>
      <c r="C594" s="23" t="str">
        <f>HYPERLINK("http://ecotaxoserver.obs-vlfr.fr/browsetaxo/?id=82526","82526")</f>
        <v>82526</v>
      </c>
      <c r="D594" s="23" t="str">
        <f>HYPERLINK("http://www.marinespecies.org/aphia.php?p=taxdetails&amp;id=346592","346592")</f>
        <v>346592</v>
      </c>
      <c r="E594" s="22" t="s">
        <v>1051</v>
      </c>
      <c r="F594" s="22" t="s">
        <v>1051</v>
      </c>
      <c r="G594" s="22" t="s">
        <v>94</v>
      </c>
      <c r="H594" s="23" t="str">
        <f>HYPERLINK("http://www.marinespecies.org/aphia.php?p=taxdetails&amp;id=346592","346592")</f>
        <v>346592</v>
      </c>
      <c r="I594" s="22" t="s">
        <v>94</v>
      </c>
      <c r="J594" s="24" t="str">
        <f t="shared" si="4"/>
        <v/>
      </c>
    </row>
    <row r="595">
      <c r="A595" s="22" t="s">
        <v>1054</v>
      </c>
      <c r="B595" s="22">
        <v>74.0</v>
      </c>
      <c r="C595" s="23" t="str">
        <f>HYPERLINK("http://ecotaxoserver.obs-vlfr.fr/browsetaxo/?id=57738","57738")</f>
        <v>57738</v>
      </c>
      <c r="D595" s="23" t="str">
        <f>HYPERLINK("http://www.marinespecies.org/aphia.php?p=taxdetails&amp;id=101264","101264")</f>
        <v>101264</v>
      </c>
      <c r="E595" s="22" t="s">
        <v>1055</v>
      </c>
      <c r="F595" s="22" t="s">
        <v>1055</v>
      </c>
      <c r="G595" s="22" t="s">
        <v>94</v>
      </c>
      <c r="H595" s="23" t="str">
        <f>HYPERLINK("http://www.marinespecies.org/aphia.php?p=taxdetails&amp;id=101264","101264")</f>
        <v>101264</v>
      </c>
      <c r="I595" s="22" t="s">
        <v>94</v>
      </c>
      <c r="J595" s="24" t="str">
        <f t="shared" si="4"/>
        <v/>
      </c>
    </row>
    <row r="596">
      <c r="A596" s="22" t="s">
        <v>1056</v>
      </c>
      <c r="B596" s="22">
        <v>1.0</v>
      </c>
      <c r="C596" s="23" t="str">
        <f>HYPERLINK("http://ecotaxoserver.obs-vlfr.fr/browsetaxo/?id=93238","93238")</f>
        <v>93238</v>
      </c>
      <c r="D596" s="23" t="str">
        <f>HYPERLINK("http://www.marinespecies.org/aphia.php?p=taxdetails&amp;id=158822","158822")</f>
        <v>158822</v>
      </c>
      <c r="E596" s="22" t="s">
        <v>1057</v>
      </c>
      <c r="F596" s="22" t="s">
        <v>1057</v>
      </c>
      <c r="G596" s="22" t="s">
        <v>94</v>
      </c>
      <c r="H596" s="23" t="str">
        <f>HYPERLINK("http://www.marinespecies.org/aphia.php?p=taxdetails&amp;id=158822","158822")</f>
        <v>158822</v>
      </c>
      <c r="I596" s="22" t="s">
        <v>94</v>
      </c>
      <c r="J596" s="24" t="str">
        <f t="shared" si="4"/>
        <v/>
      </c>
    </row>
    <row r="597">
      <c r="A597" s="22" t="s">
        <v>1058</v>
      </c>
      <c r="B597" s="22">
        <v>12.0</v>
      </c>
      <c r="C597" s="23" t="str">
        <f>HYPERLINK("http://ecotaxoserver.obs-vlfr.fr/browsetaxo/?id=30896","30896")</f>
        <v>30896</v>
      </c>
      <c r="D597" s="23" t="str">
        <f>HYPERLINK("http://www.marinespecies.org/aphia.php?p=taxdetails&amp;id=179314","179314")</f>
        <v>179314</v>
      </c>
      <c r="E597" s="22" t="s">
        <v>1059</v>
      </c>
      <c r="F597" s="22" t="s">
        <v>1059</v>
      </c>
      <c r="G597" s="22" t="s">
        <v>94</v>
      </c>
      <c r="H597" s="23" t="str">
        <f>HYPERLINK("http://www.marinespecies.org/aphia.php?p=taxdetails&amp;id=179314","179314")</f>
        <v>179314</v>
      </c>
      <c r="I597" s="22" t="s">
        <v>94</v>
      </c>
      <c r="J597" s="24" t="str">
        <f t="shared" si="4"/>
        <v/>
      </c>
    </row>
    <row r="598">
      <c r="A598" s="22" t="s">
        <v>1060</v>
      </c>
      <c r="B598" s="22">
        <v>1.0</v>
      </c>
      <c r="C598" s="23" t="str">
        <f>HYPERLINK("http://ecotaxoserver.obs-vlfr.fr/browsetaxo/?id=93360","93360")</f>
        <v>93360</v>
      </c>
      <c r="D598" s="23" t="str">
        <f>HYPERLINK("http://www.marinespecies.org/aphia.php?p=taxdetails&amp;id=219902","219902")</f>
        <v>219902</v>
      </c>
      <c r="E598" s="22" t="s">
        <v>1061</v>
      </c>
      <c r="F598" s="22" t="s">
        <v>1061</v>
      </c>
      <c r="G598" s="22" t="s">
        <v>94</v>
      </c>
      <c r="H598" s="23" t="str">
        <f>HYPERLINK("http://www.marinespecies.org/aphia.php?p=taxdetails&amp;id=219902","219902")</f>
        <v>219902</v>
      </c>
      <c r="I598" s="22" t="s">
        <v>94</v>
      </c>
      <c r="J598" s="24" t="str">
        <f t="shared" si="4"/>
        <v/>
      </c>
    </row>
    <row r="599">
      <c r="A599" s="22" t="s">
        <v>1062</v>
      </c>
      <c r="B599" s="22">
        <v>1.0</v>
      </c>
      <c r="C599" s="23" t="str">
        <f>HYPERLINK("http://ecotaxoserver.obs-vlfr.fr/browsetaxo/?id=93084","93084")</f>
        <v>93084</v>
      </c>
      <c r="D599" s="23" t="str">
        <f>HYPERLINK("http://www.marinespecies.org/aphia.php?p=taxdetails&amp;id=106338","106338")</f>
        <v>106338</v>
      </c>
      <c r="E599" s="22" t="s">
        <v>1063</v>
      </c>
      <c r="F599" s="22" t="s">
        <v>1063</v>
      </c>
      <c r="G599" s="22" t="s">
        <v>94</v>
      </c>
      <c r="H599" s="23" t="str">
        <f>HYPERLINK("http://www.marinespecies.org/aphia.php?p=taxdetails&amp;id=106338","106338")</f>
        <v>106338</v>
      </c>
      <c r="I599" s="22" t="s">
        <v>94</v>
      </c>
      <c r="J599" s="24" t="str">
        <f t="shared" si="4"/>
        <v/>
      </c>
    </row>
    <row r="600">
      <c r="A600" s="22" t="s">
        <v>1064</v>
      </c>
      <c r="B600" s="22">
        <v>1.0</v>
      </c>
      <c r="C600" s="23" t="str">
        <f>HYPERLINK("http://ecotaxoserver.obs-vlfr.fr/browsetaxo/?id=83805","83805")</f>
        <v>83805</v>
      </c>
      <c r="D600" s="23" t="str">
        <f>HYPERLINK("http://www.marinespecies.org/aphia.php?p=taxdetails&amp;id=101801","101801")</f>
        <v>101801</v>
      </c>
      <c r="E600" s="22" t="s">
        <v>1065</v>
      </c>
      <c r="F600" s="22" t="s">
        <v>1065</v>
      </c>
      <c r="G600" s="22" t="s">
        <v>94</v>
      </c>
      <c r="H600" s="23" t="str">
        <f>HYPERLINK("http://www.marinespecies.org/aphia.php?p=taxdetails&amp;id=101801","101801")</f>
        <v>101801</v>
      </c>
      <c r="I600" s="22" t="s">
        <v>94</v>
      </c>
      <c r="J600" s="24" t="str">
        <f t="shared" si="4"/>
        <v/>
      </c>
    </row>
    <row r="601">
      <c r="A601" s="22" t="s">
        <v>1066</v>
      </c>
      <c r="B601" s="22">
        <v>1.0</v>
      </c>
      <c r="C601" s="23" t="str">
        <f>HYPERLINK("http://ecotaxoserver.obs-vlfr.fr/browsetaxo/?id=93122","93122")</f>
        <v>93122</v>
      </c>
      <c r="D601" s="23" t="str">
        <f>HYPERLINK("http://www.marinespecies.org/aphia.php?p=taxdetails&amp;id=290274","290274")</f>
        <v>290274</v>
      </c>
      <c r="E601" s="22" t="s">
        <v>1067</v>
      </c>
      <c r="F601" s="22" t="s">
        <v>1067</v>
      </c>
      <c r="G601" s="22" t="s">
        <v>94</v>
      </c>
      <c r="H601" s="23" t="str">
        <f>HYPERLINK("http://www.marinespecies.org/aphia.php?p=taxdetails&amp;id=290274","290274")</f>
        <v>290274</v>
      </c>
      <c r="I601" s="22" t="s">
        <v>94</v>
      </c>
      <c r="J601" s="24" t="str">
        <f t="shared" si="4"/>
        <v/>
      </c>
    </row>
    <row r="602">
      <c r="A602" s="22" t="s">
        <v>1068</v>
      </c>
      <c r="B602" s="22">
        <v>1.0</v>
      </c>
      <c r="C602" s="23" t="str">
        <f>HYPERLINK("http://ecotaxoserver.obs-vlfr.fr/browsetaxo/?id=83619","83619")</f>
        <v>83619</v>
      </c>
      <c r="D602" s="23" t="str">
        <f>HYPERLINK("http://www.marinespecies.org/aphia.php?p=taxdetails&amp;id=106988","106988")</f>
        <v>106988</v>
      </c>
      <c r="E602" s="22" t="s">
        <v>424</v>
      </c>
      <c r="F602" s="22" t="s">
        <v>996</v>
      </c>
      <c r="G602" s="22" t="s">
        <v>94</v>
      </c>
      <c r="H602" s="23" t="str">
        <f>HYPERLINK("http://www.marinespecies.org/aphia.php?p=taxdetails&amp;id=106988","106988")</f>
        <v>106988</v>
      </c>
      <c r="I602" s="22" t="s">
        <v>94</v>
      </c>
      <c r="J602" s="24" t="str">
        <f t="shared" si="4"/>
        <v>!=</v>
      </c>
    </row>
    <row r="603">
      <c r="A603" s="22" t="s">
        <v>1069</v>
      </c>
      <c r="B603" s="22">
        <v>250.0</v>
      </c>
      <c r="C603" s="23" t="str">
        <f>HYPERLINK("http://ecotaxoserver.obs-vlfr.fr/browsetaxo/?id=28241","28241")</f>
        <v>28241</v>
      </c>
      <c r="D603" s="23" t="str">
        <f>HYPERLINK("http://www.marinespecies.org/aphia.php?p=taxdetails&amp;id=149134","149134")</f>
        <v>149134</v>
      </c>
      <c r="E603" s="22" t="s">
        <v>281</v>
      </c>
      <c r="F603" s="22" t="s">
        <v>1070</v>
      </c>
      <c r="G603" s="22" t="s">
        <v>94</v>
      </c>
      <c r="H603" s="23" t="str">
        <f>HYPERLINK("http://www.marinespecies.org/aphia.php?p=taxdetails&amp;id=149134","149134")</f>
        <v>149134</v>
      </c>
      <c r="I603" s="22" t="s">
        <v>94</v>
      </c>
      <c r="J603" s="24" t="str">
        <f t="shared" si="4"/>
        <v>!=</v>
      </c>
    </row>
    <row r="604">
      <c r="A604" s="22" t="s">
        <v>1071</v>
      </c>
      <c r="B604" s="22">
        <v>1.0</v>
      </c>
      <c r="C604" s="23" t="str">
        <f>HYPERLINK("http://ecotaxoserver.obs-vlfr.fr/browsetaxo/?id=83618","83618")</f>
        <v>83618</v>
      </c>
      <c r="D604" s="23" t="str">
        <f>HYPERLINK("http://www.marinespecies.org/aphia.php?p=taxdetails&amp;id=107031","107031")</f>
        <v>107031</v>
      </c>
      <c r="E604" s="22" t="s">
        <v>424</v>
      </c>
      <c r="F604" s="22" t="s">
        <v>1072</v>
      </c>
      <c r="G604" s="22" t="s">
        <v>94</v>
      </c>
      <c r="H604" s="23" t="str">
        <f>HYPERLINK("http://www.marinespecies.org/aphia.php?p=taxdetails&amp;id=107031","107031")</f>
        <v>107031</v>
      </c>
      <c r="I604" s="22" t="s">
        <v>94</v>
      </c>
      <c r="J604" s="24" t="str">
        <f t="shared" si="4"/>
        <v>!=</v>
      </c>
    </row>
    <row r="605">
      <c r="A605" s="22" t="s">
        <v>1073</v>
      </c>
      <c r="B605" s="22">
        <v>1.0</v>
      </c>
      <c r="C605" s="23" t="str">
        <f>HYPERLINK("http://ecotaxoserver.obs-vlfr.fr/browsetaxo/?id=84321","84321")</f>
        <v>84321</v>
      </c>
      <c r="D605" s="23" t="str">
        <f>HYPERLINK("http://www.marinespecies.org/aphia.php?p=taxdetails&amp;id=107612","107612")</f>
        <v>107612</v>
      </c>
      <c r="E605" s="22" t="s">
        <v>1071</v>
      </c>
      <c r="F605" s="22" t="s">
        <v>1071</v>
      </c>
      <c r="G605" s="22" t="s">
        <v>94</v>
      </c>
      <c r="H605" s="23" t="str">
        <f>HYPERLINK("http://www.marinespecies.org/aphia.php?p=taxdetails&amp;id=107612","107612")</f>
        <v>107612</v>
      </c>
      <c r="I605" s="22" t="s">
        <v>94</v>
      </c>
      <c r="J605" s="24" t="str">
        <f t="shared" si="4"/>
        <v/>
      </c>
    </row>
    <row r="606">
      <c r="A606" s="22" t="s">
        <v>1074</v>
      </c>
      <c r="B606" s="22">
        <v>65.0</v>
      </c>
      <c r="C606" s="23" t="str">
        <f>HYPERLINK("http://ecotaxoserver.obs-vlfr.fr/browsetaxo/?id=81818","81818")</f>
        <v>81818</v>
      </c>
      <c r="D606" s="23" t="str">
        <f>HYPERLINK("http://www.marinespecies.org/aphia.php?p=taxdetails&amp;id=135365","135365")</f>
        <v>135365</v>
      </c>
      <c r="E606" s="22" t="s">
        <v>495</v>
      </c>
      <c r="F606" s="22" t="s">
        <v>496</v>
      </c>
      <c r="G606" s="22" t="s">
        <v>94</v>
      </c>
      <c r="H606" s="23" t="str">
        <f>HYPERLINK("http://www.marinespecies.org/aphia.php?p=taxdetails&amp;id=135365","135365")</f>
        <v>135365</v>
      </c>
      <c r="I606" s="22" t="s">
        <v>94</v>
      </c>
      <c r="J606" s="24" t="str">
        <f t="shared" si="4"/>
        <v>!=</v>
      </c>
    </row>
    <row r="607">
      <c r="A607" s="22" t="s">
        <v>1075</v>
      </c>
      <c r="B607" s="22">
        <v>765.0</v>
      </c>
      <c r="C607" s="23" t="str">
        <f>HYPERLINK("http://ecotaxoserver.obs-vlfr.fr/browsetaxo/?id=87826","87826")</f>
        <v>87826</v>
      </c>
      <c r="D607" s="23" t="str">
        <f>HYPERLINK("http://www.marinespecies.org/aphia.php?p=taxdetails&amp;id=135439","135439")</f>
        <v>135439</v>
      </c>
      <c r="E607" s="22" t="s">
        <v>1074</v>
      </c>
      <c r="F607" s="22" t="s">
        <v>1074</v>
      </c>
      <c r="G607" s="22" t="s">
        <v>94</v>
      </c>
      <c r="H607" s="23" t="str">
        <f>HYPERLINK("http://www.marinespecies.org/aphia.php?p=taxdetails&amp;id=135439","135439")</f>
        <v>135439</v>
      </c>
      <c r="I607" s="22" t="s">
        <v>94</v>
      </c>
      <c r="J607" s="24" t="str">
        <f t="shared" si="4"/>
        <v/>
      </c>
    </row>
    <row r="608">
      <c r="A608" s="22" t="s">
        <v>1076</v>
      </c>
      <c r="B608" s="22">
        <v>2.0</v>
      </c>
      <c r="C608" s="23" t="str">
        <f>HYPERLINK("http://ecotaxoserver.obs-vlfr.fr/browsetaxo/?id=83616","83616")</f>
        <v>83616</v>
      </c>
      <c r="D608" s="23" t="str">
        <f>HYPERLINK("http://www.marinespecies.org/aphia.php?p=taxdetails&amp;id=107050","107050")</f>
        <v>107050</v>
      </c>
      <c r="E608" s="22" t="s">
        <v>424</v>
      </c>
      <c r="F608" s="22" t="s">
        <v>1077</v>
      </c>
      <c r="G608" s="22" t="s">
        <v>94</v>
      </c>
      <c r="H608" s="23" t="str">
        <f>HYPERLINK("http://www.marinespecies.org/aphia.php?p=taxdetails&amp;id=107050","107050")</f>
        <v>107050</v>
      </c>
      <c r="I608" s="22" t="s">
        <v>94</v>
      </c>
      <c r="J608" s="24" t="str">
        <f t="shared" si="4"/>
        <v>!=</v>
      </c>
    </row>
    <row r="609">
      <c r="A609" s="22" t="s">
        <v>1078</v>
      </c>
      <c r="B609" s="22">
        <v>2.0</v>
      </c>
      <c r="C609" s="23" t="str">
        <f>HYPERLINK("http://ecotaxoserver.obs-vlfr.fr/browsetaxo/?id=17520","17520")</f>
        <v>17520</v>
      </c>
      <c r="D609" s="23" t="str">
        <f>HYPERLINK("http://www.marinespecies.org/aphia.php?p=taxdetails&amp;id=149036","149036")</f>
        <v>149036</v>
      </c>
      <c r="E609" s="22" t="s">
        <v>1079</v>
      </c>
      <c r="F609" s="22" t="s">
        <v>1080</v>
      </c>
      <c r="G609" s="22" t="s">
        <v>94</v>
      </c>
      <c r="H609" s="23" t="str">
        <f>HYPERLINK("http://www.marinespecies.org/aphia.php?p=taxdetails&amp;id=149036","149036")</f>
        <v>149036</v>
      </c>
      <c r="I609" s="22" t="s">
        <v>94</v>
      </c>
      <c r="J609" s="24" t="str">
        <f t="shared" si="4"/>
        <v>!=</v>
      </c>
    </row>
    <row r="610">
      <c r="A610" s="22" t="s">
        <v>1081</v>
      </c>
      <c r="B610" s="22">
        <v>942.0</v>
      </c>
      <c r="C610" s="23" t="str">
        <f>HYPERLINK("http://ecotaxoserver.obs-vlfr.fr/browsetaxo/?id=28298","28298")</f>
        <v>28298</v>
      </c>
      <c r="D610" s="23" t="str">
        <f>HYPERLINK("http://www.marinespecies.org/aphia.php?p=taxdetails&amp;id=149038","149038")</f>
        <v>149038</v>
      </c>
      <c r="E610" s="22" t="s">
        <v>688</v>
      </c>
      <c r="F610" s="22" t="s">
        <v>1082</v>
      </c>
      <c r="G610" s="22" t="s">
        <v>94</v>
      </c>
      <c r="H610" s="23" t="str">
        <f>HYPERLINK("http://www.marinespecies.org/aphia.php?p=taxdetails&amp;id=149038","149038")</f>
        <v>149038</v>
      </c>
      <c r="I610" s="22" t="s">
        <v>94</v>
      </c>
      <c r="J610" s="24" t="str">
        <f t="shared" si="4"/>
        <v>!=</v>
      </c>
    </row>
    <row r="611">
      <c r="A611" s="22" t="s">
        <v>1083</v>
      </c>
      <c r="B611" s="22">
        <v>106.0</v>
      </c>
      <c r="C611" s="23" t="str">
        <f>HYPERLINK("http://ecotaxoserver.obs-vlfr.fr/browsetaxo/?id=56071","56071")</f>
        <v>56071</v>
      </c>
      <c r="D611" s="23" t="str">
        <f>HYPERLINK("http://www.marinespecies.org/aphia.php?p=taxdetails&amp;id=839792","839792")</f>
        <v>839792</v>
      </c>
      <c r="E611" s="22" t="s">
        <v>1081</v>
      </c>
      <c r="F611" s="22" t="s">
        <v>1081</v>
      </c>
      <c r="G611" s="22" t="s">
        <v>94</v>
      </c>
      <c r="H611" s="23" t="str">
        <f>HYPERLINK("http://www.marinespecies.org/aphia.php?p=taxdetails&amp;id=839792","839792")</f>
        <v>839792</v>
      </c>
      <c r="I611" s="22" t="s">
        <v>94</v>
      </c>
      <c r="J611" s="24" t="str">
        <f t="shared" si="4"/>
        <v/>
      </c>
    </row>
    <row r="612">
      <c r="A612" s="22" t="s">
        <v>1084</v>
      </c>
      <c r="B612" s="22">
        <v>26.0</v>
      </c>
      <c r="C612" s="23" t="str">
        <f>HYPERLINK("http://ecotaxoserver.obs-vlfr.fr/browsetaxo/?id=82093","82093")</f>
        <v>82093</v>
      </c>
      <c r="D612" s="23" t="str">
        <f>HYPERLINK("http://www.marinespecies.org/aphia.php?p=taxdetails&amp;id=247922","247922")</f>
        <v>247922</v>
      </c>
      <c r="E612" s="22" t="s">
        <v>1085</v>
      </c>
      <c r="F612" s="22" t="s">
        <v>1085</v>
      </c>
      <c r="G612" s="22" t="s">
        <v>94</v>
      </c>
      <c r="H612" s="23" t="str">
        <f>HYPERLINK("http://www.marinespecies.org/aphia.php?p=taxdetails&amp;id=247922","247922")</f>
        <v>247922</v>
      </c>
      <c r="I612" s="22" t="s">
        <v>94</v>
      </c>
      <c r="J612" s="24" t="str">
        <f t="shared" si="4"/>
        <v/>
      </c>
    </row>
    <row r="613">
      <c r="A613" s="22" t="s">
        <v>1086</v>
      </c>
      <c r="B613" s="22">
        <v>53.0</v>
      </c>
      <c r="C613" s="23" t="str">
        <f>HYPERLINK("http://ecotaxoserver.obs-vlfr.fr/browsetaxo/?id=82393","82393")</f>
        <v>82393</v>
      </c>
      <c r="D613" s="23" t="str">
        <f>HYPERLINK("http://www.marinespecies.org/aphia.php?p=taxdetails&amp;id=247980","247980")</f>
        <v>247980</v>
      </c>
      <c r="E613" s="22" t="s">
        <v>1084</v>
      </c>
      <c r="F613" s="22" t="s">
        <v>1084</v>
      </c>
      <c r="G613" s="22" t="s">
        <v>94</v>
      </c>
      <c r="H613" s="23" t="str">
        <f>HYPERLINK("http://www.marinespecies.org/aphia.php?p=taxdetails&amp;id=247980","247980")</f>
        <v>247980</v>
      </c>
      <c r="I613" s="22" t="s">
        <v>94</v>
      </c>
      <c r="J613" s="24" t="str">
        <f t="shared" si="4"/>
        <v/>
      </c>
    </row>
    <row r="614">
      <c r="A614" s="22" t="s">
        <v>143</v>
      </c>
      <c r="B614" s="22">
        <v>217.0</v>
      </c>
      <c r="C614" s="23" t="str">
        <f>HYPERLINK("http://ecotaxoserver.obs-vlfr.fr/browsetaxo/?id=25991","25991")</f>
        <v>25991</v>
      </c>
      <c r="D614" s="23" t="str">
        <f>HYPERLINK("http://www.marinespecies.org/aphia.php?p=taxdetails&amp;id=13552","13552")</f>
        <v>13552</v>
      </c>
      <c r="E614" s="22" t="s">
        <v>227</v>
      </c>
      <c r="F614" s="22" t="s">
        <v>227</v>
      </c>
      <c r="G614" s="22" t="s">
        <v>94</v>
      </c>
      <c r="H614" s="23" t="str">
        <f>HYPERLINK("http://www.marinespecies.org/aphia.php?p=taxdetails&amp;id=13552","13552")</f>
        <v>13552</v>
      </c>
      <c r="I614" s="22" t="s">
        <v>94</v>
      </c>
      <c r="J614" s="24" t="str">
        <f t="shared" si="4"/>
        <v/>
      </c>
    </row>
    <row r="615">
      <c r="A615" s="22" t="s">
        <v>1087</v>
      </c>
      <c r="B615" s="22">
        <v>3.0</v>
      </c>
      <c r="C615" s="23" t="str">
        <f>HYPERLINK("http://ecotaxoserver.obs-vlfr.fr/browsetaxo/?id=58445","58445")</f>
        <v>58445</v>
      </c>
      <c r="D615" s="23" t="str">
        <f>HYPERLINK("http://www.marinespecies.org/aphia.php?p=taxdetails&amp;id=231809","231809")</f>
        <v>231809</v>
      </c>
      <c r="E615" s="22" t="s">
        <v>1088</v>
      </c>
      <c r="F615" s="22" t="s">
        <v>1088</v>
      </c>
      <c r="G615" s="22" t="s">
        <v>94</v>
      </c>
      <c r="H615" s="23" t="str">
        <f>HYPERLINK("http://www.marinespecies.org/aphia.php?p=taxdetails&amp;id=231809","231809")</f>
        <v>231809</v>
      </c>
      <c r="I615" s="22" t="s">
        <v>94</v>
      </c>
      <c r="J615" s="24" t="str">
        <f t="shared" si="4"/>
        <v/>
      </c>
    </row>
    <row r="616">
      <c r="A616" s="22" t="s">
        <v>1089</v>
      </c>
      <c r="B616" s="22">
        <v>4.0</v>
      </c>
      <c r="C616" s="23" t="str">
        <f>HYPERLINK("http://ecotaxoserver.obs-vlfr.fr/browsetaxo/?id=78977","78977")</f>
        <v>78977</v>
      </c>
      <c r="D616" s="23" t="str">
        <f>HYPERLINK("http://www.marinespecies.org/aphia.php?p=taxdetails&amp;id=232703","232703")</f>
        <v>232703</v>
      </c>
      <c r="E616" s="22" t="s">
        <v>1087</v>
      </c>
      <c r="F616" s="22" t="s">
        <v>1087</v>
      </c>
      <c r="G616" s="22" t="s">
        <v>94</v>
      </c>
      <c r="H616" s="23" t="str">
        <f>HYPERLINK("http://www.marinespecies.org/aphia.php?p=taxdetails&amp;id=232703","232703")</f>
        <v>232703</v>
      </c>
      <c r="I616" s="22" t="s">
        <v>94</v>
      </c>
      <c r="J616" s="24" t="str">
        <f t="shared" si="4"/>
        <v/>
      </c>
    </row>
    <row r="617">
      <c r="A617" s="22" t="s">
        <v>1090</v>
      </c>
      <c r="B617" s="22">
        <v>2.0</v>
      </c>
      <c r="C617" s="23" t="str">
        <f>HYPERLINK("http://ecotaxoserver.obs-vlfr.fr/browsetaxo/?id=83800","83800")</f>
        <v>83800</v>
      </c>
      <c r="D617" s="23" t="str">
        <f>HYPERLINK("http://www.marinespecies.org/aphia.php?p=taxdetails&amp;id=180697","180697")</f>
        <v>180697</v>
      </c>
      <c r="E617" s="22" t="s">
        <v>1091</v>
      </c>
      <c r="F617" s="22" t="s">
        <v>1091</v>
      </c>
      <c r="G617" s="22" t="s">
        <v>94</v>
      </c>
      <c r="H617" s="23" t="str">
        <f>HYPERLINK("http://www.marinespecies.org/aphia.php?p=taxdetails&amp;id=180697","180697")</f>
        <v>180697</v>
      </c>
      <c r="I617" s="22" t="s">
        <v>94</v>
      </c>
      <c r="J617" s="24" t="str">
        <f t="shared" si="4"/>
        <v/>
      </c>
    </row>
    <row r="618">
      <c r="A618" s="22" t="s">
        <v>1092</v>
      </c>
      <c r="B618" s="22">
        <v>1.0</v>
      </c>
      <c r="C618" s="23" t="str">
        <f>HYPERLINK("http://ecotaxoserver.obs-vlfr.fr/browsetaxo/?id=93327","93327")</f>
        <v>93327</v>
      </c>
      <c r="D618" s="23" t="str">
        <f>HYPERLINK("http://www.marinespecies.org/aphia.php?p=taxdetails&amp;id=221196","221196")</f>
        <v>221196</v>
      </c>
      <c r="E618" s="22" t="s">
        <v>1093</v>
      </c>
      <c r="F618" s="22" t="s">
        <v>1093</v>
      </c>
      <c r="G618" s="22" t="s">
        <v>94</v>
      </c>
      <c r="H618" s="23" t="str">
        <f>HYPERLINK("http://www.marinespecies.org/aphia.php?p=taxdetails&amp;id=221196","221196")</f>
        <v>221196</v>
      </c>
      <c r="I618" s="22" t="s">
        <v>94</v>
      </c>
      <c r="J618" s="24" t="str">
        <f t="shared" si="4"/>
        <v/>
      </c>
    </row>
    <row r="619">
      <c r="A619" s="22" t="s">
        <v>1094</v>
      </c>
      <c r="B619" s="22">
        <v>1.0</v>
      </c>
      <c r="C619" s="23" t="str">
        <f>HYPERLINK("http://ecotaxoserver.obs-vlfr.fr/browsetaxo/?id=93309","93309")</f>
        <v>93309</v>
      </c>
      <c r="D619" s="23" t="str">
        <f>HYPERLINK("http://www.marinespecies.org/aphia.php?p=taxdetails&amp;id=403693","403693")</f>
        <v>403693</v>
      </c>
      <c r="E619" s="22" t="s">
        <v>1093</v>
      </c>
      <c r="F619" s="22" t="s">
        <v>1093</v>
      </c>
      <c r="G619" s="22" t="s">
        <v>94</v>
      </c>
      <c r="H619" s="23" t="str">
        <f>HYPERLINK("http://www.marinespecies.org/aphia.php?p=taxdetails&amp;id=403693","403693")</f>
        <v>403693</v>
      </c>
      <c r="I619" s="22" t="s">
        <v>94</v>
      </c>
      <c r="J619" s="24" t="str">
        <f t="shared" si="4"/>
        <v/>
      </c>
    </row>
    <row r="620">
      <c r="A620" s="22" t="s">
        <v>1095</v>
      </c>
      <c r="B620" s="22">
        <v>54.0</v>
      </c>
      <c r="C620" s="23" t="str">
        <f>HYPERLINK("http://ecotaxoserver.obs-vlfr.fr/browsetaxo/?id=92134","92134")</f>
        <v>92134</v>
      </c>
      <c r="D620" s="23" t="str">
        <f>HYPERLINK("http://www.marinespecies.org/aphia.php?p=taxdetails&amp;id=106398","106398")</f>
        <v>106398</v>
      </c>
      <c r="E620" s="22" t="s">
        <v>1096</v>
      </c>
      <c r="F620" s="22" t="s">
        <v>1096</v>
      </c>
      <c r="G620" s="22" t="s">
        <v>94</v>
      </c>
      <c r="H620" s="23" t="str">
        <f>HYPERLINK("http://www.marinespecies.org/aphia.php?p=taxdetails&amp;id=106398","106398")</f>
        <v>106398</v>
      </c>
      <c r="I620" s="22" t="s">
        <v>94</v>
      </c>
      <c r="J620" s="24" t="str">
        <f t="shared" si="4"/>
        <v/>
      </c>
    </row>
    <row r="621">
      <c r="A621" s="22" t="s">
        <v>1097</v>
      </c>
      <c r="B621" s="22">
        <v>2.0</v>
      </c>
      <c r="C621" s="23" t="str">
        <f>HYPERLINK("http://ecotaxoserver.obs-vlfr.fr/browsetaxo/?id=26053","26053")</f>
        <v>26053</v>
      </c>
      <c r="D621" s="23" t="str">
        <f>HYPERLINK("http://www.marinespecies.org/aphia.php?p=taxdetails&amp;id=264862","264862")</f>
        <v>264862</v>
      </c>
      <c r="E621" s="22" t="s">
        <v>1098</v>
      </c>
      <c r="F621" s="22" t="s">
        <v>1098</v>
      </c>
      <c r="G621" s="22" t="s">
        <v>94</v>
      </c>
      <c r="H621" s="23" t="str">
        <f>HYPERLINK("http://www.marinespecies.org/aphia.php?p=taxdetails&amp;id=264862","264862")</f>
        <v>264862</v>
      </c>
      <c r="I621" s="22" t="s">
        <v>94</v>
      </c>
      <c r="J621" s="24" t="str">
        <f t="shared" si="4"/>
        <v/>
      </c>
    </row>
    <row r="622">
      <c r="A622" s="22" t="s">
        <v>1099</v>
      </c>
      <c r="B622" s="22">
        <v>1712.0</v>
      </c>
      <c r="C622" s="23" t="str">
        <f>HYPERLINK("http://ecotaxoserver.obs-vlfr.fr/browsetaxo/?id=49820","49820")</f>
        <v>49820</v>
      </c>
      <c r="D622" s="23" t="str">
        <f>HYPERLINK("http://www.marinespecies.org/aphia.php?p=taxdetails&amp;id=1037328","1037328")</f>
        <v>1037328</v>
      </c>
      <c r="E622" s="22" t="s">
        <v>499</v>
      </c>
      <c r="F622" s="22" t="s">
        <v>1100</v>
      </c>
      <c r="G622" s="22" t="s">
        <v>94</v>
      </c>
      <c r="H622" s="23" t="str">
        <f>HYPERLINK("http://www.marinespecies.org/aphia.php?p=taxdetails&amp;id=1037328","1037328")</f>
        <v>1037328</v>
      </c>
      <c r="I622" s="22" t="s">
        <v>94</v>
      </c>
      <c r="J622" s="24" t="str">
        <f t="shared" si="4"/>
        <v>!=</v>
      </c>
    </row>
    <row r="623">
      <c r="A623" s="22" t="s">
        <v>1101</v>
      </c>
      <c r="B623" s="22">
        <v>1616.0</v>
      </c>
      <c r="C623" s="23" t="str">
        <f>HYPERLINK("http://ecotaxoserver.obs-vlfr.fr/browsetaxo/?id=28161","28161")</f>
        <v>28161</v>
      </c>
      <c r="D623" s="23" t="str">
        <f>HYPERLINK("http://www.marinespecies.org/aphia.php?p=taxdetails&amp;id=149342","149342")</f>
        <v>149342</v>
      </c>
      <c r="E623" s="22" t="s">
        <v>119</v>
      </c>
      <c r="F623" s="22" t="s">
        <v>1102</v>
      </c>
      <c r="G623" s="22" t="s">
        <v>94</v>
      </c>
      <c r="H623" s="23" t="str">
        <f>HYPERLINK("http://www.marinespecies.org/aphia.php?p=taxdetails&amp;id=149342","149342")</f>
        <v>149342</v>
      </c>
      <c r="I623" s="22" t="s">
        <v>94</v>
      </c>
      <c r="J623" s="24" t="str">
        <f t="shared" si="4"/>
        <v>!=</v>
      </c>
    </row>
    <row r="624">
      <c r="A624" s="22" t="s">
        <v>1103</v>
      </c>
      <c r="B624" s="22">
        <v>3.0</v>
      </c>
      <c r="C624" s="23" t="str">
        <f>HYPERLINK("http://ecotaxoserver.obs-vlfr.fr/browsetaxo/?id=55593","55593")</f>
        <v>55593</v>
      </c>
      <c r="D624" s="23" t="str">
        <f>HYPERLINK("http://www.marinespecies.org/aphia.php?p=taxdetails&amp;id=149343","149343")</f>
        <v>149343</v>
      </c>
      <c r="E624" s="22" t="s">
        <v>1101</v>
      </c>
      <c r="F624" s="22" t="s">
        <v>1101</v>
      </c>
      <c r="G624" s="22" t="s">
        <v>94</v>
      </c>
      <c r="H624" s="23" t="str">
        <f>HYPERLINK("http://www.marinespecies.org/aphia.php?p=taxdetails&amp;id=149343","149343")</f>
        <v>149343</v>
      </c>
      <c r="I624" s="22" t="s">
        <v>94</v>
      </c>
      <c r="J624" s="24" t="str">
        <f t="shared" si="4"/>
        <v/>
      </c>
    </row>
    <row r="625">
      <c r="A625" s="22" t="s">
        <v>1104</v>
      </c>
      <c r="B625" s="22">
        <v>6.0</v>
      </c>
      <c r="C625" s="23" t="str">
        <f>HYPERLINK("http://ecotaxoserver.obs-vlfr.fr/browsetaxo/?id=52165","52165")</f>
        <v>52165</v>
      </c>
      <c r="D625" s="23" t="str">
        <f>HYPERLINK("http://www.marinespecies.org/aphia.php?p=taxdetails&amp;id=138125","138125")</f>
        <v>138125</v>
      </c>
      <c r="E625" s="22" t="s">
        <v>1105</v>
      </c>
      <c r="F625" s="22" t="s">
        <v>1106</v>
      </c>
      <c r="G625" s="22" t="s">
        <v>94</v>
      </c>
      <c r="H625" s="23" t="str">
        <f>HYPERLINK("http://www.marinespecies.org/aphia.php?p=taxdetails&amp;id=138125","138125")</f>
        <v>138125</v>
      </c>
      <c r="I625" s="22" t="s">
        <v>94</v>
      </c>
      <c r="J625" s="24" t="str">
        <f t="shared" si="4"/>
        <v>!=</v>
      </c>
    </row>
    <row r="626">
      <c r="A626" s="22" t="s">
        <v>1107</v>
      </c>
      <c r="B626" s="22">
        <v>3.0</v>
      </c>
      <c r="C626" s="23" t="str">
        <f>HYPERLINK("http://ecotaxoserver.obs-vlfr.fr/browsetaxo/?id=56498","56498")</f>
        <v>56498</v>
      </c>
      <c r="D626" s="23" t="str">
        <f>HYPERLINK("http://www.marinespecies.org/aphia.php?p=taxdetails&amp;id=138368","138368")</f>
        <v>138368</v>
      </c>
      <c r="E626" s="22" t="s">
        <v>1108</v>
      </c>
      <c r="F626" s="22" t="s">
        <v>1109</v>
      </c>
      <c r="G626" s="22" t="s">
        <v>94</v>
      </c>
      <c r="H626" s="23" t="str">
        <f>HYPERLINK("http://www.marinespecies.org/aphia.php?p=taxdetails&amp;id=138368","138368")</f>
        <v>138368</v>
      </c>
      <c r="I626" s="22" t="s">
        <v>94</v>
      </c>
      <c r="J626" s="24" t="str">
        <f t="shared" si="4"/>
        <v>!=</v>
      </c>
    </row>
    <row r="627">
      <c r="A627" s="22" t="s">
        <v>1110</v>
      </c>
      <c r="B627" s="22">
        <v>106147.0</v>
      </c>
      <c r="C627" s="23" t="str">
        <f>HYPERLINK("http://ecotaxoserver.obs-vlfr.fr/browsetaxo/?id=56318","56318")</f>
        <v>56318</v>
      </c>
      <c r="D627" s="23" t="str">
        <f>HYPERLINK("http://www.marinespecies.org/aphia.php?p=taxdetails&amp;id=138122","138122")</f>
        <v>138122</v>
      </c>
      <c r="E627" s="22" t="s">
        <v>1111</v>
      </c>
      <c r="F627" s="22" t="s">
        <v>1111</v>
      </c>
      <c r="G627" s="22" t="s">
        <v>94</v>
      </c>
      <c r="H627" s="23" t="str">
        <f>HYPERLINK("http://www.marinespecies.org/aphia.php?p=taxdetails&amp;id=138122","138122")</f>
        <v>138122</v>
      </c>
      <c r="I627" s="22" t="s">
        <v>94</v>
      </c>
      <c r="J627" s="24" t="str">
        <f t="shared" si="4"/>
        <v/>
      </c>
    </row>
    <row r="628">
      <c r="A628" s="22" t="s">
        <v>1112</v>
      </c>
      <c r="B628" s="22">
        <v>186.0</v>
      </c>
      <c r="C628" s="23" t="str">
        <f>HYPERLINK("http://ecotaxoserver.obs-vlfr.fr/browsetaxo/?id=78154","78154")</f>
        <v>78154</v>
      </c>
      <c r="D628" s="23" t="str">
        <f>HYPERLINK("http://www.marinespecies.org/aphia.php?p=taxdetails&amp;id=140222","140222")</f>
        <v>140222</v>
      </c>
      <c r="E628" s="22" t="s">
        <v>1110</v>
      </c>
      <c r="F628" s="22" t="s">
        <v>1110</v>
      </c>
      <c r="G628" s="22" t="s">
        <v>94</v>
      </c>
      <c r="H628" s="23" t="str">
        <f>HYPERLINK("http://www.marinespecies.org/aphia.php?p=taxdetails&amp;id=140222","140222")</f>
        <v>140222</v>
      </c>
      <c r="I628" s="22" t="s">
        <v>94</v>
      </c>
      <c r="J628" s="24" t="str">
        <f t="shared" si="4"/>
        <v/>
      </c>
    </row>
    <row r="629">
      <c r="A629" s="22" t="s">
        <v>1113</v>
      </c>
      <c r="B629" s="22">
        <v>5.0</v>
      </c>
      <c r="C629" s="23" t="str">
        <f>HYPERLINK("http://ecotaxoserver.obs-vlfr.fr/browsetaxo/?id=92809","92809")</f>
        <v>92809</v>
      </c>
      <c r="D629" s="23" t="str">
        <f>HYPERLINK("http://www.marinespecies.org/aphia.php?p=taxdetails&amp;id=140223","140223")</f>
        <v>140223</v>
      </c>
      <c r="E629" s="22" t="s">
        <v>1110</v>
      </c>
      <c r="F629" s="22" t="s">
        <v>1110</v>
      </c>
      <c r="G629" s="22" t="s">
        <v>94</v>
      </c>
      <c r="H629" s="23" t="str">
        <f>HYPERLINK("http://www.marinespecies.org/aphia.php?p=taxdetails&amp;id=140223","140223")</f>
        <v>140223</v>
      </c>
      <c r="I629" s="22" t="s">
        <v>94</v>
      </c>
      <c r="J629" s="24" t="str">
        <f t="shared" si="4"/>
        <v/>
      </c>
    </row>
    <row r="630">
      <c r="A630" s="22" t="s">
        <v>1114</v>
      </c>
      <c r="B630" s="22">
        <v>5.0</v>
      </c>
      <c r="C630" s="23" t="str">
        <f>HYPERLINK("http://ecotaxoserver.obs-vlfr.fr/browsetaxo/?id=92808","92808")</f>
        <v>92808</v>
      </c>
      <c r="D630" s="23" t="str">
        <f>HYPERLINK("http://www.marinespecies.org/aphia.php?p=taxdetails&amp;id=140227","140227")</f>
        <v>140227</v>
      </c>
      <c r="E630" s="22" t="s">
        <v>1110</v>
      </c>
      <c r="F630" s="22" t="s">
        <v>1110</v>
      </c>
      <c r="G630" s="22" t="s">
        <v>94</v>
      </c>
      <c r="H630" s="23" t="str">
        <f>HYPERLINK("http://www.marinespecies.org/aphia.php?p=taxdetails&amp;id=140227","140227")</f>
        <v>140227</v>
      </c>
      <c r="I630" s="22" t="s">
        <v>94</v>
      </c>
      <c r="J630" s="24" t="str">
        <f t="shared" si="4"/>
        <v/>
      </c>
    </row>
    <row r="631">
      <c r="A631" s="22" t="s">
        <v>1115</v>
      </c>
      <c r="B631" s="22">
        <v>50.0</v>
      </c>
      <c r="C631" s="23" t="str">
        <f>HYPERLINK("http://ecotaxoserver.obs-vlfr.fr/browsetaxo/?id=78152","78152")</f>
        <v>78152</v>
      </c>
      <c r="D631" s="23" t="str">
        <f>HYPERLINK("http://www.marinespecies.org/aphia.php?p=taxdetails&amp;id=140228","140228")</f>
        <v>140228</v>
      </c>
      <c r="E631" s="22" t="s">
        <v>1110</v>
      </c>
      <c r="F631" s="22" t="s">
        <v>1110</v>
      </c>
      <c r="G631" s="22" t="s">
        <v>94</v>
      </c>
      <c r="H631" s="23" t="str">
        <f>HYPERLINK("http://www.marinespecies.org/aphia.php?p=taxdetails&amp;id=140228","140228")</f>
        <v>140228</v>
      </c>
      <c r="I631" s="22" t="s">
        <v>94</v>
      </c>
      <c r="J631" s="24" t="str">
        <f t="shared" si="4"/>
        <v/>
      </c>
    </row>
    <row r="632">
      <c r="A632" s="22" t="s">
        <v>1111</v>
      </c>
      <c r="B632" s="22">
        <v>100166.0</v>
      </c>
      <c r="C632" s="23" t="str">
        <f>HYPERLINK("http://ecotaxoserver.obs-vlfr.fr/browsetaxo/?id=26524","26524")</f>
        <v>26524</v>
      </c>
      <c r="D632" s="23" t="str">
        <f>HYPERLINK("http://www.marinespecies.org/aphia.php?p=taxdetails&amp;id=13704","13704")</f>
        <v>13704</v>
      </c>
      <c r="E632" s="22" t="s">
        <v>432</v>
      </c>
      <c r="F632" s="22" t="s">
        <v>1116</v>
      </c>
      <c r="G632" s="22" t="s">
        <v>94</v>
      </c>
      <c r="H632" s="23" t="str">
        <f>HYPERLINK("http://www.marinespecies.org/aphia.php?p=taxdetails&amp;id=13704","13704")</f>
        <v>13704</v>
      </c>
      <c r="I632" s="22" t="s">
        <v>94</v>
      </c>
      <c r="J632" s="24" t="str">
        <f t="shared" si="4"/>
        <v>!=</v>
      </c>
    </row>
    <row r="633">
      <c r="A633" s="22" t="s">
        <v>1117</v>
      </c>
      <c r="B633" s="22">
        <v>1.0</v>
      </c>
      <c r="C633" s="23" t="str">
        <f>HYPERLINK("http://ecotaxoserver.obs-vlfr.fr/browsetaxo/?id=72789","72789")</f>
        <v>72789</v>
      </c>
      <c r="D633" s="23" t="str">
        <f>HYPERLINK("http://www.marinespecies.org/aphia.php?p=taxdetails&amp;id=221098","221098")</f>
        <v>221098</v>
      </c>
      <c r="E633" s="22" t="s">
        <v>1118</v>
      </c>
      <c r="F633" s="22" t="s">
        <v>1118</v>
      </c>
      <c r="G633" s="22" t="s">
        <v>94</v>
      </c>
      <c r="H633" s="23" t="str">
        <f>HYPERLINK("http://www.marinespecies.org/aphia.php?p=taxdetails&amp;id=221098","221098")</f>
        <v>221098</v>
      </c>
      <c r="I633" s="22" t="s">
        <v>94</v>
      </c>
      <c r="J633" s="24" t="str">
        <f t="shared" si="4"/>
        <v/>
      </c>
    </row>
    <row r="634">
      <c r="A634" s="22" t="s">
        <v>1119</v>
      </c>
      <c r="B634" s="22">
        <v>227.0</v>
      </c>
      <c r="C634" s="23" t="str">
        <f>HYPERLINK("http://ecotaxoserver.obs-vlfr.fr/browsetaxo/?id=92862","92862")</f>
        <v>92862</v>
      </c>
      <c r="D634" s="23" t="str">
        <f>HYPERLINK("http://www.marinespecies.org/aphia.php?p=taxdetails&amp;id=292726","292726")</f>
        <v>292726</v>
      </c>
      <c r="E634" s="22" t="s">
        <v>119</v>
      </c>
      <c r="F634" s="22" t="s">
        <v>1120</v>
      </c>
      <c r="G634" s="22" t="s">
        <v>94</v>
      </c>
      <c r="H634" s="23" t="str">
        <f>HYPERLINK("http://www.marinespecies.org/aphia.php?p=taxdetails&amp;id=292726","292726")</f>
        <v>292726</v>
      </c>
      <c r="I634" s="22" t="s">
        <v>94</v>
      </c>
      <c r="J634" s="24" t="str">
        <f t="shared" si="4"/>
        <v>!=</v>
      </c>
    </row>
    <row r="635">
      <c r="A635" s="22" t="s">
        <v>1121</v>
      </c>
      <c r="B635" s="22">
        <v>3.0</v>
      </c>
      <c r="C635" s="23" t="str">
        <f>HYPERLINK("http://ecotaxoserver.obs-vlfr.fr/browsetaxo/?id=93286","93286")</f>
        <v>93286</v>
      </c>
      <c r="D635" s="23" t="str">
        <f>HYPERLINK("http://www.marinespecies.org/aphia.php?p=taxdetails&amp;id=159229","159229")</f>
        <v>159229</v>
      </c>
      <c r="E635" s="22" t="s">
        <v>1122</v>
      </c>
      <c r="F635" s="22" t="s">
        <v>1122</v>
      </c>
      <c r="G635" s="22" t="s">
        <v>94</v>
      </c>
      <c r="H635" s="23" t="str">
        <f>HYPERLINK("http://www.marinespecies.org/aphia.php?p=taxdetails&amp;id=159229","159229")</f>
        <v>159229</v>
      </c>
      <c r="I635" s="22" t="s">
        <v>94</v>
      </c>
      <c r="J635" s="24" t="str">
        <f t="shared" si="4"/>
        <v/>
      </c>
    </row>
    <row r="636">
      <c r="A636" s="22" t="s">
        <v>1123</v>
      </c>
      <c r="B636" s="22">
        <v>1028.0</v>
      </c>
      <c r="C636" s="23" t="str">
        <f>HYPERLINK("http://ecotaxoserver.obs-vlfr.fr/browsetaxo/?id=72423","72423")</f>
        <v>72423</v>
      </c>
      <c r="D636" s="23" t="str">
        <f>HYPERLINK("http://www.marinespecies.org/aphia.php?p=taxdetails&amp;id=117099","117099")</f>
        <v>117099</v>
      </c>
      <c r="E636" s="22" t="s">
        <v>902</v>
      </c>
      <c r="F636" s="22" t="s">
        <v>902</v>
      </c>
      <c r="G636" s="22" t="s">
        <v>94</v>
      </c>
      <c r="H636" s="23" t="str">
        <f>HYPERLINK("http://www.marinespecies.org/aphia.php?p=taxdetails&amp;id=117099","117099")</f>
        <v>117099</v>
      </c>
      <c r="I636" s="22" t="s">
        <v>94</v>
      </c>
      <c r="J636" s="24" t="str">
        <f t="shared" si="4"/>
        <v/>
      </c>
    </row>
    <row r="637">
      <c r="A637" s="22" t="s">
        <v>1124</v>
      </c>
      <c r="B637" s="22">
        <v>85.0</v>
      </c>
      <c r="C637" s="23" t="str">
        <f>HYPERLINK("http://ecotaxoserver.obs-vlfr.fr/browsetaxo/?id=81862","81862")</f>
        <v>81862</v>
      </c>
      <c r="D637" s="23" t="str">
        <f>HYPERLINK("http://www.marinespecies.org/aphia.php?p=taxdetails&amp;id=117568","117568")</f>
        <v>117568</v>
      </c>
      <c r="E637" s="22" t="s">
        <v>1123</v>
      </c>
      <c r="F637" s="22" t="s">
        <v>1123</v>
      </c>
      <c r="G637" s="22" t="s">
        <v>94</v>
      </c>
      <c r="H637" s="23" t="str">
        <f>HYPERLINK("http://www.marinespecies.org/aphia.php?p=taxdetails&amp;id=117568","117568")</f>
        <v>117568</v>
      </c>
      <c r="I637" s="22" t="s">
        <v>94</v>
      </c>
      <c r="J637" s="24" t="str">
        <f t="shared" si="4"/>
        <v/>
      </c>
    </row>
    <row r="638">
      <c r="A638" s="22" t="s">
        <v>1125</v>
      </c>
      <c r="B638" s="22">
        <v>1293.0</v>
      </c>
      <c r="C638" s="23" t="str">
        <f>HYPERLINK("http://ecotaxoserver.obs-vlfr.fr/browsetaxo/?id=28239","28239")</f>
        <v>28239</v>
      </c>
      <c r="D638" s="23" t="str">
        <f>HYPERLINK("http://www.marinespecies.org/aphia.php?p=taxdetails&amp;id=450624","450624")</f>
        <v>450624</v>
      </c>
      <c r="E638" s="22" t="s">
        <v>281</v>
      </c>
      <c r="F638" s="22" t="s">
        <v>764</v>
      </c>
      <c r="G638" s="22" t="s">
        <v>94</v>
      </c>
      <c r="H638" s="23" t="str">
        <f>HYPERLINK("http://www.marinespecies.org/aphia.php?p=taxdetails&amp;id=450624","450624")</f>
        <v>450624</v>
      </c>
      <c r="I638" s="22" t="s">
        <v>94</v>
      </c>
      <c r="J638" s="24" t="str">
        <f t="shared" si="4"/>
        <v>!=</v>
      </c>
    </row>
    <row r="639">
      <c r="A639" s="22" t="s">
        <v>1098</v>
      </c>
      <c r="B639" s="22">
        <v>381.0</v>
      </c>
      <c r="C639" s="23" t="str">
        <f>HYPERLINK("http://ecotaxoserver.obs-vlfr.fr/browsetaxo/?id=16693","16693")</f>
        <v>16693</v>
      </c>
      <c r="D639" s="23" t="str">
        <f>HYPERLINK("http://www.marinespecies.org/aphia.php?p=taxdetails&amp;id=1258","1258")</f>
        <v>1258</v>
      </c>
      <c r="E639" s="22" t="s">
        <v>1126</v>
      </c>
      <c r="F639" s="22" t="s">
        <v>668</v>
      </c>
      <c r="G639" s="22" t="s">
        <v>94</v>
      </c>
      <c r="H639" s="23" t="str">
        <f>HYPERLINK("http://www.marinespecies.org/aphia.php?p=taxdetails&amp;id=1258","1258")</f>
        <v>1258</v>
      </c>
      <c r="I639" s="22" t="s">
        <v>94</v>
      </c>
      <c r="J639" s="24" t="str">
        <f t="shared" si="4"/>
        <v>!=</v>
      </c>
    </row>
    <row r="640">
      <c r="A640" s="22" t="s">
        <v>1127</v>
      </c>
      <c r="B640" s="22">
        <v>1.0</v>
      </c>
      <c r="C640" s="23" t="str">
        <f>HYPERLINK("http://ecotaxoserver.obs-vlfr.fr/browsetaxo/?id=25612","25612")</f>
        <v>25612</v>
      </c>
      <c r="D640" s="23" t="str">
        <f>HYPERLINK("http://www.marinespecies.org/aphia.php?p=taxdetails&amp;id=933","933")</f>
        <v>933</v>
      </c>
      <c r="E640" s="22" t="s">
        <v>239</v>
      </c>
      <c r="F640" s="22" t="s">
        <v>1128</v>
      </c>
      <c r="G640" s="22" t="s">
        <v>94</v>
      </c>
      <c r="H640" s="23" t="str">
        <f>HYPERLINK("http://www.marinespecies.org/aphia.php?p=taxdetails&amp;id=933","933")</f>
        <v>933</v>
      </c>
      <c r="I640" s="22" t="s">
        <v>94</v>
      </c>
      <c r="J640" s="24" t="str">
        <f t="shared" si="4"/>
        <v>!=</v>
      </c>
    </row>
    <row r="641">
      <c r="A641" s="22" t="s">
        <v>1129</v>
      </c>
      <c r="B641" s="22">
        <v>3.0</v>
      </c>
      <c r="C641" s="23" t="str">
        <f>HYPERLINK("http://ecotaxoserver.obs-vlfr.fr/browsetaxo/?id=92793","92793")</f>
        <v>92793</v>
      </c>
      <c r="D641" s="23" t="str">
        <f>HYPERLINK("http://www.marinespecies.org/aphia.php?p=taxdetails&amp;id=10316","10316")</f>
        <v>10316</v>
      </c>
      <c r="E641" s="22" t="s">
        <v>132</v>
      </c>
      <c r="F641" s="22" t="s">
        <v>132</v>
      </c>
      <c r="G641" s="22" t="s">
        <v>94</v>
      </c>
      <c r="H641" s="23" t="str">
        <f>HYPERLINK("http://www.marinespecies.org/aphia.php?p=taxdetails&amp;id=10316","10316")</f>
        <v>10316</v>
      </c>
      <c r="I641" s="22" t="s">
        <v>94</v>
      </c>
      <c r="J641" s="24" t="str">
        <f t="shared" si="4"/>
        <v/>
      </c>
    </row>
    <row r="642">
      <c r="A642" s="22" t="s">
        <v>1130</v>
      </c>
      <c r="B642" s="22">
        <v>53.0</v>
      </c>
      <c r="C642" s="23" t="str">
        <f>HYPERLINK("http://ecotaxoserver.obs-vlfr.fr/browsetaxo/?id=93061","93061")</f>
        <v>93061</v>
      </c>
      <c r="D642" s="23" t="str">
        <f>HYPERLINK("http://www.marinespecies.org/aphia.php?p=taxdetails&amp;id=128672","128672")</f>
        <v>128672</v>
      </c>
      <c r="E642" s="22" t="s">
        <v>1131</v>
      </c>
      <c r="F642" s="22" t="s">
        <v>1131</v>
      </c>
      <c r="G642" s="22" t="s">
        <v>94</v>
      </c>
      <c r="H642" s="23" t="str">
        <f>HYPERLINK("http://www.marinespecies.org/aphia.php?p=taxdetails&amp;id=128672","128672")</f>
        <v>128672</v>
      </c>
      <c r="I642" s="22" t="s">
        <v>94</v>
      </c>
      <c r="J642" s="24" t="str">
        <f t="shared" si="4"/>
        <v/>
      </c>
    </row>
    <row r="643">
      <c r="A643" s="22" t="s">
        <v>1131</v>
      </c>
      <c r="B643" s="22">
        <v>14.0</v>
      </c>
      <c r="C643" s="23" t="str">
        <f>HYPERLINK("http://ecotaxoserver.obs-vlfr.fr/browsetaxo/?id=92759","92759")</f>
        <v>92759</v>
      </c>
      <c r="D643" s="23" t="str">
        <f>HYPERLINK("http://www.marinespecies.org/aphia.php?p=taxdetails&amp;id=128578","128578")</f>
        <v>128578</v>
      </c>
      <c r="E643" s="22" t="s">
        <v>599</v>
      </c>
      <c r="F643" s="22" t="s">
        <v>600</v>
      </c>
      <c r="G643" s="22" t="s">
        <v>94</v>
      </c>
      <c r="H643" s="23" t="str">
        <f>HYPERLINK("http://www.marinespecies.org/aphia.php?p=taxdetails&amp;id=128578","128578")</f>
        <v>128578</v>
      </c>
      <c r="I643" s="22" t="s">
        <v>94</v>
      </c>
      <c r="J643" s="24" t="str">
        <f t="shared" si="4"/>
        <v>!=</v>
      </c>
    </row>
    <row r="644">
      <c r="A644" s="22" t="s">
        <v>1132</v>
      </c>
      <c r="B644" s="22">
        <v>31.0</v>
      </c>
      <c r="C644" s="23" t="str">
        <f>HYPERLINK("http://ecotaxoserver.obs-vlfr.fr/browsetaxo/?id=80153","80153")</f>
        <v>80153</v>
      </c>
      <c r="D644" s="23" t="str">
        <f>HYPERLINK("http://www.marinespecies.org/aphia.php?p=taxdetails&amp;id=104183","104183")</f>
        <v>104183</v>
      </c>
      <c r="E644" s="22" t="s">
        <v>1133</v>
      </c>
      <c r="F644" s="22" t="s">
        <v>1133</v>
      </c>
      <c r="G644" s="22" t="s">
        <v>94</v>
      </c>
      <c r="H644" s="23" t="str">
        <f>HYPERLINK("http://www.marinespecies.org/aphia.php?p=taxdetails&amp;id=104183","104183")</f>
        <v>104183</v>
      </c>
      <c r="I644" s="22" t="s">
        <v>94</v>
      </c>
      <c r="J644" s="24" t="str">
        <f t="shared" si="4"/>
        <v/>
      </c>
    </row>
    <row r="645">
      <c r="A645" s="22" t="s">
        <v>1133</v>
      </c>
      <c r="B645" s="22">
        <v>4467.0</v>
      </c>
      <c r="C645" s="23" t="str">
        <f>HYPERLINK("http://ecotaxoserver.obs-vlfr.fr/browsetaxo/?id=61983","61983")</f>
        <v>61983</v>
      </c>
      <c r="D645" s="23" t="str">
        <f>HYPERLINK("http://www.marinespecies.org/aphia.php?p=taxdetails&amp;id=104088","104088")</f>
        <v>104088</v>
      </c>
      <c r="E645" s="22" t="s">
        <v>111</v>
      </c>
      <c r="F645" s="22" t="s">
        <v>111</v>
      </c>
      <c r="G645" s="22" t="s">
        <v>94</v>
      </c>
      <c r="H645" s="23" t="str">
        <f>HYPERLINK("http://www.marinespecies.org/aphia.php?p=taxdetails&amp;id=104088","104088")</f>
        <v>104088</v>
      </c>
      <c r="I645" s="22" t="s">
        <v>94</v>
      </c>
      <c r="J645" s="24" t="str">
        <f t="shared" si="4"/>
        <v/>
      </c>
    </row>
    <row r="646">
      <c r="A646" s="22" t="s">
        <v>1134</v>
      </c>
      <c r="B646" s="22">
        <v>2251.0</v>
      </c>
      <c r="C646" s="23" t="str">
        <f>HYPERLINK("http://ecotaxoserver.obs-vlfr.fr/browsetaxo/?id=92094","92094")</f>
        <v>92094</v>
      </c>
      <c r="D646" s="23" t="str">
        <f>HYPERLINK("http://www.marinespecies.org/aphia.php?p=taxdetails&amp;id=106730","106730")</f>
        <v>106730</v>
      </c>
      <c r="E646" s="22" t="s">
        <v>1135</v>
      </c>
      <c r="F646" s="22" t="s">
        <v>1135</v>
      </c>
      <c r="G646" s="22" t="s">
        <v>94</v>
      </c>
      <c r="H646" s="23" t="str">
        <f>HYPERLINK("http://www.marinespecies.org/aphia.php?p=taxdetails&amp;id=106730","106730")</f>
        <v>106730</v>
      </c>
      <c r="I646" s="22" t="s">
        <v>94</v>
      </c>
      <c r="J646" s="24" t="str">
        <f t="shared" si="4"/>
        <v/>
      </c>
    </row>
    <row r="647">
      <c r="A647" s="22" t="s">
        <v>1136</v>
      </c>
      <c r="B647" s="22">
        <v>2.0</v>
      </c>
      <c r="C647" s="23" t="str">
        <f>HYPERLINK("http://ecotaxoserver.obs-vlfr.fr/browsetaxo/?id=51542","51542")</f>
        <v>51542</v>
      </c>
      <c r="D647" s="23" t="str">
        <f>HYPERLINK("http://www.marinespecies.org/aphia.php?p=taxdetails&amp;id=123260","123260")</f>
        <v>123260</v>
      </c>
      <c r="E647" s="22" t="s">
        <v>1137</v>
      </c>
      <c r="F647" s="22" t="s">
        <v>1137</v>
      </c>
      <c r="G647" s="22" t="s">
        <v>94</v>
      </c>
      <c r="H647" s="23" t="str">
        <f>HYPERLINK("http://www.marinespecies.org/aphia.php?p=taxdetails&amp;id=123260","123260")</f>
        <v>123260</v>
      </c>
      <c r="I647" s="22" t="s">
        <v>94</v>
      </c>
      <c r="J647" s="24" t="str">
        <f t="shared" si="4"/>
        <v/>
      </c>
    </row>
    <row r="648">
      <c r="A648" s="22" t="s">
        <v>1138</v>
      </c>
      <c r="B648" s="22">
        <v>2.0</v>
      </c>
      <c r="C648" s="23" t="str">
        <f>HYPERLINK("http://ecotaxoserver.obs-vlfr.fr/browsetaxo/?id=93317","93317")</f>
        <v>93317</v>
      </c>
      <c r="D648" s="23" t="str">
        <f>HYPERLINK("http://www.marinespecies.org/aphia.php?p=taxdetails&amp;id=123922","123922")</f>
        <v>123922</v>
      </c>
      <c r="E648" s="22" t="s">
        <v>1136</v>
      </c>
      <c r="F648" s="22" t="s">
        <v>1136</v>
      </c>
      <c r="G648" s="22" t="s">
        <v>94</v>
      </c>
      <c r="H648" s="23" t="str">
        <f>HYPERLINK("http://www.marinespecies.org/aphia.php?p=taxdetails&amp;id=123922","123922")</f>
        <v>123922</v>
      </c>
      <c r="I648" s="22" t="s">
        <v>94</v>
      </c>
      <c r="J648" s="24" t="str">
        <f t="shared" si="4"/>
        <v/>
      </c>
    </row>
    <row r="649">
      <c r="A649" s="22" t="s">
        <v>1139</v>
      </c>
      <c r="B649" s="22">
        <v>9.0</v>
      </c>
      <c r="C649" s="23" t="str">
        <f>HYPERLINK("http://ecotaxoserver.obs-vlfr.fr/browsetaxo/?id=92907","92907")</f>
        <v>92907</v>
      </c>
      <c r="D649" s="23" t="str">
        <f>HYPERLINK("http://www.marinespecies.org/aphia.php?p=taxdetails&amp;id=151453","151453")</f>
        <v>151453</v>
      </c>
      <c r="E649" s="22" t="s">
        <v>132</v>
      </c>
      <c r="F649" s="22" t="s">
        <v>242</v>
      </c>
      <c r="G649" s="22" t="s">
        <v>94</v>
      </c>
      <c r="H649" s="23" t="str">
        <f>HYPERLINK("http://www.marinespecies.org/aphia.php?p=taxdetails&amp;id=151453","151453")</f>
        <v>151453</v>
      </c>
      <c r="I649" s="22" t="s">
        <v>94</v>
      </c>
      <c r="J649" s="24" t="str">
        <f t="shared" si="4"/>
        <v>!=</v>
      </c>
    </row>
    <row r="650">
      <c r="A650" s="22" t="s">
        <v>1140</v>
      </c>
      <c r="B650" s="22">
        <v>2.0</v>
      </c>
      <c r="C650" s="23" t="str">
        <f>HYPERLINK("http://ecotaxoserver.obs-vlfr.fr/browsetaxo/?id=83614","83614")</f>
        <v>83614</v>
      </c>
      <c r="D650" s="23" t="str">
        <f>HYPERLINK("http://www.marinespecies.org/aphia.php?p=taxdetails&amp;id=106992","106992")</f>
        <v>106992</v>
      </c>
      <c r="E650" s="22" t="s">
        <v>424</v>
      </c>
      <c r="F650" s="22" t="s">
        <v>1141</v>
      </c>
      <c r="G650" s="22" t="s">
        <v>94</v>
      </c>
      <c r="H650" s="23" t="str">
        <f>HYPERLINK("http://www.marinespecies.org/aphia.php?p=taxdetails&amp;id=106992","106992")</f>
        <v>106992</v>
      </c>
      <c r="I650" s="22" t="s">
        <v>94</v>
      </c>
      <c r="J650" s="24" t="str">
        <f t="shared" si="4"/>
        <v>!=</v>
      </c>
    </row>
    <row r="651">
      <c r="A651" s="22" t="s">
        <v>1142</v>
      </c>
      <c r="B651" s="22">
        <v>184.0</v>
      </c>
      <c r="C651" s="23" t="str">
        <f>HYPERLINK("http://ecotaxoserver.obs-vlfr.fr/browsetaxo/?id=92770","92770")</f>
        <v>92770</v>
      </c>
      <c r="D651" s="23" t="str">
        <f>HYPERLINK("http://www.marinespecies.org/aphia.php?p=taxdetails&amp;id=116382","116382")</f>
        <v>116382</v>
      </c>
      <c r="E651" s="22" t="s">
        <v>842</v>
      </c>
      <c r="F651" s="22" t="s">
        <v>1143</v>
      </c>
      <c r="G651" s="22" t="s">
        <v>94</v>
      </c>
      <c r="H651" s="23" t="str">
        <f>HYPERLINK("http://www.marinespecies.org/aphia.php?p=taxdetails&amp;id=116382","116382")</f>
        <v>116382</v>
      </c>
      <c r="I651" s="22" t="s">
        <v>94</v>
      </c>
      <c r="J651" s="24" t="str">
        <f t="shared" si="4"/>
        <v>!=</v>
      </c>
    </row>
    <row r="652">
      <c r="A652" s="22" t="s">
        <v>1144</v>
      </c>
      <c r="B652" s="22">
        <v>2.0</v>
      </c>
      <c r="C652" s="23" t="str">
        <f>HYPERLINK("http://ecotaxoserver.obs-vlfr.fr/browsetaxo/?id=93111","93111")</f>
        <v>93111</v>
      </c>
      <c r="D652" s="23" t="str">
        <f>HYPERLINK("http://www.marinespecies.org/aphia.php?p=taxdetails&amp;id=534121","534121")</f>
        <v>534121</v>
      </c>
      <c r="E652" s="22" t="s">
        <v>196</v>
      </c>
      <c r="F652" s="22" t="s">
        <v>196</v>
      </c>
      <c r="G652" s="22" t="s">
        <v>94</v>
      </c>
      <c r="H652" s="23" t="str">
        <f>HYPERLINK("http://www.marinespecies.org/aphia.php?p=taxdetails&amp;id=534121","534121")</f>
        <v>534121</v>
      </c>
      <c r="I652" s="22" t="s">
        <v>94</v>
      </c>
      <c r="J652" s="24" t="str">
        <f t="shared" si="4"/>
        <v/>
      </c>
    </row>
    <row r="653">
      <c r="A653" s="22" t="s">
        <v>1145</v>
      </c>
      <c r="B653" s="22">
        <v>2.0</v>
      </c>
      <c r="C653" s="23" t="str">
        <f>HYPERLINK("http://ecotaxoserver.obs-vlfr.fr/browsetaxo/?id=93112","93112")</f>
        <v>93112</v>
      </c>
      <c r="D653" s="23" t="str">
        <f>HYPERLINK("http://www.marinespecies.org/aphia.php?p=taxdetails&amp;id=534126","534126")</f>
        <v>534126</v>
      </c>
      <c r="E653" s="22" t="s">
        <v>1144</v>
      </c>
      <c r="F653" s="22" t="s">
        <v>1144</v>
      </c>
      <c r="G653" s="22" t="s">
        <v>94</v>
      </c>
      <c r="H653" s="23" t="str">
        <f>HYPERLINK("http://www.marinespecies.org/aphia.php?p=taxdetails&amp;id=534126","534126")</f>
        <v>534126</v>
      </c>
      <c r="I653" s="22" t="s">
        <v>94</v>
      </c>
      <c r="J653" s="24" t="str">
        <f t="shared" si="4"/>
        <v/>
      </c>
    </row>
    <row r="654">
      <c r="A654" s="22" t="s">
        <v>1146</v>
      </c>
      <c r="B654" s="22">
        <v>1.0</v>
      </c>
      <c r="C654" s="23" t="str">
        <f>HYPERLINK("http://ecotaxoserver.obs-vlfr.fr/browsetaxo/?id=93256","93256")</f>
        <v>93256</v>
      </c>
      <c r="D654" s="23" t="str">
        <f>HYPERLINK("http://www.marinespecies.org/aphia.php?p=taxdetails&amp;id=277261","277261")</f>
        <v>277261</v>
      </c>
      <c r="E654" s="22" t="s">
        <v>1147</v>
      </c>
      <c r="F654" s="22" t="s">
        <v>1147</v>
      </c>
      <c r="G654" s="22" t="s">
        <v>94</v>
      </c>
      <c r="H654" s="23" t="str">
        <f>HYPERLINK("http://www.marinespecies.org/aphia.php?p=taxdetails&amp;id=277261","277261")</f>
        <v>277261</v>
      </c>
      <c r="I654" s="22" t="s">
        <v>94</v>
      </c>
      <c r="J654" s="24" t="str">
        <f t="shared" si="4"/>
        <v/>
      </c>
    </row>
    <row r="655">
      <c r="A655" s="22" t="s">
        <v>1148</v>
      </c>
      <c r="B655" s="22">
        <v>1.0</v>
      </c>
      <c r="C655" s="23" t="str">
        <f>HYPERLINK("http://ecotaxoserver.obs-vlfr.fr/browsetaxo/?id=93290","93290")</f>
        <v>93290</v>
      </c>
      <c r="D655" s="23" t="str">
        <f>HYPERLINK("http://www.marinespecies.org/aphia.php?p=taxdetails&amp;id=154693","154693")</f>
        <v>154693</v>
      </c>
      <c r="E655" s="22" t="s">
        <v>1149</v>
      </c>
      <c r="F655" s="22" t="s">
        <v>1149</v>
      </c>
      <c r="G655" s="22" t="s">
        <v>94</v>
      </c>
      <c r="H655" s="23" t="str">
        <f>HYPERLINK("http://www.marinespecies.org/aphia.php?p=taxdetails&amp;id=154693","154693")</f>
        <v>154693</v>
      </c>
      <c r="I655" s="22" t="s">
        <v>94</v>
      </c>
      <c r="J655" s="24" t="str">
        <f t="shared" si="4"/>
        <v/>
      </c>
    </row>
    <row r="656">
      <c r="A656" s="22" t="s">
        <v>826</v>
      </c>
      <c r="B656" s="22">
        <v>34.0</v>
      </c>
      <c r="C656" s="23" t="str">
        <f>HYPERLINK("http://ecotaxoserver.obs-vlfr.fr/browsetaxo/?id=16622","16622")</f>
        <v>16622</v>
      </c>
      <c r="D656" s="23" t="str">
        <f>HYPERLINK("http://www.marinespecies.org/aphia.php?p=taxdetails&amp;id=1071","1071")</f>
        <v>1071</v>
      </c>
      <c r="E656" s="22" t="s">
        <v>630</v>
      </c>
      <c r="F656" s="22" t="s">
        <v>1150</v>
      </c>
      <c r="G656" s="22" t="s">
        <v>94</v>
      </c>
      <c r="H656" s="23" t="str">
        <f>HYPERLINK("http://www.marinespecies.org/aphia.php?p=taxdetails&amp;id=1071","1071")</f>
        <v>1071</v>
      </c>
      <c r="I656" s="22" t="s">
        <v>94</v>
      </c>
      <c r="J656" s="24" t="str">
        <f t="shared" si="4"/>
        <v>!=</v>
      </c>
    </row>
    <row r="657">
      <c r="A657" s="22" t="s">
        <v>1151</v>
      </c>
      <c r="B657" s="22">
        <v>1.0</v>
      </c>
      <c r="C657" s="23" t="str">
        <f>HYPERLINK("http://ecotaxoserver.obs-vlfr.fr/browsetaxo/?id=51473","51473")</f>
        <v>51473</v>
      </c>
      <c r="D657" s="23" t="str">
        <f>HYPERLINK("http://www.marinespecies.org/aphia.php?p=taxdetails&amp;id=206018","206018")</f>
        <v>206018</v>
      </c>
      <c r="E657" s="22" t="s">
        <v>1152</v>
      </c>
      <c r="F657" s="22" t="s">
        <v>1152</v>
      </c>
      <c r="G657" s="22" t="s">
        <v>94</v>
      </c>
      <c r="H657" s="23" t="str">
        <f>HYPERLINK("http://www.marinespecies.org/aphia.php?p=taxdetails&amp;id=206018","206018")</f>
        <v>206018</v>
      </c>
      <c r="I657" s="22" t="s">
        <v>94</v>
      </c>
      <c r="J657" s="24" t="str">
        <f t="shared" si="4"/>
        <v/>
      </c>
    </row>
    <row r="658">
      <c r="A658" s="22" t="s">
        <v>1153</v>
      </c>
      <c r="B658" s="22">
        <v>11.0</v>
      </c>
      <c r="C658" s="23" t="str">
        <f>HYPERLINK("http://ecotaxoserver.obs-vlfr.fr/browsetaxo/?id=17532","17532")</f>
        <v>17532</v>
      </c>
      <c r="D658" s="23" t="str">
        <f>HYPERLINK("http://www.marinespecies.org/aphia.php?p=taxdetails&amp;id=157052","157052")</f>
        <v>157052</v>
      </c>
      <c r="E658" s="22" t="s">
        <v>1154</v>
      </c>
      <c r="F658" s="22" t="s">
        <v>1155</v>
      </c>
      <c r="G658" s="22" t="s">
        <v>94</v>
      </c>
      <c r="H658" s="23" t="str">
        <f>HYPERLINK("http://www.marinespecies.org/aphia.php?p=taxdetails&amp;id=157052","157052")</f>
        <v>157052</v>
      </c>
      <c r="I658" s="22" t="s">
        <v>94</v>
      </c>
      <c r="J658" s="24" t="str">
        <f t="shared" si="4"/>
        <v>!=</v>
      </c>
    </row>
    <row r="659">
      <c r="A659" s="22" t="s">
        <v>1156</v>
      </c>
      <c r="B659" s="22">
        <v>1309.0</v>
      </c>
      <c r="C659" s="23" t="str">
        <f>HYPERLINK("http://ecotaxoserver.obs-vlfr.fr/browsetaxo/?id=80163","80163")</f>
        <v>80163</v>
      </c>
      <c r="D659" s="23" t="str">
        <f>HYPERLINK("http://www.marinespecies.org/aphia.php?p=taxdetails&amp;id=104184","104184")</f>
        <v>104184</v>
      </c>
      <c r="E659" s="22" t="s">
        <v>122</v>
      </c>
      <c r="F659" s="22" t="s">
        <v>122</v>
      </c>
      <c r="G659" s="22" t="s">
        <v>94</v>
      </c>
      <c r="H659" s="23" t="str">
        <f>HYPERLINK("http://www.marinespecies.org/aphia.php?p=taxdetails&amp;id=104184","104184")</f>
        <v>104184</v>
      </c>
      <c r="I659" s="22" t="s">
        <v>94</v>
      </c>
      <c r="J659" s="24" t="str">
        <f t="shared" si="4"/>
        <v/>
      </c>
    </row>
    <row r="660">
      <c r="A660" s="22" t="s">
        <v>1157</v>
      </c>
      <c r="B660" s="22">
        <v>733.0</v>
      </c>
      <c r="C660" s="23" t="str">
        <f>HYPERLINK("http://ecotaxoserver.obs-vlfr.fr/browsetaxo/?id=82516","82516")</f>
        <v>82516</v>
      </c>
      <c r="D660" s="23" t="str">
        <f>HYPERLINK("http://www.marinespecies.org/aphia.php?p=taxdetails&amp;id=104616","104616")</f>
        <v>104616</v>
      </c>
      <c r="E660" s="22" t="s">
        <v>1156</v>
      </c>
      <c r="F660" s="22" t="s">
        <v>1156</v>
      </c>
      <c r="G660" s="22" t="s">
        <v>94</v>
      </c>
      <c r="H660" s="23" t="str">
        <f>HYPERLINK("http://www.marinespecies.org/aphia.php?p=taxdetails&amp;id=104616","104616")</f>
        <v>104616</v>
      </c>
      <c r="I660" s="22" t="s">
        <v>94</v>
      </c>
      <c r="J660" s="24" t="str">
        <f t="shared" si="4"/>
        <v/>
      </c>
    </row>
    <row r="661">
      <c r="A661" s="22" t="s">
        <v>1158</v>
      </c>
      <c r="B661" s="22">
        <v>999.0</v>
      </c>
      <c r="C661" s="23" t="str">
        <f>HYPERLINK("http://ecotaxoserver.obs-vlfr.fr/browsetaxo/?id=27645","27645")</f>
        <v>27645</v>
      </c>
      <c r="D661" s="23" t="str">
        <f>HYPERLINK("http://www.marinespecies.org/aphia.php?p=taxdetails&amp;id=345871","345871")</f>
        <v>345871</v>
      </c>
      <c r="E661" s="22" t="s">
        <v>492</v>
      </c>
      <c r="F661" s="22" t="s">
        <v>492</v>
      </c>
      <c r="G661" s="22" t="s">
        <v>94</v>
      </c>
      <c r="H661" s="23" t="str">
        <f>HYPERLINK("http://www.marinespecies.org/aphia.php?p=taxdetails&amp;id=345871","345871")</f>
        <v>345871</v>
      </c>
      <c r="I661" s="22" t="s">
        <v>94</v>
      </c>
      <c r="J661" s="24" t="str">
        <f t="shared" si="4"/>
        <v/>
      </c>
    </row>
    <row r="662">
      <c r="A662" s="22" t="s">
        <v>1159</v>
      </c>
      <c r="B662" s="22">
        <v>1.0</v>
      </c>
      <c r="C662" s="23" t="str">
        <f>HYPERLINK("http://ecotaxoserver.obs-vlfr.fr/browsetaxo/?id=92711","92711")</f>
        <v>92711</v>
      </c>
      <c r="D662" s="23" t="str">
        <f>HYPERLINK("http://www.marinespecies.org/aphia.php?p=taxdetails&amp;id=103398","103398")</f>
        <v>103398</v>
      </c>
      <c r="E662" s="22" t="s">
        <v>1160</v>
      </c>
      <c r="F662" s="22" t="s">
        <v>1160</v>
      </c>
      <c r="G662" s="22" t="s">
        <v>94</v>
      </c>
      <c r="H662" s="23" t="str">
        <f>HYPERLINK("http://www.marinespecies.org/aphia.php?p=taxdetails&amp;id=103398","103398")</f>
        <v>103398</v>
      </c>
      <c r="I662" s="22" t="s">
        <v>94</v>
      </c>
      <c r="J662" s="24" t="str">
        <f t="shared" si="4"/>
        <v/>
      </c>
    </row>
    <row r="663">
      <c r="A663" s="22" t="s">
        <v>1161</v>
      </c>
      <c r="B663" s="22">
        <v>1.0</v>
      </c>
      <c r="C663" s="23" t="str">
        <f>HYPERLINK("http://ecotaxoserver.obs-vlfr.fr/browsetaxo/?id=80822","80822")</f>
        <v>80822</v>
      </c>
      <c r="D663" s="23" t="str">
        <f>HYPERLINK("http://www.marinespecies.org/aphia.php?p=taxdetails&amp;id=126430","126430")</f>
        <v>126430</v>
      </c>
      <c r="E663" s="22" t="s">
        <v>1162</v>
      </c>
      <c r="F663" s="22" t="s">
        <v>1162</v>
      </c>
      <c r="G663" s="22" t="s">
        <v>94</v>
      </c>
      <c r="H663" s="23" t="str">
        <f>HYPERLINK("http://www.marinespecies.org/aphia.php?p=taxdetails&amp;id=126430","126430")</f>
        <v>126430</v>
      </c>
      <c r="I663" s="22" t="s">
        <v>94</v>
      </c>
      <c r="J663" s="24" t="str">
        <f t="shared" si="4"/>
        <v/>
      </c>
    </row>
    <row r="664">
      <c r="A664" s="22" t="s">
        <v>1163</v>
      </c>
      <c r="B664" s="22">
        <v>1.0</v>
      </c>
      <c r="C664" s="23" t="str">
        <f>HYPERLINK("http://ecotaxoserver.obs-vlfr.fr/browsetaxo/?id=92908","92908")</f>
        <v>92908</v>
      </c>
      <c r="D664" s="23" t="str">
        <f>HYPERLINK("http://www.marinespecies.org/aphia.php?p=taxdetails&amp;id=125494","125494")</f>
        <v>125494</v>
      </c>
      <c r="E664" s="22" t="s">
        <v>132</v>
      </c>
      <c r="F664" s="22" t="s">
        <v>1129</v>
      </c>
      <c r="G664" s="22" t="s">
        <v>94</v>
      </c>
      <c r="H664" s="23" t="str">
        <f>HYPERLINK("http://www.marinespecies.org/aphia.php?p=taxdetails&amp;id=125494","125494")</f>
        <v>125494</v>
      </c>
      <c r="I664" s="22" t="s">
        <v>94</v>
      </c>
      <c r="J664" s="24" t="str">
        <f t="shared" si="4"/>
        <v>!=</v>
      </c>
    </row>
    <row r="665">
      <c r="A665" s="22" t="s">
        <v>1164</v>
      </c>
      <c r="B665" s="22">
        <v>1.0</v>
      </c>
      <c r="C665" s="23" t="str">
        <f>HYPERLINK("http://ecotaxoserver.obs-vlfr.fr/browsetaxo/?id=93324","93324")</f>
        <v>93324</v>
      </c>
      <c r="D665" s="23" t="str">
        <f>HYPERLINK("http://www.marinespecies.org/aphia.php?p=taxdetails&amp;id=593362","593362")</f>
        <v>593362</v>
      </c>
      <c r="E665" s="22" t="s">
        <v>1165</v>
      </c>
      <c r="F665" s="22" t="s">
        <v>1165</v>
      </c>
      <c r="G665" s="22" t="s">
        <v>94</v>
      </c>
      <c r="H665" s="23" t="str">
        <f>HYPERLINK("http://www.marinespecies.org/aphia.php?p=taxdetails&amp;id=593362","593362")</f>
        <v>593362</v>
      </c>
      <c r="I665" s="22" t="s">
        <v>94</v>
      </c>
      <c r="J665" s="24" t="str">
        <f t="shared" si="4"/>
        <v/>
      </c>
    </row>
    <row r="666">
      <c r="A666" s="22" t="s">
        <v>1166</v>
      </c>
      <c r="B666" s="22">
        <v>2050.0</v>
      </c>
      <c r="C666" s="23" t="str">
        <f>HYPERLINK("http://ecotaxoserver.obs-vlfr.fr/browsetaxo/?id=28288","28288")</f>
        <v>28288</v>
      </c>
      <c r="D666" s="23" t="str">
        <f>HYPERLINK("http://www.marinespecies.org/aphia.php?p=taxdetails&amp;id=149042","149042")</f>
        <v>149042</v>
      </c>
      <c r="E666" s="22" t="s">
        <v>292</v>
      </c>
      <c r="F666" s="22" t="s">
        <v>1167</v>
      </c>
      <c r="G666" s="22" t="s">
        <v>94</v>
      </c>
      <c r="H666" s="23" t="str">
        <f>HYPERLINK("http://www.marinespecies.org/aphia.php?p=taxdetails&amp;id=149042","149042")</f>
        <v>149042</v>
      </c>
      <c r="I666" s="22" t="s">
        <v>94</v>
      </c>
      <c r="J666" s="24" t="str">
        <f t="shared" si="4"/>
        <v>!=</v>
      </c>
    </row>
    <row r="667">
      <c r="A667" s="22" t="s">
        <v>1167</v>
      </c>
      <c r="B667" s="22">
        <v>5066.0</v>
      </c>
      <c r="C667" s="23" t="str">
        <f>HYPERLINK("http://ecotaxoserver.obs-vlfr.fr/browsetaxo/?id=92695","92695")</f>
        <v>92695</v>
      </c>
      <c r="D667" s="23" t="str">
        <f>HYPERLINK("http://www.marinespecies.org/aphia.php?p=taxdetails&amp;id=149041","149041")</f>
        <v>149041</v>
      </c>
      <c r="E667" s="22" t="s">
        <v>266</v>
      </c>
      <c r="F667" s="22" t="s">
        <v>1168</v>
      </c>
      <c r="G667" s="22" t="s">
        <v>94</v>
      </c>
      <c r="H667" s="23" t="str">
        <f>HYPERLINK("http://www.marinespecies.org/aphia.php?p=taxdetails&amp;id=149041","149041")</f>
        <v>149041</v>
      </c>
      <c r="I667" s="22" t="s">
        <v>94</v>
      </c>
      <c r="J667" s="24" t="str">
        <f t="shared" si="4"/>
        <v>!=</v>
      </c>
    </row>
    <row r="668">
      <c r="A668" s="22" t="s">
        <v>1169</v>
      </c>
      <c r="B668" s="22">
        <v>4240.0</v>
      </c>
      <c r="C668" s="23" t="str">
        <f>HYPERLINK("http://ecotaxoserver.obs-vlfr.fr/browsetaxo/?id=85476","85476")</f>
        <v>85476</v>
      </c>
      <c r="D668" s="23" t="str">
        <f>HYPERLINK("http://www.marinespecies.org/aphia.php?p=taxdetails&amp;id=291406","291406")</f>
        <v>291406</v>
      </c>
      <c r="E668" s="22" t="s">
        <v>119</v>
      </c>
      <c r="F668" s="22" t="s">
        <v>964</v>
      </c>
      <c r="G668" s="22" t="s">
        <v>94</v>
      </c>
      <c r="H668" s="23" t="str">
        <f>HYPERLINK("http://www.marinespecies.org/aphia.php?p=taxdetails&amp;id=291406","291406")</f>
        <v>291406</v>
      </c>
      <c r="I668" s="22" t="s">
        <v>94</v>
      </c>
      <c r="J668" s="24" t="str">
        <f t="shared" si="4"/>
        <v>!=</v>
      </c>
    </row>
    <row r="669">
      <c r="A669" s="22" t="s">
        <v>1170</v>
      </c>
      <c r="B669" s="22">
        <v>1.0</v>
      </c>
      <c r="C669" s="23" t="str">
        <f>HYPERLINK("http://ecotaxoserver.obs-vlfr.fr/browsetaxo/?id=93302","93302")</f>
        <v>93302</v>
      </c>
      <c r="D669" s="23" t="str">
        <f>HYPERLINK("http://www.marinespecies.org/aphia.php?p=taxdetails&amp;id=218450","218450")</f>
        <v>218450</v>
      </c>
      <c r="E669" s="22" t="s">
        <v>1171</v>
      </c>
      <c r="F669" s="22" t="s">
        <v>1171</v>
      </c>
      <c r="G669" s="22" t="s">
        <v>94</v>
      </c>
      <c r="H669" s="23" t="str">
        <f>HYPERLINK("http://www.marinespecies.org/aphia.php?p=taxdetails&amp;id=218450","218450")</f>
        <v>218450</v>
      </c>
      <c r="I669" s="22" t="s">
        <v>94</v>
      </c>
      <c r="J669" s="24" t="str">
        <f t="shared" si="4"/>
        <v/>
      </c>
    </row>
    <row r="670">
      <c r="A670" s="22" t="s">
        <v>1172</v>
      </c>
      <c r="B670" s="22">
        <v>1.0</v>
      </c>
      <c r="C670" s="23" t="str">
        <f>HYPERLINK("http://ecotaxoserver.obs-vlfr.fr/browsetaxo/?id=93120","93120")</f>
        <v>93120</v>
      </c>
      <c r="D670" s="23" t="str">
        <f>HYPERLINK("http://www.marinespecies.org/aphia.php?p=taxdetails&amp;id=221197","221197")</f>
        <v>221197</v>
      </c>
      <c r="E670" s="22" t="s">
        <v>1173</v>
      </c>
      <c r="F670" s="22" t="s">
        <v>1173</v>
      </c>
      <c r="G670" s="22" t="s">
        <v>94</v>
      </c>
      <c r="H670" s="23" t="str">
        <f>HYPERLINK("http://www.marinespecies.org/aphia.php?p=taxdetails&amp;id=221197","221197")</f>
        <v>221197</v>
      </c>
      <c r="I670" s="22" t="s">
        <v>94</v>
      </c>
      <c r="J670" s="24" t="str">
        <f t="shared" si="4"/>
        <v/>
      </c>
    </row>
    <row r="671">
      <c r="A671" s="22" t="s">
        <v>1174</v>
      </c>
      <c r="B671" s="22">
        <v>4.0</v>
      </c>
      <c r="C671" s="23" t="str">
        <f>HYPERLINK("http://ecotaxoserver.obs-vlfr.fr/browsetaxo/?id=93560","93560")</f>
        <v>93560</v>
      </c>
      <c r="D671" s="23" t="str">
        <f>HYPERLINK("http://www.marinespecies.org/aphia.php?p=taxdetails&amp;id=146545","146545")</f>
        <v>146545</v>
      </c>
      <c r="E671" s="22" t="s">
        <v>215</v>
      </c>
      <c r="F671" s="22" t="s">
        <v>1175</v>
      </c>
      <c r="G671" s="22" t="s">
        <v>94</v>
      </c>
      <c r="H671" s="23" t="str">
        <f>HYPERLINK("http://www.marinespecies.org/aphia.php?p=taxdetails&amp;id=146545","146545")</f>
        <v>146545</v>
      </c>
      <c r="I671" s="22" t="s">
        <v>94</v>
      </c>
      <c r="J671" s="24" t="str">
        <f t="shared" si="4"/>
        <v>!=</v>
      </c>
    </row>
    <row r="672">
      <c r="A672" s="22" t="s">
        <v>1176</v>
      </c>
      <c r="B672" s="22">
        <v>6.0</v>
      </c>
      <c r="C672" s="23" t="str">
        <f>HYPERLINK("http://ecotaxoserver.obs-vlfr.fr/browsetaxo/?id=72867","72867")</f>
        <v>72867</v>
      </c>
      <c r="D672" s="23" t="str">
        <f>HYPERLINK("http://www.marinespecies.org/aphia.php?p=taxdetails&amp;id=106377","106377")</f>
        <v>106377</v>
      </c>
      <c r="E672" s="22" t="s">
        <v>1177</v>
      </c>
      <c r="F672" s="22" t="s">
        <v>1177</v>
      </c>
      <c r="G672" s="22" t="s">
        <v>94</v>
      </c>
      <c r="H672" s="23" t="str">
        <f>HYPERLINK("http://www.marinespecies.org/aphia.php?p=taxdetails&amp;id=106377","106377")</f>
        <v>106377</v>
      </c>
      <c r="I672" s="22" t="s">
        <v>94</v>
      </c>
      <c r="J672" s="24" t="str">
        <f t="shared" si="4"/>
        <v/>
      </c>
    </row>
    <row r="673">
      <c r="A673" s="22" t="s">
        <v>1178</v>
      </c>
      <c r="B673" s="22">
        <v>567.0</v>
      </c>
      <c r="C673" s="23" t="str">
        <f>HYPERLINK("http://ecotaxoserver.obs-vlfr.fr/browsetaxo/?id=93415","93415")</f>
        <v>93415</v>
      </c>
      <c r="D673" s="23" t="str">
        <f>HYPERLINK("http://www.marinespecies.org/aphia.php?p=taxdetails&amp;id=104153","104153")</f>
        <v>104153</v>
      </c>
      <c r="E673" s="22" t="s">
        <v>382</v>
      </c>
      <c r="F673" s="22" t="s">
        <v>382</v>
      </c>
      <c r="G673" s="22" t="s">
        <v>94</v>
      </c>
      <c r="H673" s="23" t="str">
        <f>HYPERLINK("http://www.marinespecies.org/aphia.php?p=taxdetails&amp;id=104153","104153")</f>
        <v>104153</v>
      </c>
      <c r="I673" s="22" t="s">
        <v>94</v>
      </c>
      <c r="J673" s="24" t="str">
        <f t="shared" si="4"/>
        <v/>
      </c>
    </row>
    <row r="674">
      <c r="A674" s="22" t="s">
        <v>1179</v>
      </c>
      <c r="B674" s="22">
        <v>157.0</v>
      </c>
      <c r="C674" s="23" t="str">
        <f>HYPERLINK("http://ecotaxoserver.obs-vlfr.fr/browsetaxo/?id=30878","30878")</f>
        <v>30878</v>
      </c>
      <c r="D674" s="23" t="str">
        <f>HYPERLINK("http://www.marinespecies.org/aphia.php?p=taxdetails&amp;id=179320","179320")</f>
        <v>179320</v>
      </c>
      <c r="E674" s="22" t="s">
        <v>1180</v>
      </c>
      <c r="F674" s="22" t="s">
        <v>1180</v>
      </c>
      <c r="G674" s="22" t="s">
        <v>94</v>
      </c>
      <c r="H674" s="23" t="str">
        <f>HYPERLINK("http://www.marinespecies.org/aphia.php?p=taxdetails&amp;id=179320","179320")</f>
        <v>179320</v>
      </c>
      <c r="I674" s="22" t="s">
        <v>94</v>
      </c>
      <c r="J674" s="24" t="str">
        <f t="shared" si="4"/>
        <v/>
      </c>
    </row>
    <row r="675">
      <c r="A675" s="22" t="s">
        <v>1181</v>
      </c>
      <c r="B675" s="22">
        <v>631.0</v>
      </c>
      <c r="C675" s="23" t="str">
        <f>HYPERLINK("http://ecotaxoserver.obs-vlfr.fr/browsetaxo/?id=56783","56783")</f>
        <v>56783</v>
      </c>
      <c r="D675" s="23" t="str">
        <f>HYPERLINK("http://www.marinespecies.org/aphia.php?p=taxdetails&amp;id=232069","232069")</f>
        <v>232069</v>
      </c>
      <c r="E675" s="22" t="s">
        <v>1179</v>
      </c>
      <c r="F675" s="22" t="s">
        <v>1179</v>
      </c>
      <c r="G675" s="22" t="s">
        <v>94</v>
      </c>
      <c r="H675" s="23" t="str">
        <f>HYPERLINK("http://www.marinespecies.org/aphia.php?p=taxdetails&amp;id=232069","232069")</f>
        <v>232069</v>
      </c>
      <c r="I675" s="22" t="s">
        <v>94</v>
      </c>
      <c r="J675" s="24" t="str">
        <f t="shared" si="4"/>
        <v/>
      </c>
    </row>
    <row r="676">
      <c r="A676" s="22" t="s">
        <v>1182</v>
      </c>
      <c r="B676" s="22">
        <v>7.0</v>
      </c>
      <c r="C676" s="23" t="str">
        <f>HYPERLINK("http://ecotaxoserver.obs-vlfr.fr/browsetaxo/?id=92499","92499")</f>
        <v>92499</v>
      </c>
      <c r="D676" s="23" t="str">
        <f>HYPERLINK("http://www.marinespecies.org/aphia.php?p=taxdetails&amp;id=232516","232516")</f>
        <v>232516</v>
      </c>
      <c r="E676" s="22" t="s">
        <v>128</v>
      </c>
      <c r="F676" s="22" t="s">
        <v>1183</v>
      </c>
      <c r="G676" s="22" t="s">
        <v>94</v>
      </c>
      <c r="H676" s="23" t="str">
        <f>HYPERLINK("http://www.marinespecies.org/aphia.php?p=taxdetails&amp;id=232516","232516")</f>
        <v>232516</v>
      </c>
      <c r="I676" s="22" t="s">
        <v>94</v>
      </c>
      <c r="J676" s="24" t="str">
        <f t="shared" si="4"/>
        <v>!=</v>
      </c>
    </row>
    <row r="677">
      <c r="A677" s="22" t="s">
        <v>1184</v>
      </c>
      <c r="B677" s="22">
        <v>82.0</v>
      </c>
      <c r="C677" s="23" t="str">
        <f>HYPERLINK("http://ecotaxoserver.obs-vlfr.fr/browsetaxo/?id=92126","92126")</f>
        <v>92126</v>
      </c>
      <c r="D677" s="23" t="str">
        <f>HYPERLINK("http://www.marinespecies.org/aphia.php?p=taxdetails&amp;id=105437","105437")</f>
        <v>105437</v>
      </c>
      <c r="E677" s="22" t="s">
        <v>1185</v>
      </c>
      <c r="F677" s="22" t="s">
        <v>1185</v>
      </c>
      <c r="G677" s="22" t="s">
        <v>94</v>
      </c>
      <c r="H677" s="23" t="str">
        <f>HYPERLINK("http://www.marinespecies.org/aphia.php?p=taxdetails&amp;id=105437","105437")</f>
        <v>105437</v>
      </c>
      <c r="I677" s="22" t="s">
        <v>94</v>
      </c>
      <c r="J677" s="24" t="str">
        <f t="shared" si="4"/>
        <v/>
      </c>
    </row>
    <row r="678">
      <c r="A678" s="22" t="s">
        <v>1186</v>
      </c>
      <c r="B678" s="22">
        <v>131.0</v>
      </c>
      <c r="C678" s="23" t="str">
        <f>HYPERLINK("http://ecotaxoserver.obs-vlfr.fr/browsetaxo/?id=31196","31196")</f>
        <v>31196</v>
      </c>
      <c r="D678" s="23" t="str">
        <f>HYPERLINK("http://www.marinespecies.org/aphia.php?p=taxdetails&amp;id=172438","172438")</f>
        <v>172438</v>
      </c>
      <c r="E678" s="22" t="s">
        <v>1187</v>
      </c>
      <c r="F678" s="22" t="s">
        <v>1187</v>
      </c>
      <c r="G678" s="22" t="s">
        <v>94</v>
      </c>
      <c r="H678" s="23" t="str">
        <f>HYPERLINK("http://www.marinespecies.org/aphia.php?p=taxdetails&amp;id=172438","172438")</f>
        <v>172438</v>
      </c>
      <c r="I678" s="22" t="s">
        <v>94</v>
      </c>
      <c r="J678" s="24" t="str">
        <f t="shared" si="4"/>
        <v/>
      </c>
    </row>
    <row r="679">
      <c r="A679" s="22" t="s">
        <v>1188</v>
      </c>
      <c r="B679" s="22">
        <v>8651.0</v>
      </c>
      <c r="C679" s="23" t="str">
        <f>HYPERLINK("http://ecotaxoserver.obs-vlfr.fr/browsetaxo/?id=80155","80155")</f>
        <v>80155</v>
      </c>
      <c r="D679" s="23" t="str">
        <f>HYPERLINK("http://www.marinespecies.org/aphia.php?p=taxdetails&amp;id=104190","104190")</f>
        <v>104190</v>
      </c>
      <c r="E679" s="22" t="s">
        <v>1189</v>
      </c>
      <c r="F679" s="22" t="s">
        <v>1189</v>
      </c>
      <c r="G679" s="22" t="s">
        <v>94</v>
      </c>
      <c r="H679" s="23" t="str">
        <f>HYPERLINK("http://www.marinespecies.org/aphia.php?p=taxdetails&amp;id=104190","104190")</f>
        <v>104190</v>
      </c>
      <c r="I679" s="22" t="s">
        <v>94</v>
      </c>
      <c r="J679" s="24" t="str">
        <f t="shared" si="4"/>
        <v/>
      </c>
    </row>
    <row r="680">
      <c r="A680" s="22" t="s">
        <v>1190</v>
      </c>
      <c r="B680" s="22">
        <v>5.0</v>
      </c>
      <c r="C680" s="23" t="str">
        <f>HYPERLINK("http://ecotaxoserver.obs-vlfr.fr/browsetaxo/?id=82505","82505")</f>
        <v>82505</v>
      </c>
      <c r="D680" s="23" t="str">
        <f>HYPERLINK("http://www.marinespecies.org/aphia.php?p=taxdetails&amp;id=104628","104628")</f>
        <v>104628</v>
      </c>
      <c r="E680" s="22" t="s">
        <v>1188</v>
      </c>
      <c r="F680" s="22" t="s">
        <v>1188</v>
      </c>
      <c r="G680" s="22" t="s">
        <v>94</v>
      </c>
      <c r="H680" s="23" t="str">
        <f>HYPERLINK("http://www.marinespecies.org/aphia.php?p=taxdetails&amp;id=104628","104628")</f>
        <v>104628</v>
      </c>
      <c r="I680" s="22" t="s">
        <v>94</v>
      </c>
      <c r="J680" s="24" t="str">
        <f t="shared" si="4"/>
        <v/>
      </c>
    </row>
    <row r="681">
      <c r="A681" s="22" t="s">
        <v>1191</v>
      </c>
      <c r="B681" s="22">
        <v>4.0</v>
      </c>
      <c r="C681" s="23" t="str">
        <f>HYPERLINK("http://ecotaxoserver.obs-vlfr.fr/browsetaxo/?id=82503","82503")</f>
        <v>82503</v>
      </c>
      <c r="D681" s="23" t="str">
        <f>HYPERLINK("http://www.marinespecies.org/aphia.php?p=taxdetails&amp;id=344689","344689")</f>
        <v>344689</v>
      </c>
      <c r="E681" s="22" t="s">
        <v>1188</v>
      </c>
      <c r="F681" s="22" t="s">
        <v>1188</v>
      </c>
      <c r="G681" s="22" t="s">
        <v>94</v>
      </c>
      <c r="H681" s="23" t="str">
        <f>HYPERLINK("http://www.marinespecies.org/aphia.php?p=taxdetails&amp;id=344689","344689")</f>
        <v>344689</v>
      </c>
      <c r="I681" s="22" t="s">
        <v>94</v>
      </c>
      <c r="J681" s="24" t="str">
        <f t="shared" si="4"/>
        <v/>
      </c>
    </row>
    <row r="682">
      <c r="A682" s="22" t="s">
        <v>1192</v>
      </c>
      <c r="B682" s="22">
        <v>5168.0</v>
      </c>
      <c r="C682" s="23" t="str">
        <f>HYPERLINK("http://ecotaxoserver.obs-vlfr.fr/browsetaxo/?id=82502","82502")</f>
        <v>82502</v>
      </c>
      <c r="D682" s="23" t="str">
        <f>HYPERLINK("http://www.marinespecies.org/aphia.php?p=taxdetails&amp;id=104632","104632")</f>
        <v>104632</v>
      </c>
      <c r="E682" s="22" t="s">
        <v>1188</v>
      </c>
      <c r="F682" s="22" t="s">
        <v>1188</v>
      </c>
      <c r="G682" s="22" t="s">
        <v>94</v>
      </c>
      <c r="H682" s="23" t="str">
        <f>HYPERLINK("http://www.marinespecies.org/aphia.php?p=taxdetails&amp;id=104632","104632")</f>
        <v>104632</v>
      </c>
      <c r="I682" s="22" t="s">
        <v>94</v>
      </c>
      <c r="J682" s="24" t="str">
        <f t="shared" si="4"/>
        <v/>
      </c>
    </row>
    <row r="683">
      <c r="A683" s="22" t="s">
        <v>1193</v>
      </c>
      <c r="B683" s="22">
        <v>892.0</v>
      </c>
      <c r="C683" s="23" t="str">
        <f>HYPERLINK("http://ecotaxoserver.obs-vlfr.fr/browsetaxo/?id=82499","82499")</f>
        <v>82499</v>
      </c>
      <c r="D683" s="23" t="str">
        <f>HYPERLINK("http://www.marinespecies.org/aphia.php?p=taxdetails&amp;id=196784","196784")</f>
        <v>196784</v>
      </c>
      <c r="E683" s="22" t="s">
        <v>1188</v>
      </c>
      <c r="F683" s="22" t="s">
        <v>1188</v>
      </c>
      <c r="G683" s="22" t="s">
        <v>94</v>
      </c>
      <c r="H683" s="23" t="str">
        <f>HYPERLINK("http://www.marinespecies.org/aphia.php?p=taxdetails&amp;id=196784","196784")</f>
        <v>196784</v>
      </c>
      <c r="I683" s="22" t="s">
        <v>94</v>
      </c>
      <c r="J683" s="24" t="str">
        <f t="shared" si="4"/>
        <v/>
      </c>
    </row>
    <row r="684">
      <c r="A684" s="22" t="s">
        <v>1189</v>
      </c>
      <c r="B684" s="22">
        <v>50982.0</v>
      </c>
      <c r="C684" s="23" t="str">
        <f>HYPERLINK("http://ecotaxoserver.obs-vlfr.fr/browsetaxo/?id=61982","61982")</f>
        <v>61982</v>
      </c>
      <c r="D684" s="23" t="str">
        <f>HYPERLINK("http://www.marinespecies.org/aphia.php?p=taxdetails&amp;id=104092","104092")</f>
        <v>104092</v>
      </c>
      <c r="E684" s="22" t="s">
        <v>111</v>
      </c>
      <c r="F684" s="22" t="s">
        <v>111</v>
      </c>
      <c r="G684" s="22" t="s">
        <v>94</v>
      </c>
      <c r="H684" s="23" t="str">
        <f>HYPERLINK("http://www.marinespecies.org/aphia.php?p=taxdetails&amp;id=104092","104092")</f>
        <v>104092</v>
      </c>
      <c r="I684" s="22" t="s">
        <v>94</v>
      </c>
      <c r="J684" s="24" t="str">
        <f t="shared" si="4"/>
        <v/>
      </c>
    </row>
    <row r="685">
      <c r="A685" s="22" t="s">
        <v>1194</v>
      </c>
      <c r="B685" s="22">
        <v>2.0</v>
      </c>
      <c r="C685" s="23" t="str">
        <f>HYPERLINK("http://ecotaxoserver.obs-vlfr.fr/browsetaxo/?id=85481","85481")</f>
        <v>85481</v>
      </c>
      <c r="D685" s="23" t="str">
        <f>HYPERLINK("http://www.marinespecies.org/aphia.php?p=taxdetails&amp;id=149144","149144")</f>
        <v>149144</v>
      </c>
      <c r="E685" s="22" t="s">
        <v>119</v>
      </c>
      <c r="F685" s="22" t="s">
        <v>964</v>
      </c>
      <c r="G685" s="22" t="s">
        <v>94</v>
      </c>
      <c r="H685" s="23" t="str">
        <f>HYPERLINK("http://www.marinespecies.org/aphia.php?p=taxdetails&amp;id=149144","149144")</f>
        <v>149144</v>
      </c>
      <c r="I685" s="22" t="s">
        <v>94</v>
      </c>
      <c r="J685" s="24" t="str">
        <f t="shared" si="4"/>
        <v>!=</v>
      </c>
    </row>
    <row r="686">
      <c r="A686" s="22" t="s">
        <v>1195</v>
      </c>
      <c r="B686" s="22">
        <v>34340.0</v>
      </c>
      <c r="C686" s="23" t="str">
        <f>HYPERLINK("http://ecotaxoserver.obs-vlfr.fr/browsetaxo/?id=80134","80134")</f>
        <v>80134</v>
      </c>
      <c r="D686" s="23" t="str">
        <f>HYPERLINK("http://www.marinespecies.org/aphia.php?p=taxdetails&amp;id=104164","104164")</f>
        <v>104164</v>
      </c>
      <c r="E686" s="22" t="s">
        <v>538</v>
      </c>
      <c r="F686" s="22" t="s">
        <v>538</v>
      </c>
      <c r="G686" s="22" t="s">
        <v>94</v>
      </c>
      <c r="H686" s="23" t="str">
        <f>HYPERLINK("http://www.marinespecies.org/aphia.php?p=taxdetails&amp;id=104164","104164")</f>
        <v>104164</v>
      </c>
      <c r="I686" s="22" t="s">
        <v>94</v>
      </c>
      <c r="J686" s="24" t="str">
        <f t="shared" si="4"/>
        <v/>
      </c>
    </row>
    <row r="687">
      <c r="A687" s="22" t="s">
        <v>1196</v>
      </c>
      <c r="B687" s="22">
        <v>575.0</v>
      </c>
      <c r="C687" s="23" t="str">
        <f>HYPERLINK("http://ecotaxoserver.obs-vlfr.fr/browsetaxo/?id=92324","92324")</f>
        <v>92324</v>
      </c>
      <c r="D687" s="23" t="str">
        <f>HYPERLINK("http://www.marinespecies.org/aphia.php?p=taxdetails&amp;id=115341","115341")</f>
        <v>115341</v>
      </c>
      <c r="E687" s="22" t="s">
        <v>842</v>
      </c>
      <c r="F687" s="22" t="s">
        <v>1197</v>
      </c>
      <c r="G687" s="22" t="s">
        <v>94</v>
      </c>
      <c r="H687" s="23" t="str">
        <f>HYPERLINK("http://www.marinespecies.org/aphia.php?p=taxdetails&amp;id=115341","115341")</f>
        <v>115341</v>
      </c>
      <c r="I687" s="22" t="s">
        <v>94</v>
      </c>
      <c r="J687" s="24" t="str">
        <f t="shared" si="4"/>
        <v>!=</v>
      </c>
    </row>
    <row r="688">
      <c r="A688" s="22" t="s">
        <v>1198</v>
      </c>
      <c r="B688" s="22">
        <v>31.0</v>
      </c>
      <c r="C688" s="23" t="str">
        <f>HYPERLINK("http://ecotaxoserver.obs-vlfr.fr/browsetaxo/?id=92328","92328")</f>
        <v>92328</v>
      </c>
      <c r="D688" s="23" t="str">
        <f>HYPERLINK("http://www.marinespecies.org/aphia.php?p=taxdetails&amp;id=116115","116115")</f>
        <v>116115</v>
      </c>
      <c r="E688" s="22" t="s">
        <v>1196</v>
      </c>
      <c r="F688" s="22" t="s">
        <v>1196</v>
      </c>
      <c r="G688" s="22" t="s">
        <v>94</v>
      </c>
      <c r="H688" s="23" t="str">
        <f>HYPERLINK("http://www.marinespecies.org/aphia.php?p=taxdetails&amp;id=116115","116115")</f>
        <v>116115</v>
      </c>
      <c r="I688" s="22" t="s">
        <v>94</v>
      </c>
      <c r="J688" s="24" t="str">
        <f t="shared" si="4"/>
        <v/>
      </c>
    </row>
    <row r="689">
      <c r="A689" s="22" t="s">
        <v>1199</v>
      </c>
      <c r="B689" s="22">
        <v>10.0</v>
      </c>
      <c r="C689" s="23" t="str">
        <f>HYPERLINK("http://ecotaxoserver.obs-vlfr.fr/browsetaxo/?id=72287","72287")</f>
        <v>72287</v>
      </c>
      <c r="D689" s="23" t="str">
        <f>HYPERLINK("http://www.marinespecies.org/aphia.php?p=taxdetails&amp;id=205902","205902")</f>
        <v>205902</v>
      </c>
      <c r="E689" s="22" t="s">
        <v>1200</v>
      </c>
      <c r="F689" s="22" t="s">
        <v>1200</v>
      </c>
      <c r="G689" s="22" t="s">
        <v>94</v>
      </c>
      <c r="H689" s="23" t="str">
        <f>HYPERLINK("http://www.marinespecies.org/aphia.php?p=taxdetails&amp;id=205902","205902")</f>
        <v>205902</v>
      </c>
      <c r="I689" s="22" t="s">
        <v>94</v>
      </c>
      <c r="J689" s="24" t="str">
        <f t="shared" si="4"/>
        <v/>
      </c>
    </row>
    <row r="690">
      <c r="A690" s="22" t="s">
        <v>1201</v>
      </c>
      <c r="B690" s="22">
        <v>960.0</v>
      </c>
      <c r="C690" s="23" t="str">
        <f>HYPERLINK("http://ecotaxoserver.obs-vlfr.fr/browsetaxo/?id=62031","62031")</f>
        <v>62031</v>
      </c>
      <c r="D690" s="23" t="str">
        <f>HYPERLINK("http://www.marinespecies.org/aphia.php?p=taxdetails&amp;id=115409","115409")</f>
        <v>115409</v>
      </c>
      <c r="E690" s="22" t="s">
        <v>842</v>
      </c>
      <c r="F690" s="22" t="s">
        <v>1202</v>
      </c>
      <c r="G690" s="22" t="s">
        <v>94</v>
      </c>
      <c r="H690" s="23" t="str">
        <f>HYPERLINK("http://www.marinespecies.org/aphia.php?p=taxdetails&amp;id=115409","115409")</f>
        <v>115409</v>
      </c>
      <c r="I690" s="22" t="s">
        <v>94</v>
      </c>
      <c r="J690" s="24" t="str">
        <f t="shared" si="4"/>
        <v>!=</v>
      </c>
    </row>
    <row r="691">
      <c r="A691" s="22" t="s">
        <v>1203</v>
      </c>
      <c r="B691" s="22">
        <v>10.0</v>
      </c>
      <c r="C691" s="23" t="str">
        <f>HYPERLINK("http://ecotaxoserver.obs-vlfr.fr/browsetaxo/?id=92860","92860")</f>
        <v>92860</v>
      </c>
      <c r="D691" s="23" t="str">
        <f>HYPERLINK("http://www.marinespecies.org/aphia.php?p=taxdetails&amp;id=115163","115163")</f>
        <v>115163</v>
      </c>
      <c r="E691" s="22" t="s">
        <v>842</v>
      </c>
      <c r="F691" s="22" t="s">
        <v>842</v>
      </c>
      <c r="G691" s="22" t="s">
        <v>94</v>
      </c>
      <c r="H691" s="23" t="str">
        <f>HYPERLINK("http://www.marinespecies.org/aphia.php?p=taxdetails&amp;id=115163","115163")</f>
        <v>115163</v>
      </c>
      <c r="I691" s="22" t="s">
        <v>94</v>
      </c>
      <c r="J691" s="24" t="str">
        <f t="shared" si="4"/>
        <v/>
      </c>
    </row>
    <row r="692">
      <c r="A692" s="22" t="s">
        <v>1204</v>
      </c>
      <c r="B692" s="22">
        <v>20.0</v>
      </c>
      <c r="C692" s="23" t="str">
        <f>HYPERLINK("http://ecotaxoserver.obs-vlfr.fr/browsetaxo/?id=72856","72856")</f>
        <v>72856</v>
      </c>
      <c r="D692" s="23" t="str">
        <f>HYPERLINK("http://www.marinespecies.org/aphia.php?p=taxdetails&amp;id=106401","106401")</f>
        <v>106401</v>
      </c>
      <c r="E692" s="22" t="s">
        <v>1205</v>
      </c>
      <c r="F692" s="22" t="s">
        <v>1205</v>
      </c>
      <c r="G692" s="22" t="s">
        <v>94</v>
      </c>
      <c r="H692" s="23" t="str">
        <f>HYPERLINK("http://www.marinespecies.org/aphia.php?p=taxdetails&amp;id=106401","106401")</f>
        <v>106401</v>
      </c>
      <c r="I692" s="22" t="s">
        <v>94</v>
      </c>
      <c r="J692" s="24" t="str">
        <f t="shared" si="4"/>
        <v/>
      </c>
    </row>
    <row r="693">
      <c r="A693" s="22" t="s">
        <v>445</v>
      </c>
      <c r="B693" s="22">
        <v>12122.0</v>
      </c>
      <c r="C693" s="23" t="str">
        <f>HYPERLINK("http://ecotaxoserver.obs-vlfr.fr/browsetaxo/?id=11498","11498")</f>
        <v>11498</v>
      </c>
      <c r="D693" s="23" t="str">
        <f>HYPERLINK("http://www.marinespecies.org/aphia.php?p=taxdetails&amp;id=51","51")</f>
        <v>51</v>
      </c>
      <c r="E693" s="22" t="s">
        <v>223</v>
      </c>
      <c r="F693" s="22" t="s">
        <v>224</v>
      </c>
      <c r="G693" s="22" t="s">
        <v>94</v>
      </c>
      <c r="H693" s="23" t="str">
        <f>HYPERLINK("http://www.marinespecies.org/aphia.php?p=taxdetails&amp;id=51","51")</f>
        <v>51</v>
      </c>
      <c r="I693" s="22" t="s">
        <v>94</v>
      </c>
      <c r="J693" s="24" t="str">
        <f t="shared" si="4"/>
        <v>!=</v>
      </c>
    </row>
    <row r="694">
      <c r="A694" s="22" t="s">
        <v>1206</v>
      </c>
      <c r="B694" s="22">
        <v>1.0</v>
      </c>
      <c r="C694" s="23" t="str">
        <f>HYPERLINK("http://ecotaxoserver.obs-vlfr.fr/browsetaxo/?id=93183","93183")</f>
        <v>93183</v>
      </c>
      <c r="D694" s="23" t="str">
        <f>HYPERLINK("http://www.marinespecies.org/aphia.php?p=taxdetails&amp;id=159213","159213")</f>
        <v>159213</v>
      </c>
      <c r="E694" s="22" t="s">
        <v>1207</v>
      </c>
      <c r="F694" s="22" t="s">
        <v>1207</v>
      </c>
      <c r="G694" s="22" t="s">
        <v>94</v>
      </c>
      <c r="H694" s="23" t="str">
        <f>HYPERLINK("http://www.marinespecies.org/aphia.php?p=taxdetails&amp;id=159213","159213")</f>
        <v>159213</v>
      </c>
      <c r="I694" s="22" t="s">
        <v>94</v>
      </c>
      <c r="J694" s="24" t="str">
        <f t="shared" si="4"/>
        <v/>
      </c>
    </row>
    <row r="695">
      <c r="A695" s="22" t="s">
        <v>1208</v>
      </c>
      <c r="B695" s="22">
        <v>25.0</v>
      </c>
      <c r="C695" s="23" t="str">
        <f>HYPERLINK("http://ecotaxoserver.obs-vlfr.fr/browsetaxo/?id=62054","62054")</f>
        <v>62054</v>
      </c>
      <c r="D695" s="23" t="str">
        <f>HYPERLINK("http://www.marinespecies.org/aphia.php?p=taxdetails&amp;id=119780","119780")</f>
        <v>119780</v>
      </c>
      <c r="E695" s="22" t="s">
        <v>1209</v>
      </c>
      <c r="F695" s="22" t="s">
        <v>1210</v>
      </c>
      <c r="G695" s="22" t="s">
        <v>94</v>
      </c>
      <c r="H695" s="23" t="str">
        <f>HYPERLINK("http://www.marinespecies.org/aphia.php?p=taxdetails&amp;id=119780","119780")</f>
        <v>119780</v>
      </c>
      <c r="I695" s="22" t="s">
        <v>94</v>
      </c>
      <c r="J695" s="24" t="str">
        <f t="shared" si="4"/>
        <v>!=</v>
      </c>
    </row>
    <row r="696">
      <c r="A696" s="22" t="s">
        <v>1209</v>
      </c>
      <c r="B696" s="22">
        <v>200.0</v>
      </c>
      <c r="C696" s="23" t="str">
        <f>HYPERLINK("http://ecotaxoserver.obs-vlfr.fr/browsetaxo/?id=45069","45069")</f>
        <v>45069</v>
      </c>
      <c r="D696" s="23" t="str">
        <f>HYPERLINK("http://www.marinespecies.org/aphia.php?p=taxdetails&amp;id=1106","1106")</f>
        <v>1106</v>
      </c>
      <c r="E696" s="22" t="s">
        <v>383</v>
      </c>
      <c r="F696" s="22" t="s">
        <v>656</v>
      </c>
      <c r="G696" s="22" t="s">
        <v>94</v>
      </c>
      <c r="H696" s="23" t="str">
        <f>HYPERLINK("http://www.marinespecies.org/aphia.php?p=taxdetails&amp;id=1106","1106")</f>
        <v>1106</v>
      </c>
      <c r="I696" s="22" t="s">
        <v>94</v>
      </c>
      <c r="J696" s="24" t="str">
        <f t="shared" si="4"/>
        <v>!=</v>
      </c>
    </row>
    <row r="697">
      <c r="A697" s="22" t="s">
        <v>1211</v>
      </c>
      <c r="B697" s="22">
        <v>29.0</v>
      </c>
      <c r="C697" s="23" t="str">
        <f>HYPERLINK("http://ecotaxoserver.obs-vlfr.fr/browsetaxo/?id=92288","92288")</f>
        <v>92288</v>
      </c>
      <c r="D697" s="23" t="str">
        <f>HYPERLINK("http://www.marinespecies.org/aphia.php?p=taxdetails&amp;id=119816","119816")</f>
        <v>119816</v>
      </c>
      <c r="E697" s="22" t="s">
        <v>656</v>
      </c>
      <c r="F697" s="22" t="s">
        <v>1212</v>
      </c>
      <c r="G697" s="22" t="s">
        <v>94</v>
      </c>
      <c r="H697" s="23" t="str">
        <f>HYPERLINK("http://www.marinespecies.org/aphia.php?p=taxdetails&amp;id=119816","119816")</f>
        <v>119816</v>
      </c>
      <c r="I697" s="22" t="s">
        <v>94</v>
      </c>
      <c r="J697" s="24" t="str">
        <f t="shared" si="4"/>
        <v>!=</v>
      </c>
    </row>
    <row r="698">
      <c r="A698" s="22" t="s">
        <v>1213</v>
      </c>
      <c r="B698" s="22">
        <v>405.0</v>
      </c>
      <c r="C698" s="23" t="str">
        <f>HYPERLINK("http://ecotaxoserver.obs-vlfr.fr/browsetaxo/?id=81817","81817")</f>
        <v>81817</v>
      </c>
      <c r="D698" s="23" t="str">
        <f>HYPERLINK("http://www.marinespecies.org/aphia.php?p=taxdetails&amp;id=135366","135366")</f>
        <v>135366</v>
      </c>
      <c r="E698" s="22" t="s">
        <v>495</v>
      </c>
      <c r="F698" s="22" t="s">
        <v>496</v>
      </c>
      <c r="G698" s="22" t="s">
        <v>94</v>
      </c>
      <c r="H698" s="23" t="str">
        <f>HYPERLINK("http://www.marinespecies.org/aphia.php?p=taxdetails&amp;id=135366","135366")</f>
        <v>135366</v>
      </c>
      <c r="I698" s="22" t="s">
        <v>94</v>
      </c>
      <c r="J698" s="24" t="str">
        <f t="shared" si="4"/>
        <v>!=</v>
      </c>
    </row>
    <row r="699">
      <c r="A699" s="22" t="s">
        <v>1214</v>
      </c>
      <c r="B699" s="22">
        <v>14.0</v>
      </c>
      <c r="C699" s="23" t="str">
        <f>HYPERLINK("http://ecotaxoserver.obs-vlfr.fr/browsetaxo/?id=83286","83286")</f>
        <v>83286</v>
      </c>
      <c r="D699" s="23" t="str">
        <f>HYPERLINK("http://www.marinespecies.org/aphia.php?p=taxdetails&amp;id=135441","135441")</f>
        <v>135441</v>
      </c>
      <c r="E699" s="22" t="s">
        <v>1213</v>
      </c>
      <c r="F699" s="22" t="s">
        <v>1213</v>
      </c>
      <c r="G699" s="22" t="s">
        <v>94</v>
      </c>
      <c r="H699" s="23" t="str">
        <f>HYPERLINK("http://www.marinespecies.org/aphia.php?p=taxdetails&amp;id=135441","135441")</f>
        <v>135441</v>
      </c>
      <c r="I699" s="22" t="s">
        <v>94</v>
      </c>
      <c r="J699" s="24" t="str">
        <f t="shared" si="4"/>
        <v/>
      </c>
    </row>
    <row r="700">
      <c r="A700" s="22" t="s">
        <v>1215</v>
      </c>
      <c r="B700" s="22">
        <v>15.0</v>
      </c>
      <c r="C700" s="23" t="str">
        <f>HYPERLINK("http://ecotaxoserver.obs-vlfr.fr/browsetaxo/?id=92911","92911")</f>
        <v>92911</v>
      </c>
      <c r="D700" s="23" t="str">
        <f>HYPERLINK("http://www.marinespecies.org/aphia.php?p=taxdetails&amp;id=125546","125546")</f>
        <v>125546</v>
      </c>
      <c r="E700" s="22" t="s">
        <v>132</v>
      </c>
      <c r="F700" s="22" t="s">
        <v>1216</v>
      </c>
      <c r="G700" s="22" t="s">
        <v>94</v>
      </c>
      <c r="H700" s="23" t="str">
        <f>HYPERLINK("http://www.marinespecies.org/aphia.php?p=taxdetails&amp;id=125546","125546")</f>
        <v>125546</v>
      </c>
      <c r="I700" s="22" t="s">
        <v>94</v>
      </c>
      <c r="J700" s="24" t="str">
        <f t="shared" si="4"/>
        <v>!=</v>
      </c>
    </row>
    <row r="701">
      <c r="A701" s="22" t="s">
        <v>1217</v>
      </c>
      <c r="B701" s="22">
        <v>1.0</v>
      </c>
      <c r="C701" s="23" t="str">
        <f>HYPERLINK("http://ecotaxoserver.obs-vlfr.fr/browsetaxo/?id=93266","93266")</f>
        <v>93266</v>
      </c>
      <c r="D701" s="23" t="str">
        <f>HYPERLINK("http://www.marinespecies.org/aphia.php?p=taxdetails&amp;id=125547","125547")</f>
        <v>125547</v>
      </c>
      <c r="E701" s="22" t="s">
        <v>242</v>
      </c>
      <c r="F701" s="22" t="s">
        <v>242</v>
      </c>
      <c r="G701" s="22" t="s">
        <v>94</v>
      </c>
      <c r="H701" s="23" t="str">
        <f>HYPERLINK("http://www.marinespecies.org/aphia.php?p=taxdetails&amp;id=125547","125547")</f>
        <v>125547</v>
      </c>
      <c r="I701" s="22" t="s">
        <v>94</v>
      </c>
      <c r="J701" s="24" t="str">
        <f t="shared" si="4"/>
        <v/>
      </c>
    </row>
    <row r="702">
      <c r="A702" s="22" t="s">
        <v>1218</v>
      </c>
      <c r="B702" s="22">
        <v>215.0</v>
      </c>
      <c r="C702" s="23" t="str">
        <f>HYPERLINK("http://ecotaxoserver.obs-vlfr.fr/browsetaxo/?id=83487","83487")</f>
        <v>83487</v>
      </c>
      <c r="D702" s="23" t="str">
        <f>HYPERLINK("http://www.marinespecies.org/aphia.php?p=taxdetails&amp;id=562645","562645")</f>
        <v>562645</v>
      </c>
      <c r="E702" s="22" t="s">
        <v>225</v>
      </c>
      <c r="F702" s="22" t="s">
        <v>888</v>
      </c>
      <c r="G702" s="22" t="s">
        <v>94</v>
      </c>
      <c r="H702" s="23" t="str">
        <f>HYPERLINK("http://www.marinespecies.org/aphia.php?p=taxdetails&amp;id=562645","562645")</f>
        <v>562645</v>
      </c>
      <c r="I702" s="22" t="s">
        <v>94</v>
      </c>
      <c r="J702" s="24" t="str">
        <f t="shared" si="4"/>
        <v>!=</v>
      </c>
    </row>
    <row r="703">
      <c r="A703" s="22" t="s">
        <v>1219</v>
      </c>
      <c r="B703" s="22">
        <v>61.0</v>
      </c>
      <c r="C703" s="23" t="str">
        <f>HYPERLINK("http://ecotaxoserver.obs-vlfr.fr/browsetaxo/?id=78212","78212")</f>
        <v>78212</v>
      </c>
      <c r="D703" s="23" t="str">
        <f>HYPERLINK("http://www.marinespecies.org/aphia.php?p=taxdetails&amp;id=118377","118377")</f>
        <v>118377</v>
      </c>
      <c r="E703" s="22" t="s">
        <v>1220</v>
      </c>
      <c r="F703" s="22" t="s">
        <v>1221</v>
      </c>
      <c r="G703" s="22" t="s">
        <v>94</v>
      </c>
      <c r="H703" s="23" t="str">
        <f>HYPERLINK("http://www.marinespecies.org/aphia.php?p=taxdetails&amp;id=118377","118377")</f>
        <v>118377</v>
      </c>
      <c r="I703" s="22" t="s">
        <v>94</v>
      </c>
      <c r="J703" s="24" t="str">
        <f t="shared" si="4"/>
        <v>!=</v>
      </c>
    </row>
    <row r="704">
      <c r="A704" s="22" t="s">
        <v>1222</v>
      </c>
      <c r="B704" s="22">
        <v>11.0</v>
      </c>
      <c r="C704" s="23" t="str">
        <f>HYPERLINK("http://ecotaxoserver.obs-vlfr.fr/browsetaxo/?id=92909","92909")</f>
        <v>92909</v>
      </c>
      <c r="D704" s="23" t="str">
        <f>HYPERLINK("http://www.marinespecies.org/aphia.php?p=taxdetails&amp;id=125498","125498")</f>
        <v>125498</v>
      </c>
      <c r="E704" s="22" t="s">
        <v>132</v>
      </c>
      <c r="F704" s="22" t="s">
        <v>1223</v>
      </c>
      <c r="G704" s="22" t="s">
        <v>94</v>
      </c>
      <c r="H704" s="23" t="str">
        <f>HYPERLINK("http://www.marinespecies.org/aphia.php?p=taxdetails&amp;id=125498","125498")</f>
        <v>125498</v>
      </c>
      <c r="I704" s="22" t="s">
        <v>94</v>
      </c>
      <c r="J704" s="24" t="str">
        <f t="shared" si="4"/>
        <v>!=</v>
      </c>
    </row>
    <row r="705">
      <c r="A705" s="22" t="s">
        <v>1224</v>
      </c>
      <c r="B705" s="22">
        <v>1.0</v>
      </c>
      <c r="C705" s="23" t="str">
        <f>HYPERLINK("http://ecotaxoserver.obs-vlfr.fr/browsetaxo/?id=93366","93366")</f>
        <v>93366</v>
      </c>
      <c r="D705" s="23" t="str">
        <f>HYPERLINK("http://www.marinespecies.org/aphia.php?p=taxdetails&amp;id=125829","125829")</f>
        <v>125829</v>
      </c>
      <c r="E705" s="22" t="s">
        <v>1222</v>
      </c>
      <c r="F705" s="22" t="s">
        <v>1222</v>
      </c>
      <c r="G705" s="22" t="s">
        <v>94</v>
      </c>
      <c r="H705" s="23" t="str">
        <f>HYPERLINK("http://www.marinespecies.org/aphia.php?p=taxdetails&amp;id=125829","125829")</f>
        <v>125829</v>
      </c>
      <c r="I705" s="22" t="s">
        <v>94</v>
      </c>
      <c r="J705" s="24" t="str">
        <f t="shared" si="4"/>
        <v/>
      </c>
    </row>
    <row r="706">
      <c r="A706" s="22" t="s">
        <v>890</v>
      </c>
      <c r="B706" s="22">
        <v>8982.0</v>
      </c>
      <c r="C706" s="23" t="str">
        <f>HYPERLINK("http://ecotaxoserver.obs-vlfr.fr/browsetaxo/?id=45048","45048")</f>
        <v>45048</v>
      </c>
      <c r="D706" s="23" t="str">
        <f>HYPERLINK("http://www.marinespecies.org/aphia.php?p=taxdetails&amp;id=149668","149668")</f>
        <v>149668</v>
      </c>
      <c r="E706" s="22" t="s">
        <v>198</v>
      </c>
      <c r="F706" s="22" t="s">
        <v>199</v>
      </c>
      <c r="G706" s="22" t="s">
        <v>94</v>
      </c>
      <c r="H706" s="23" t="str">
        <f>HYPERLINK("http://www.marinespecies.org/aphia.php?p=taxdetails&amp;id=149668","149668")</f>
        <v>149668</v>
      </c>
      <c r="I706" s="22" t="s">
        <v>94</v>
      </c>
      <c r="J706" s="24" t="str">
        <f t="shared" si="4"/>
        <v>!=</v>
      </c>
    </row>
    <row r="707">
      <c r="A707" s="24" t="s">
        <v>1225</v>
      </c>
      <c r="C707" s="23" t="str">
        <f>HYPERLINK("http://ecotaxoserver.obs-vlfr.fr/browsetaxo/?id=2248","2248")</f>
        <v>2248</v>
      </c>
      <c r="D707" s="23" t="str">
        <f>HYPERLINK("http://www.marinespecies.org/aphia.php?p=taxdetails&amp;id=450030","450030")</f>
        <v>450030</v>
      </c>
      <c r="H707" s="23" t="str">
        <f>HYPERLINK("http://www.marinespecies.org/aphia.php?p=taxdetails&amp;id=450030","450030")</f>
        <v>450030</v>
      </c>
      <c r="J707" s="24"/>
    </row>
    <row r="708">
      <c r="A708" s="22" t="s">
        <v>1226</v>
      </c>
      <c r="B708" s="22">
        <v>9.0</v>
      </c>
      <c r="C708" s="23" t="str">
        <f>HYPERLINK("http://ecotaxoserver.obs-vlfr.fr/browsetaxo/?id=92814","92814")</f>
        <v>92814</v>
      </c>
      <c r="D708" s="23" t="str">
        <f>HYPERLINK("http://www.marinespecies.org/aphia.php?p=taxdetails&amp;id=104469","104469")</f>
        <v>104469</v>
      </c>
      <c r="E708" s="22" t="s">
        <v>382</v>
      </c>
      <c r="F708" s="22" t="s">
        <v>1227</v>
      </c>
      <c r="G708" s="22" t="s">
        <v>94</v>
      </c>
      <c r="H708" s="23" t="str">
        <f>HYPERLINK("http://www.marinespecies.org/aphia.php?p=taxdetails&amp;id=104469","104469")</f>
        <v>104469</v>
      </c>
      <c r="I708" s="22" t="s">
        <v>94</v>
      </c>
      <c r="J708" s="24" t="str">
        <f t="shared" ref="J708:J861" si="5">IF(E708&lt;&gt;F708,"!=","")</f>
        <v>!=</v>
      </c>
    </row>
    <row r="709">
      <c r="A709" s="22" t="s">
        <v>1228</v>
      </c>
      <c r="B709" s="22">
        <v>4.0</v>
      </c>
      <c r="C709" s="23" t="str">
        <f>HYPERLINK("http://ecotaxoserver.obs-vlfr.fr/browsetaxo/?id=83313","83313")</f>
        <v>83313</v>
      </c>
      <c r="D709" s="23" t="str">
        <f>HYPERLINK("http://www.marinespecies.org/aphia.php?p=taxdetails&amp;id=135495","135495")</f>
        <v>135495</v>
      </c>
      <c r="E709" s="22" t="s">
        <v>1229</v>
      </c>
      <c r="F709" s="22" t="s">
        <v>1229</v>
      </c>
      <c r="G709" s="22" t="s">
        <v>94</v>
      </c>
      <c r="H709" s="23" t="str">
        <f>HYPERLINK("http://www.marinespecies.org/aphia.php?p=taxdetails&amp;id=135495","135495")</f>
        <v>135495</v>
      </c>
      <c r="I709" s="22" t="s">
        <v>94</v>
      </c>
      <c r="J709" s="24" t="str">
        <f t="shared" si="5"/>
        <v/>
      </c>
    </row>
    <row r="710">
      <c r="A710" s="22" t="s">
        <v>1230</v>
      </c>
      <c r="B710" s="22">
        <v>954.0</v>
      </c>
      <c r="C710" s="23" t="str">
        <f>HYPERLINK("http://ecotaxoserver.obs-vlfr.fr/browsetaxo/?id=92123","92123")</f>
        <v>92123</v>
      </c>
      <c r="D710" s="23" t="str">
        <f>HYPERLINK("http://www.marinespecies.org/aphia.php?p=taxdetails&amp;id=248179","248179")</f>
        <v>248179</v>
      </c>
      <c r="E710" s="22" t="s">
        <v>119</v>
      </c>
      <c r="F710" s="22" t="s">
        <v>315</v>
      </c>
      <c r="G710" s="22" t="s">
        <v>94</v>
      </c>
      <c r="H710" s="23" t="str">
        <f>HYPERLINK("http://www.marinespecies.org/aphia.php?p=taxdetails&amp;id=248179","248179")</f>
        <v>248179</v>
      </c>
      <c r="I710" s="22" t="s">
        <v>94</v>
      </c>
      <c r="J710" s="24" t="str">
        <f t="shared" si="5"/>
        <v>!=</v>
      </c>
    </row>
    <row r="711">
      <c r="A711" s="22" t="s">
        <v>137</v>
      </c>
      <c r="B711" s="22">
        <v>1843.0</v>
      </c>
      <c r="C711" s="23" t="str">
        <f>HYPERLINK("http://ecotaxoserver.obs-vlfr.fr/browsetaxo/?id=25999","25999")</f>
        <v>25999</v>
      </c>
      <c r="D711" s="23" t="str">
        <f>HYPERLINK("http://www.marinespecies.org/aphia.php?p=taxdetails&amp;id=16349","16349")</f>
        <v>16349</v>
      </c>
      <c r="E711" s="22" t="s">
        <v>1231</v>
      </c>
      <c r="F711" s="22" t="s">
        <v>1232</v>
      </c>
      <c r="G711" s="22" t="s">
        <v>94</v>
      </c>
      <c r="H711" s="23" t="str">
        <f>HYPERLINK("http://www.marinespecies.org/aphia.php?p=taxdetails&amp;id=16349","16349")</f>
        <v>16349</v>
      </c>
      <c r="I711" s="22" t="s">
        <v>94</v>
      </c>
      <c r="J711" s="24" t="str">
        <f t="shared" si="5"/>
        <v>!=</v>
      </c>
    </row>
    <row r="712">
      <c r="A712" s="22" t="s">
        <v>1233</v>
      </c>
      <c r="B712" s="22">
        <v>2.0</v>
      </c>
      <c r="C712" s="23" t="str">
        <f>HYPERLINK("http://ecotaxoserver.obs-vlfr.fr/browsetaxo/?id=52393","52393")</f>
        <v>52393</v>
      </c>
      <c r="D712" s="23" t="str">
        <f>HYPERLINK("http://www.marinespecies.org/aphia.php?p=taxdetails&amp;id=205431","205431")</f>
        <v>205431</v>
      </c>
      <c r="E712" s="22" t="s">
        <v>776</v>
      </c>
      <c r="F712" s="22" t="s">
        <v>1234</v>
      </c>
      <c r="G712" s="22" t="s">
        <v>94</v>
      </c>
      <c r="H712" s="23" t="str">
        <f>HYPERLINK("http://www.marinespecies.org/aphia.php?p=taxdetails&amp;id=205431","205431")</f>
        <v>205431</v>
      </c>
      <c r="I712" s="22" t="s">
        <v>94</v>
      </c>
      <c r="J712" s="24" t="str">
        <f t="shared" si="5"/>
        <v>!=</v>
      </c>
    </row>
    <row r="713">
      <c r="A713" s="22" t="s">
        <v>1235</v>
      </c>
      <c r="B713" s="22">
        <v>1.0</v>
      </c>
      <c r="C713" s="23" t="str">
        <f>HYPERLINK("http://ecotaxoserver.obs-vlfr.fr/browsetaxo/?id=92751","92751")</f>
        <v>92751</v>
      </c>
      <c r="D713" s="23" t="str">
        <f>HYPERLINK("http://www.marinespecies.org/aphia.php?p=taxdetails&amp;id=287158","287158")</f>
        <v>287158</v>
      </c>
      <c r="E713" s="22" t="s">
        <v>1236</v>
      </c>
      <c r="F713" s="22" t="s">
        <v>1236</v>
      </c>
      <c r="G713" s="22" t="s">
        <v>94</v>
      </c>
      <c r="H713" s="23" t="str">
        <f>HYPERLINK("http://www.marinespecies.org/aphia.php?p=taxdetails&amp;id=287158","287158")</f>
        <v>287158</v>
      </c>
      <c r="I713" s="22" t="s">
        <v>94</v>
      </c>
      <c r="J713" s="24" t="str">
        <f t="shared" si="5"/>
        <v/>
      </c>
    </row>
    <row r="714">
      <c r="A714" s="22" t="s">
        <v>1237</v>
      </c>
      <c r="B714" s="22">
        <v>2134.0</v>
      </c>
      <c r="C714" s="23" t="str">
        <f>HYPERLINK("http://ecotaxoserver.obs-vlfr.fr/browsetaxo/?id=28155","28155")</f>
        <v>28155</v>
      </c>
      <c r="D714" s="23" t="str">
        <f>HYPERLINK("http://www.marinespecies.org/aphia.php?p=taxdetails&amp;id=149142","149142")</f>
        <v>149142</v>
      </c>
      <c r="E714" s="22" t="s">
        <v>119</v>
      </c>
      <c r="F714" s="22" t="s">
        <v>964</v>
      </c>
      <c r="G714" s="22" t="s">
        <v>94</v>
      </c>
      <c r="H714" s="23" t="str">
        <f>HYPERLINK("http://www.marinespecies.org/aphia.php?p=taxdetails&amp;id=149142","149142")</f>
        <v>149142</v>
      </c>
      <c r="I714" s="22" t="s">
        <v>94</v>
      </c>
      <c r="J714" s="24" t="str">
        <f t="shared" si="5"/>
        <v>!=</v>
      </c>
    </row>
    <row r="715">
      <c r="A715" s="22" t="s">
        <v>1238</v>
      </c>
      <c r="B715" s="22">
        <v>9.0</v>
      </c>
      <c r="C715" s="23" t="str">
        <f>HYPERLINK("http://ecotaxoserver.obs-vlfr.fr/browsetaxo/?id=28156","28156")</f>
        <v>28156</v>
      </c>
      <c r="D715" s="23" t="str">
        <f>HYPERLINK("http://www.marinespecies.org/aphia.php?p=taxdetails&amp;id=149015","149015")</f>
        <v>149015</v>
      </c>
      <c r="E715" s="22" t="s">
        <v>119</v>
      </c>
      <c r="F715" s="22" t="s">
        <v>1239</v>
      </c>
      <c r="G715" s="22" t="s">
        <v>94</v>
      </c>
      <c r="H715" s="23" t="str">
        <f>HYPERLINK("http://www.marinespecies.org/aphia.php?p=taxdetails&amp;id=149015","149015")</f>
        <v>149015</v>
      </c>
      <c r="I715" s="22" t="s">
        <v>94</v>
      </c>
      <c r="J715" s="24" t="str">
        <f t="shared" si="5"/>
        <v>!=</v>
      </c>
    </row>
    <row r="716">
      <c r="A716" s="22" t="s">
        <v>1240</v>
      </c>
      <c r="B716" s="22">
        <v>154.0</v>
      </c>
      <c r="C716" s="23" t="str">
        <f>HYPERLINK("http://ecotaxoserver.obs-vlfr.fr/browsetaxo/?id=11495","11495")</f>
        <v>11495</v>
      </c>
      <c r="D716" s="23" t="str">
        <f>HYPERLINK("http://www.marinespecies.org/aphia.php?p=taxdetails&amp;id=799","799")</f>
        <v>799</v>
      </c>
      <c r="E716" s="22" t="s">
        <v>223</v>
      </c>
      <c r="F716" s="22" t="s">
        <v>224</v>
      </c>
      <c r="G716" s="22" t="s">
        <v>94</v>
      </c>
      <c r="H716" s="23" t="str">
        <f>HYPERLINK("http://www.marinespecies.org/aphia.php?p=taxdetails&amp;id=799","799")</f>
        <v>799</v>
      </c>
      <c r="I716" s="22" t="s">
        <v>94</v>
      </c>
      <c r="J716" s="24" t="str">
        <f t="shared" si="5"/>
        <v>!=</v>
      </c>
    </row>
    <row r="717">
      <c r="A717" s="22" t="s">
        <v>1241</v>
      </c>
      <c r="B717" s="22">
        <v>121.0</v>
      </c>
      <c r="C717" s="23" t="str">
        <f>HYPERLINK("http://ecotaxoserver.obs-vlfr.fr/browsetaxo/?id=89171","89171")</f>
        <v>89171</v>
      </c>
      <c r="D717" s="23" t="str">
        <f>HYPERLINK("http://www.marinespecies.org/aphia.php?p=taxdetails&amp;id=547527","547527")</f>
        <v>547527</v>
      </c>
      <c r="E717" s="22" t="s">
        <v>1242</v>
      </c>
      <c r="F717" s="22" t="s">
        <v>1242</v>
      </c>
      <c r="G717" s="22" t="s">
        <v>94</v>
      </c>
      <c r="H717" s="23" t="str">
        <f>HYPERLINK("http://www.marinespecies.org/aphia.php?p=taxdetails&amp;id=547527","547527")</f>
        <v>547527</v>
      </c>
      <c r="I717" s="22" t="s">
        <v>94</v>
      </c>
      <c r="J717" s="24" t="str">
        <f t="shared" si="5"/>
        <v/>
      </c>
    </row>
    <row r="718">
      <c r="A718" s="22" t="s">
        <v>1243</v>
      </c>
      <c r="B718" s="22">
        <v>66.0</v>
      </c>
      <c r="C718" s="23" t="str">
        <f>HYPERLINK("http://ecotaxoserver.obs-vlfr.fr/browsetaxo/?id=11493","11493")</f>
        <v>11493</v>
      </c>
      <c r="D718" s="23" t="str">
        <f>HYPERLINK("http://www.marinespecies.org/aphia.php?p=taxdetails&amp;id=152391","152391")</f>
        <v>152391</v>
      </c>
      <c r="E718" s="22" t="s">
        <v>223</v>
      </c>
      <c r="F718" s="22" t="s">
        <v>224</v>
      </c>
      <c r="G718" s="22" t="s">
        <v>94</v>
      </c>
      <c r="H718" s="23" t="str">
        <f>HYPERLINK("http://www.marinespecies.org/aphia.php?p=taxdetails&amp;id=152391","152391")</f>
        <v>152391</v>
      </c>
      <c r="I718" s="22" t="s">
        <v>94</v>
      </c>
      <c r="J718" s="24" t="str">
        <f t="shared" si="5"/>
        <v>!=</v>
      </c>
    </row>
    <row r="719">
      <c r="A719" s="22" t="s">
        <v>1244</v>
      </c>
      <c r="B719" s="22">
        <v>1.0</v>
      </c>
      <c r="C719" s="23" t="str">
        <f>HYPERLINK("http://ecotaxoserver.obs-vlfr.fr/browsetaxo/?id=93172","93172")</f>
        <v>93172</v>
      </c>
      <c r="D719" s="23" t="str">
        <f>HYPERLINK("http://www.marinespecies.org/aphia.php?p=taxdetails&amp;id=154740","154740")</f>
        <v>154740</v>
      </c>
      <c r="E719" s="22" t="s">
        <v>1245</v>
      </c>
      <c r="F719" s="22" t="s">
        <v>1245</v>
      </c>
      <c r="G719" s="22" t="s">
        <v>94</v>
      </c>
      <c r="H719" s="23" t="str">
        <f>HYPERLINK("http://www.marinespecies.org/aphia.php?p=taxdetails&amp;id=154740","154740")</f>
        <v>154740</v>
      </c>
      <c r="I719" s="22" t="s">
        <v>94</v>
      </c>
      <c r="J719" s="24" t="str">
        <f t="shared" si="5"/>
        <v/>
      </c>
    </row>
    <row r="720">
      <c r="A720" s="22" t="s">
        <v>1246</v>
      </c>
      <c r="B720" s="22">
        <v>31.0</v>
      </c>
      <c r="C720" s="23" t="str">
        <f>HYPERLINK("http://ecotaxoserver.obs-vlfr.fr/browsetaxo/?id=80123","80123")</f>
        <v>80123</v>
      </c>
      <c r="D720" s="23" t="str">
        <f>HYPERLINK("http://www.marinespecies.org/aphia.php?p=taxdetails&amp;id=104155","104155")</f>
        <v>104155</v>
      </c>
      <c r="E720" s="22" t="s">
        <v>382</v>
      </c>
      <c r="F720" s="22" t="s">
        <v>382</v>
      </c>
      <c r="G720" s="22" t="s">
        <v>94</v>
      </c>
      <c r="H720" s="23" t="str">
        <f>HYPERLINK("http://www.marinespecies.org/aphia.php?p=taxdetails&amp;id=104155","104155")</f>
        <v>104155</v>
      </c>
      <c r="I720" s="22" t="s">
        <v>94</v>
      </c>
      <c r="J720" s="24" t="str">
        <f t="shared" si="5"/>
        <v/>
      </c>
    </row>
    <row r="721">
      <c r="A721" s="22" t="s">
        <v>1247</v>
      </c>
      <c r="B721" s="22">
        <v>89.0</v>
      </c>
      <c r="C721" s="23" t="str">
        <f>HYPERLINK("http://ecotaxoserver.obs-vlfr.fr/browsetaxo/?id=82438","82438")</f>
        <v>82438</v>
      </c>
      <c r="D721" s="23" t="str">
        <f>HYPERLINK("http://www.marinespecies.org/aphia.php?p=taxdetails&amp;id=104470","104470")</f>
        <v>104470</v>
      </c>
      <c r="E721" s="22" t="s">
        <v>1246</v>
      </c>
      <c r="F721" s="22" t="s">
        <v>1246</v>
      </c>
      <c r="G721" s="22" t="s">
        <v>94</v>
      </c>
      <c r="H721" s="23" t="str">
        <f>HYPERLINK("http://www.marinespecies.org/aphia.php?p=taxdetails&amp;id=104470","104470")</f>
        <v>104470</v>
      </c>
      <c r="I721" s="22" t="s">
        <v>94</v>
      </c>
      <c r="J721" s="24" t="str">
        <f t="shared" si="5"/>
        <v/>
      </c>
    </row>
    <row r="722">
      <c r="A722" s="22" t="s">
        <v>1248</v>
      </c>
      <c r="B722" s="22">
        <v>642.0</v>
      </c>
      <c r="C722" s="23" t="str">
        <f>HYPERLINK("http://ecotaxoserver.obs-vlfr.fr/browsetaxo/?id=82437","82437")</f>
        <v>82437</v>
      </c>
      <c r="D722" s="23" t="str">
        <f>HYPERLINK("http://www.marinespecies.org/aphia.php?p=taxdetails&amp;id=353708","353708")</f>
        <v>353708</v>
      </c>
      <c r="E722" s="22" t="s">
        <v>1246</v>
      </c>
      <c r="F722" s="22" t="s">
        <v>1246</v>
      </c>
      <c r="G722" s="22" t="s">
        <v>94</v>
      </c>
      <c r="H722" s="23" t="str">
        <f>HYPERLINK("http://www.marinespecies.org/aphia.php?p=taxdetails&amp;id=353708","353708")</f>
        <v>353708</v>
      </c>
      <c r="I722" s="22" t="s">
        <v>94</v>
      </c>
      <c r="J722" s="24" t="str">
        <f t="shared" si="5"/>
        <v/>
      </c>
    </row>
    <row r="723">
      <c r="A723" s="22" t="s">
        <v>1249</v>
      </c>
      <c r="B723" s="22">
        <v>285.0</v>
      </c>
      <c r="C723" s="23" t="str">
        <f>HYPERLINK("http://ecotaxoserver.obs-vlfr.fr/browsetaxo/?id=82435","82435")</f>
        <v>82435</v>
      </c>
      <c r="D723" s="23" t="str">
        <f>HYPERLINK("http://www.marinespecies.org/aphia.php?p=taxdetails&amp;id=196772","196772")</f>
        <v>196772</v>
      </c>
      <c r="E723" s="22" t="s">
        <v>1246</v>
      </c>
      <c r="F723" s="22" t="s">
        <v>1246</v>
      </c>
      <c r="G723" s="22" t="s">
        <v>94</v>
      </c>
      <c r="H723" s="23" t="str">
        <f>HYPERLINK("http://www.marinespecies.org/aphia.php?p=taxdetails&amp;id=196772","196772")</f>
        <v>196772</v>
      </c>
      <c r="I723" s="22" t="s">
        <v>94</v>
      </c>
      <c r="J723" s="24" t="str">
        <f t="shared" si="5"/>
        <v/>
      </c>
    </row>
    <row r="724">
      <c r="A724" s="22" t="s">
        <v>1250</v>
      </c>
      <c r="B724" s="22">
        <v>69613.0</v>
      </c>
      <c r="C724" s="23" t="str">
        <f>HYPERLINK("http://ecotaxoserver.obs-vlfr.fr/browsetaxo/?id=18758","18758")</f>
        <v>18758</v>
      </c>
      <c r="D724" s="23" t="str">
        <f>HYPERLINK("http://www.marinespecies.org/aphia.php?p=taxdetails&amp;id=494056","494056")</f>
        <v>494056</v>
      </c>
      <c r="E724" s="22" t="s">
        <v>452</v>
      </c>
      <c r="F724" s="22" t="s">
        <v>452</v>
      </c>
      <c r="G724" s="22" t="s">
        <v>94</v>
      </c>
      <c r="H724" s="23" t="str">
        <f>HYPERLINK("http://www.marinespecies.org/aphia.php?p=taxdetails&amp;id=494056","494056")</f>
        <v>494056</v>
      </c>
      <c r="I724" s="22" t="s">
        <v>94</v>
      </c>
      <c r="J724" s="24" t="str">
        <f t="shared" si="5"/>
        <v/>
      </c>
    </row>
    <row r="725">
      <c r="A725" s="22" t="s">
        <v>1251</v>
      </c>
      <c r="B725" s="22">
        <v>2.0</v>
      </c>
      <c r="C725" s="23" t="str">
        <f>HYPERLINK("http://ecotaxoserver.obs-vlfr.fr/browsetaxo/?id=31591","31591")</f>
        <v>31591</v>
      </c>
      <c r="D725" s="23" t="str">
        <f>HYPERLINK("http://www.marinespecies.org/aphia.php?p=taxdetails&amp;id=495664","495664")</f>
        <v>495664</v>
      </c>
      <c r="E725" s="22" t="s">
        <v>1250</v>
      </c>
      <c r="F725" s="22" t="s">
        <v>1250</v>
      </c>
      <c r="G725" s="22" t="s">
        <v>94</v>
      </c>
      <c r="H725" s="23" t="str">
        <f>HYPERLINK("http://www.marinespecies.org/aphia.php?p=taxdetails&amp;id=495664","495664")</f>
        <v>495664</v>
      </c>
      <c r="I725" s="22" t="s">
        <v>94</v>
      </c>
      <c r="J725" s="24" t="str">
        <f t="shared" si="5"/>
        <v/>
      </c>
    </row>
    <row r="726">
      <c r="A726" s="22" t="s">
        <v>1252</v>
      </c>
      <c r="B726" s="22">
        <v>1.0</v>
      </c>
      <c r="C726" s="23" t="str">
        <f>HYPERLINK("http://ecotaxoserver.obs-vlfr.fr/browsetaxo/?id=93203","93203")</f>
        <v>93203</v>
      </c>
      <c r="D726" s="23" t="str">
        <f>HYPERLINK("http://www.marinespecies.org/aphia.php?p=taxdetails&amp;id=126635","126635")</f>
        <v>126635</v>
      </c>
      <c r="E726" s="22" t="s">
        <v>1253</v>
      </c>
      <c r="F726" s="22" t="s">
        <v>1253</v>
      </c>
      <c r="G726" s="22" t="s">
        <v>94</v>
      </c>
      <c r="H726" s="23" t="str">
        <f>HYPERLINK("http://www.marinespecies.org/aphia.php?p=taxdetails&amp;id=126635","126635")</f>
        <v>126635</v>
      </c>
      <c r="I726" s="22" t="s">
        <v>94</v>
      </c>
      <c r="J726" s="24" t="str">
        <f t="shared" si="5"/>
        <v/>
      </c>
    </row>
    <row r="727">
      <c r="A727" s="22" t="s">
        <v>1254</v>
      </c>
      <c r="B727" s="22">
        <v>2.0</v>
      </c>
      <c r="C727" s="23" t="str">
        <f>HYPERLINK("http://ecotaxoserver.obs-vlfr.fr/browsetaxo/?id=92135","92135")</f>
        <v>92135</v>
      </c>
      <c r="D727" s="23" t="str">
        <f>HYPERLINK("http://www.marinespecies.org/aphia.php?p=taxdetails&amp;id=117796","117796")</f>
        <v>117796</v>
      </c>
      <c r="E727" s="22" t="s">
        <v>1255</v>
      </c>
      <c r="F727" s="22" t="s">
        <v>1255</v>
      </c>
      <c r="G727" s="22" t="s">
        <v>94</v>
      </c>
      <c r="H727" s="23" t="str">
        <f>HYPERLINK("http://www.marinespecies.org/aphia.php?p=taxdetails&amp;id=117796","117796")</f>
        <v>117796</v>
      </c>
      <c r="I727" s="22" t="s">
        <v>94</v>
      </c>
      <c r="J727" s="24" t="str">
        <f t="shared" si="5"/>
        <v/>
      </c>
    </row>
    <row r="728">
      <c r="A728" s="22" t="s">
        <v>1256</v>
      </c>
      <c r="B728" s="22">
        <v>1.0</v>
      </c>
      <c r="C728" s="23" t="str">
        <f>HYPERLINK("http://ecotaxoserver.obs-vlfr.fr/browsetaxo/?id=84450","84450")</f>
        <v>84450</v>
      </c>
      <c r="D728" s="23" t="str">
        <f>HYPERLINK("http://www.marinespecies.org/aphia.php?p=taxdetails&amp;id=107254","107254")</f>
        <v>107254</v>
      </c>
      <c r="E728" s="22" t="s">
        <v>1257</v>
      </c>
      <c r="F728" s="22" t="s">
        <v>1257</v>
      </c>
      <c r="G728" s="22" t="s">
        <v>94</v>
      </c>
      <c r="H728" s="23" t="str">
        <f>HYPERLINK("http://www.marinespecies.org/aphia.php?p=taxdetails&amp;id=107254","107254")</f>
        <v>107254</v>
      </c>
      <c r="I728" s="22" t="s">
        <v>94</v>
      </c>
      <c r="J728" s="24" t="str">
        <f t="shared" si="5"/>
        <v/>
      </c>
    </row>
    <row r="729">
      <c r="A729" s="22" t="s">
        <v>1258</v>
      </c>
      <c r="B729" s="22">
        <v>1.0</v>
      </c>
      <c r="C729" s="23" t="str">
        <f>HYPERLINK("http://ecotaxoserver.obs-vlfr.fr/browsetaxo/?id=25635","25635")</f>
        <v>25635</v>
      </c>
      <c r="D729" s="23" t="str">
        <f>HYPERLINK("http://www.marinespecies.org/aphia.php?p=taxdetails&amp;id=22496","22496")</f>
        <v>22496</v>
      </c>
      <c r="E729" s="22" t="s">
        <v>239</v>
      </c>
      <c r="F729" s="22" t="s">
        <v>1259</v>
      </c>
      <c r="G729" s="22" t="s">
        <v>94</v>
      </c>
      <c r="H729" s="23" t="str">
        <f>HYPERLINK("http://www.marinespecies.org/aphia.php?p=taxdetails&amp;id=22496","22496")</f>
        <v>22496</v>
      </c>
      <c r="I729" s="22" t="s">
        <v>94</v>
      </c>
      <c r="J729" s="24" t="str">
        <f t="shared" si="5"/>
        <v>!=</v>
      </c>
    </row>
    <row r="730">
      <c r="A730" s="22" t="s">
        <v>1260</v>
      </c>
      <c r="B730" s="22">
        <v>164.0</v>
      </c>
      <c r="C730" s="23" t="str">
        <f>HYPERLINK("http://ecotaxoserver.obs-vlfr.fr/browsetaxo/?id=43729","43729")</f>
        <v>43729</v>
      </c>
      <c r="D730" s="23" t="str">
        <f>HYPERLINK("http://www.marinespecies.org/aphia.php?p=taxdetails&amp;id=129451","129451")</f>
        <v>129451</v>
      </c>
      <c r="E730" s="22" t="s">
        <v>1261</v>
      </c>
      <c r="F730" s="22" t="s">
        <v>1262</v>
      </c>
      <c r="G730" s="22" t="s">
        <v>94</v>
      </c>
      <c r="H730" s="23" t="str">
        <f>HYPERLINK("http://www.marinespecies.org/aphia.php?p=taxdetails&amp;id=129451","129451")</f>
        <v>129451</v>
      </c>
      <c r="I730" s="22" t="s">
        <v>94</v>
      </c>
      <c r="J730" s="24" t="str">
        <f t="shared" si="5"/>
        <v>!=</v>
      </c>
    </row>
    <row r="731">
      <c r="A731" s="22" t="s">
        <v>1263</v>
      </c>
      <c r="B731" s="22">
        <v>1.0</v>
      </c>
      <c r="C731" s="23" t="str">
        <f>HYPERLINK("http://ecotaxoserver.obs-vlfr.fr/browsetaxo/?id=93127","93127")</f>
        <v>93127</v>
      </c>
      <c r="D731" s="23" t="str">
        <f>HYPERLINK("http://www.marinespecies.org/aphia.php?p=taxdetails&amp;id=290469","290469")</f>
        <v>290469</v>
      </c>
      <c r="E731" s="22" t="s">
        <v>1264</v>
      </c>
      <c r="F731" s="22" t="s">
        <v>1264</v>
      </c>
      <c r="G731" s="22" t="s">
        <v>94</v>
      </c>
      <c r="H731" s="23" t="str">
        <f>HYPERLINK("http://www.marinespecies.org/aphia.php?p=taxdetails&amp;id=290469","290469")</f>
        <v>290469</v>
      </c>
      <c r="I731" s="22" t="s">
        <v>94</v>
      </c>
      <c r="J731" s="24" t="str">
        <f t="shared" si="5"/>
        <v/>
      </c>
    </row>
    <row r="732">
      <c r="A732" s="22" t="s">
        <v>1265</v>
      </c>
      <c r="B732" s="22">
        <v>1.0</v>
      </c>
      <c r="C732" s="23" t="str">
        <f>HYPERLINK("http://ecotaxoserver.obs-vlfr.fr/browsetaxo/?id=62029","62029")</f>
        <v>62029</v>
      </c>
      <c r="D732" s="23" t="str">
        <f>HYPERLINK("http://www.marinespecies.org/aphia.php?p=taxdetails&amp;id=115198","115198")</f>
        <v>115198</v>
      </c>
      <c r="E732" s="22" t="s">
        <v>842</v>
      </c>
      <c r="F732" s="22" t="s">
        <v>1266</v>
      </c>
      <c r="G732" s="22" t="s">
        <v>94</v>
      </c>
      <c r="H732" s="23" t="str">
        <f>HYPERLINK("http://www.marinespecies.org/aphia.php?p=taxdetails&amp;id=115198","115198")</f>
        <v>115198</v>
      </c>
      <c r="I732" s="22" t="s">
        <v>94</v>
      </c>
      <c r="J732" s="24" t="str">
        <f t="shared" si="5"/>
        <v>!=</v>
      </c>
    </row>
    <row r="733">
      <c r="A733" s="22" t="s">
        <v>1267</v>
      </c>
      <c r="B733" s="22">
        <v>5.0</v>
      </c>
      <c r="C733" s="23" t="str">
        <f>HYPERLINK("http://ecotaxoserver.obs-vlfr.fr/browsetaxo/?id=91322","91322")</f>
        <v>91322</v>
      </c>
      <c r="D733" s="23" t="str">
        <f>HYPERLINK("http://www.marinespecies.org/aphia.php?p=taxdetails&amp;id=175404","175404")</f>
        <v>175404</v>
      </c>
      <c r="E733" s="22" t="s">
        <v>751</v>
      </c>
      <c r="F733" s="22" t="s">
        <v>1268</v>
      </c>
      <c r="G733" s="22" t="s">
        <v>94</v>
      </c>
      <c r="H733" s="23" t="str">
        <f>HYPERLINK("http://www.marinespecies.org/aphia.php?p=taxdetails&amp;id=175404","175404")</f>
        <v>175404</v>
      </c>
      <c r="I733" s="22" t="s">
        <v>94</v>
      </c>
      <c r="J733" s="24" t="str">
        <f t="shared" si="5"/>
        <v>!=</v>
      </c>
    </row>
    <row r="734">
      <c r="A734" s="22" t="s">
        <v>1269</v>
      </c>
      <c r="B734" s="22">
        <v>1806.0</v>
      </c>
      <c r="C734" s="23" t="str">
        <f>HYPERLINK("http://ecotaxoserver.obs-vlfr.fr/browsetaxo/?id=55651","55651")</f>
        <v>55651</v>
      </c>
      <c r="D734" s="23" t="str">
        <f>HYPERLINK("http://www.marinespecies.org/aphia.php?p=taxdetails&amp;id=149150","149150")</f>
        <v>149150</v>
      </c>
      <c r="E734" s="22" t="s">
        <v>1268</v>
      </c>
      <c r="F734" s="22" t="s">
        <v>1268</v>
      </c>
      <c r="G734" s="22" t="s">
        <v>94</v>
      </c>
      <c r="H734" s="23" t="str">
        <f>HYPERLINK("http://www.marinespecies.org/aphia.php?p=taxdetails&amp;id=149150","149150")</f>
        <v>149150</v>
      </c>
      <c r="I734" s="22" t="s">
        <v>94</v>
      </c>
      <c r="J734" s="24" t="str">
        <f t="shared" si="5"/>
        <v/>
      </c>
    </row>
    <row r="735">
      <c r="A735" s="22" t="s">
        <v>1270</v>
      </c>
      <c r="B735" s="22">
        <v>8966.0</v>
      </c>
      <c r="C735" s="23" t="str">
        <f>HYPERLINK("http://ecotaxoserver.obs-vlfr.fr/browsetaxo/?id=13945","13945")</f>
        <v>13945</v>
      </c>
      <c r="D735" s="23" t="str">
        <f>HYPERLINK("http://www.marinespecies.org/aphia.php?p=taxdetails&amp;id=109393","109393")</f>
        <v>109393</v>
      </c>
      <c r="E735" s="22" t="s">
        <v>740</v>
      </c>
      <c r="F735" s="22" t="s">
        <v>740</v>
      </c>
      <c r="G735" s="22" t="s">
        <v>94</v>
      </c>
      <c r="H735" s="23" t="str">
        <f>HYPERLINK("http://www.marinespecies.org/aphia.php?p=taxdetails&amp;id=109393","109393")</f>
        <v>109393</v>
      </c>
      <c r="I735" s="22" t="s">
        <v>94</v>
      </c>
      <c r="J735" s="24" t="str">
        <f t="shared" si="5"/>
        <v/>
      </c>
    </row>
    <row r="736">
      <c r="A736" s="22" t="s">
        <v>1271</v>
      </c>
      <c r="B736" s="22">
        <v>702.0</v>
      </c>
      <c r="C736" s="23" t="str">
        <f>HYPERLINK("http://ecotaxoserver.obs-vlfr.fr/browsetaxo/?id=92244","92244")</f>
        <v>92244</v>
      </c>
      <c r="D736" s="23" t="str">
        <f>HYPERLINK("http://www.marinespecies.org/aphia.php?p=taxdetails&amp;id=156692","156692")</f>
        <v>156692</v>
      </c>
      <c r="E736" s="22" t="s">
        <v>216</v>
      </c>
      <c r="F736" s="22" t="s">
        <v>216</v>
      </c>
      <c r="G736" s="22" t="s">
        <v>94</v>
      </c>
      <c r="H736" s="23" t="str">
        <f>HYPERLINK("http://www.marinespecies.org/aphia.php?p=taxdetails&amp;id=156692","156692")</f>
        <v>156692</v>
      </c>
      <c r="I736" s="22" t="s">
        <v>94</v>
      </c>
      <c r="J736" s="24" t="str">
        <f t="shared" si="5"/>
        <v/>
      </c>
    </row>
    <row r="737">
      <c r="A737" s="22" t="s">
        <v>1272</v>
      </c>
      <c r="B737" s="22">
        <v>1.0</v>
      </c>
      <c r="C737" s="23" t="str">
        <f>HYPERLINK("http://ecotaxoserver.obs-vlfr.fr/browsetaxo/?id=93260","93260")</f>
        <v>93260</v>
      </c>
      <c r="D737" s="23" t="str">
        <f>HYPERLINK("http://www.marinespecies.org/aphia.php?p=taxdetails&amp;id=125548","125548")</f>
        <v>125548</v>
      </c>
      <c r="E737" s="22" t="s">
        <v>1273</v>
      </c>
      <c r="F737" s="22" t="s">
        <v>1273</v>
      </c>
      <c r="G737" s="22" t="s">
        <v>94</v>
      </c>
      <c r="H737" s="23" t="str">
        <f>HYPERLINK("http://www.marinespecies.org/aphia.php?p=taxdetails&amp;id=125548","125548")</f>
        <v>125548</v>
      </c>
      <c r="I737" s="22" t="s">
        <v>94</v>
      </c>
      <c r="J737" s="24" t="str">
        <f t="shared" si="5"/>
        <v/>
      </c>
    </row>
    <row r="738">
      <c r="A738" s="22" t="s">
        <v>216</v>
      </c>
      <c r="B738" s="22">
        <v>1.0</v>
      </c>
      <c r="C738" s="23" t="str">
        <f>HYPERLINK("http://ecotaxoserver.obs-vlfr.fr/browsetaxo/?id=92241","92241")</f>
        <v>92241</v>
      </c>
      <c r="D738" s="23" t="str">
        <f>HYPERLINK("http://www.marinespecies.org/aphia.php?p=taxdetails&amp;id=146584","146584")</f>
        <v>146584</v>
      </c>
      <c r="E738" s="22" t="s">
        <v>1274</v>
      </c>
      <c r="F738" s="22" t="s">
        <v>1274</v>
      </c>
      <c r="G738" s="22" t="s">
        <v>94</v>
      </c>
      <c r="H738" s="23" t="str">
        <f>HYPERLINK("http://www.marinespecies.org/aphia.php?p=taxdetails&amp;id=146584","146584")</f>
        <v>146584</v>
      </c>
      <c r="I738" s="22" t="s">
        <v>94</v>
      </c>
      <c r="J738" s="24" t="str">
        <f t="shared" si="5"/>
        <v/>
      </c>
    </row>
    <row r="739">
      <c r="A739" s="22" t="s">
        <v>1274</v>
      </c>
      <c r="B739" s="22">
        <v>1.0</v>
      </c>
      <c r="C739" s="23" t="str">
        <f>HYPERLINK("http://ecotaxoserver.obs-vlfr.fr/browsetaxo/?id=92240","92240")</f>
        <v>92240</v>
      </c>
      <c r="D739" s="23" t="str">
        <f>HYPERLINK("http://www.marinespecies.org/aphia.php?p=taxdetails&amp;id=146547","146547")</f>
        <v>146547</v>
      </c>
      <c r="E739" s="22" t="s">
        <v>650</v>
      </c>
      <c r="F739" s="22" t="s">
        <v>1275</v>
      </c>
      <c r="G739" s="22" t="s">
        <v>94</v>
      </c>
      <c r="H739" s="23" t="str">
        <f>HYPERLINK("http://www.marinespecies.org/aphia.php?p=taxdetails&amp;id=146547","146547")</f>
        <v>146547</v>
      </c>
      <c r="I739" s="22" t="s">
        <v>94</v>
      </c>
      <c r="J739" s="24" t="str">
        <f t="shared" si="5"/>
        <v>!=</v>
      </c>
    </row>
    <row r="740">
      <c r="A740" s="22" t="s">
        <v>1276</v>
      </c>
      <c r="B740" s="22">
        <v>1.0</v>
      </c>
      <c r="C740" s="23" t="str">
        <f>HYPERLINK("http://ecotaxoserver.obs-vlfr.fr/browsetaxo/?id=93117","93117")</f>
        <v>93117</v>
      </c>
      <c r="D740" s="23" t="str">
        <f>HYPERLINK("http://www.marinespecies.org/aphia.php?p=taxdetails&amp;id=139595","139595")</f>
        <v>139595</v>
      </c>
      <c r="E740" s="22" t="s">
        <v>1277</v>
      </c>
      <c r="F740" s="22" t="s">
        <v>1277</v>
      </c>
      <c r="G740" s="22" t="s">
        <v>94</v>
      </c>
      <c r="H740" s="23" t="str">
        <f>HYPERLINK("http://www.marinespecies.org/aphia.php?p=taxdetails&amp;id=139595","139595")</f>
        <v>139595</v>
      </c>
      <c r="I740" s="22" t="s">
        <v>94</v>
      </c>
      <c r="J740" s="24" t="str">
        <f t="shared" si="5"/>
        <v/>
      </c>
    </row>
    <row r="741">
      <c r="A741" s="22" t="s">
        <v>139</v>
      </c>
      <c r="B741" s="22">
        <v>30.0</v>
      </c>
      <c r="C741" s="23" t="str">
        <f>HYPERLINK("http://ecotaxoserver.obs-vlfr.fr/browsetaxo/?id=16797","16797")</f>
        <v>16797</v>
      </c>
      <c r="D741" s="23" t="str">
        <f>HYPERLINK("http://www.marinespecies.org/aphia.php?p=taxdetails&amp;id=1762","1762")</f>
        <v>1762</v>
      </c>
      <c r="E741" s="22" t="s">
        <v>275</v>
      </c>
      <c r="F741" s="22" t="s">
        <v>1278</v>
      </c>
      <c r="G741" s="22" t="s">
        <v>94</v>
      </c>
      <c r="H741" s="23" t="str">
        <f>HYPERLINK("http://www.marinespecies.org/aphia.php?p=taxdetails&amp;id=1762","1762")</f>
        <v>1762</v>
      </c>
      <c r="I741" s="22" t="s">
        <v>94</v>
      </c>
      <c r="J741" s="24" t="str">
        <f t="shared" si="5"/>
        <v>!=</v>
      </c>
    </row>
    <row r="742">
      <c r="A742" s="22" t="s">
        <v>1279</v>
      </c>
      <c r="B742" s="22">
        <v>1.0</v>
      </c>
      <c r="C742" s="23" t="str">
        <f>HYPERLINK("http://ecotaxoserver.obs-vlfr.fr/browsetaxo/?id=82101","82101")</f>
        <v>82101</v>
      </c>
      <c r="D742" s="23" t="str">
        <f>HYPERLINK("http://www.marinespecies.org/aphia.php?p=taxdetails&amp;id=344705","344705")</f>
        <v>344705</v>
      </c>
      <c r="E742" s="22" t="s">
        <v>1280</v>
      </c>
      <c r="F742" s="22" t="s">
        <v>1280</v>
      </c>
      <c r="G742" s="22" t="s">
        <v>94</v>
      </c>
      <c r="H742" s="23" t="str">
        <f>HYPERLINK("http://www.marinespecies.org/aphia.php?p=taxdetails&amp;id=344705","344705")</f>
        <v>344705</v>
      </c>
      <c r="I742" s="22" t="s">
        <v>94</v>
      </c>
      <c r="J742" s="24" t="str">
        <f t="shared" si="5"/>
        <v/>
      </c>
    </row>
    <row r="743">
      <c r="A743" s="22" t="s">
        <v>1281</v>
      </c>
      <c r="B743" s="22">
        <v>3953.0</v>
      </c>
      <c r="C743" s="23" t="str">
        <f>HYPERLINK("http://ecotaxoserver.obs-vlfr.fr/browsetaxo/?id=72344","72344")</f>
        <v>72344</v>
      </c>
      <c r="D743" s="23" t="str">
        <f>HYPERLINK("http://www.marinespecies.org/aphia.php?p=taxdetails&amp;id=117034","117034")</f>
        <v>117034</v>
      </c>
      <c r="E743" s="22" t="s">
        <v>557</v>
      </c>
      <c r="F743" s="22" t="s">
        <v>557</v>
      </c>
      <c r="G743" s="22" t="s">
        <v>94</v>
      </c>
      <c r="H743" s="23" t="str">
        <f>HYPERLINK("http://www.marinespecies.org/aphia.php?p=taxdetails&amp;id=117034","117034")</f>
        <v>117034</v>
      </c>
      <c r="I743" s="22" t="s">
        <v>94</v>
      </c>
      <c r="J743" s="24" t="str">
        <f t="shared" si="5"/>
        <v/>
      </c>
    </row>
    <row r="744">
      <c r="A744" s="22" t="s">
        <v>1282</v>
      </c>
      <c r="B744" s="22">
        <v>1.0</v>
      </c>
      <c r="C744" s="23" t="str">
        <f>HYPERLINK("http://ecotaxoserver.obs-vlfr.fr/browsetaxo/?id=81721","81721")</f>
        <v>81721</v>
      </c>
      <c r="D744" s="23" t="str">
        <f>HYPERLINK("http://www.marinespecies.org/aphia.php?p=taxdetails&amp;id=117388","117388")</f>
        <v>117388</v>
      </c>
      <c r="E744" s="22" t="s">
        <v>1281</v>
      </c>
      <c r="F744" s="22" t="s">
        <v>1281</v>
      </c>
      <c r="G744" s="22" t="s">
        <v>94</v>
      </c>
      <c r="H744" s="23" t="str">
        <f>HYPERLINK("http://www.marinespecies.org/aphia.php?p=taxdetails&amp;id=117388","117388")</f>
        <v>117388</v>
      </c>
      <c r="I744" s="22" t="s">
        <v>94</v>
      </c>
      <c r="J744" s="24" t="str">
        <f t="shared" si="5"/>
        <v/>
      </c>
    </row>
    <row r="745">
      <c r="A745" s="22" t="s">
        <v>1283</v>
      </c>
      <c r="B745" s="22">
        <v>1.0</v>
      </c>
      <c r="C745" s="23" t="str">
        <f>HYPERLINK("http://ecotaxoserver.obs-vlfr.fr/browsetaxo/?id=93299","93299")</f>
        <v>93299</v>
      </c>
      <c r="D745" s="23" t="str">
        <f>HYPERLINK("http://www.marinespecies.org/aphia.php?p=taxdetails&amp;id=117437","117437")</f>
        <v>117437</v>
      </c>
      <c r="E745" s="22" t="s">
        <v>1284</v>
      </c>
      <c r="F745" s="22" t="s">
        <v>1284</v>
      </c>
      <c r="G745" s="22" t="s">
        <v>94</v>
      </c>
      <c r="H745" s="23" t="str">
        <f>HYPERLINK("http://www.marinespecies.org/aphia.php?p=taxdetails&amp;id=117437","117437")</f>
        <v>117437</v>
      </c>
      <c r="I745" s="22" t="s">
        <v>94</v>
      </c>
      <c r="J745" s="24" t="str">
        <f t="shared" si="5"/>
        <v/>
      </c>
    </row>
    <row r="746">
      <c r="A746" s="22" t="s">
        <v>1285</v>
      </c>
      <c r="B746" s="22">
        <v>4.0</v>
      </c>
      <c r="C746" s="23" t="str">
        <f>HYPERLINK("http://ecotaxoserver.obs-vlfr.fr/browsetaxo/?id=92660","92660")</f>
        <v>92660</v>
      </c>
      <c r="D746" s="23" t="str">
        <f>HYPERLINK("http://www.marinespecies.org/aphia.php?p=taxdetails&amp;id=375970","375970")</f>
        <v>375970</v>
      </c>
      <c r="E746" s="22" t="s">
        <v>128</v>
      </c>
      <c r="F746" s="22" t="s">
        <v>1286</v>
      </c>
      <c r="G746" s="22" t="s">
        <v>94</v>
      </c>
      <c r="H746" s="23" t="str">
        <f>HYPERLINK("http://www.marinespecies.org/aphia.php?p=taxdetails&amp;id=375970","375970")</f>
        <v>375970</v>
      </c>
      <c r="I746" s="22" t="s">
        <v>94</v>
      </c>
      <c r="J746" s="24" t="str">
        <f t="shared" si="5"/>
        <v>!=</v>
      </c>
    </row>
    <row r="747">
      <c r="A747" s="22" t="s">
        <v>1287</v>
      </c>
      <c r="B747" s="22">
        <v>1.0</v>
      </c>
      <c r="C747" s="23" t="str">
        <f>HYPERLINK("http://ecotaxoserver.obs-vlfr.fr/browsetaxo/?id=72370","72370")</f>
        <v>72370</v>
      </c>
      <c r="D747" s="23" t="str">
        <f>HYPERLINK("http://www.marinespecies.org/aphia.php?p=taxdetails&amp;id=117150","117150")</f>
        <v>117150</v>
      </c>
      <c r="E747" s="22" t="s">
        <v>1288</v>
      </c>
      <c r="F747" s="22" t="s">
        <v>1288</v>
      </c>
      <c r="G747" s="22" t="s">
        <v>94</v>
      </c>
      <c r="H747" s="23" t="str">
        <f>HYPERLINK("http://www.marinespecies.org/aphia.php?p=taxdetails&amp;id=117150","117150")</f>
        <v>117150</v>
      </c>
      <c r="I747" s="22" t="s">
        <v>94</v>
      </c>
      <c r="J747" s="24" t="str">
        <f t="shared" si="5"/>
        <v/>
      </c>
    </row>
    <row r="748">
      <c r="A748" s="22" t="s">
        <v>1289</v>
      </c>
      <c r="B748" s="22">
        <v>5.0</v>
      </c>
      <c r="C748" s="23" t="str">
        <f>HYPERLINK("http://ecotaxoserver.obs-vlfr.fr/browsetaxo/?id=92748","92748")</f>
        <v>92748</v>
      </c>
      <c r="D748" s="23" t="str">
        <f>HYPERLINK("http://www.marinespecies.org/aphia.php?p=taxdetails&amp;id=138268","138268")</f>
        <v>138268</v>
      </c>
      <c r="E748" s="22" t="s">
        <v>196</v>
      </c>
      <c r="F748" s="22" t="s">
        <v>196</v>
      </c>
      <c r="G748" s="22" t="s">
        <v>94</v>
      </c>
      <c r="H748" s="23" t="str">
        <f>HYPERLINK("http://www.marinespecies.org/aphia.php?p=taxdetails&amp;id=138268","138268")</f>
        <v>138268</v>
      </c>
      <c r="I748" s="22" t="s">
        <v>94</v>
      </c>
      <c r="J748" s="24" t="str">
        <f t="shared" si="5"/>
        <v/>
      </c>
    </row>
    <row r="749">
      <c r="A749" s="22" t="s">
        <v>1290</v>
      </c>
      <c r="B749" s="22">
        <v>1.0</v>
      </c>
      <c r="C749" s="23" t="str">
        <f>HYPERLINK("http://ecotaxoserver.obs-vlfr.fr/browsetaxo/?id=93131","93131")</f>
        <v>93131</v>
      </c>
      <c r="D749" s="23" t="str">
        <f>HYPERLINK("http://www.marinespecies.org/aphia.php?p=taxdetails&amp;id=422763","422763")</f>
        <v>422763</v>
      </c>
      <c r="E749" s="22" t="s">
        <v>1291</v>
      </c>
      <c r="F749" s="22" t="s">
        <v>1291</v>
      </c>
      <c r="G749" s="22" t="s">
        <v>94</v>
      </c>
      <c r="H749" s="23" t="str">
        <f>HYPERLINK("http://www.marinespecies.org/aphia.php?p=taxdetails&amp;id=422763","422763")</f>
        <v>422763</v>
      </c>
      <c r="I749" s="22" t="s">
        <v>94</v>
      </c>
      <c r="J749" s="24" t="str">
        <f t="shared" si="5"/>
        <v/>
      </c>
    </row>
    <row r="750">
      <c r="A750" s="22" t="s">
        <v>1292</v>
      </c>
      <c r="B750" s="22">
        <v>2193.0</v>
      </c>
      <c r="C750" s="23" t="str">
        <f>HYPERLINK("http://ecotaxoserver.obs-vlfr.fr/browsetaxo/?id=28232","28232")</f>
        <v>28232</v>
      </c>
      <c r="D750" s="23" t="str">
        <f>HYPERLINK("http://www.marinespecies.org/aphia.php?p=taxdetails&amp;id=148963","148963")</f>
        <v>148963</v>
      </c>
      <c r="E750" s="22" t="s">
        <v>281</v>
      </c>
      <c r="F750" s="22" t="s">
        <v>1293</v>
      </c>
      <c r="G750" s="22" t="s">
        <v>94</v>
      </c>
      <c r="H750" s="23" t="str">
        <f>HYPERLINK("http://www.marinespecies.org/aphia.php?p=taxdetails&amp;id=148963","148963")</f>
        <v>148963</v>
      </c>
      <c r="I750" s="22" t="s">
        <v>94</v>
      </c>
      <c r="J750" s="24" t="str">
        <f t="shared" si="5"/>
        <v>!=</v>
      </c>
    </row>
    <row r="751">
      <c r="A751" s="22" t="s">
        <v>1294</v>
      </c>
      <c r="B751" s="22">
        <v>6897.0</v>
      </c>
      <c r="C751" s="23" t="str">
        <f>HYPERLINK("http://ecotaxoserver.obs-vlfr.fr/browsetaxo/?id=51182","51182")</f>
        <v>51182</v>
      </c>
      <c r="D751" s="23" t="str">
        <f>HYPERLINK("http://www.marinespecies.org/aphia.php?p=taxdetails&amp;id=103367","103367")</f>
        <v>103367</v>
      </c>
      <c r="E751" s="22" t="s">
        <v>1295</v>
      </c>
      <c r="F751" s="22" t="s">
        <v>1296</v>
      </c>
      <c r="G751" s="22" t="s">
        <v>94</v>
      </c>
      <c r="H751" s="23" t="str">
        <f>HYPERLINK("http://www.marinespecies.org/aphia.php?p=taxdetails&amp;id=103367","103367")</f>
        <v>103367</v>
      </c>
      <c r="I751" s="22" t="s">
        <v>94</v>
      </c>
      <c r="J751" s="24" t="str">
        <f t="shared" si="5"/>
        <v>!=</v>
      </c>
    </row>
    <row r="752">
      <c r="A752" s="22" t="s">
        <v>1295</v>
      </c>
      <c r="B752" s="22">
        <v>106393.0</v>
      </c>
      <c r="C752" s="23" t="str">
        <f>HYPERLINK("http://ecotaxoserver.obs-vlfr.fr/browsetaxo/?id=25932","25932")</f>
        <v>25932</v>
      </c>
      <c r="D752" s="23" t="str">
        <f>HYPERLINK("http://www.marinespecies.org/aphia.php?p=taxdetails&amp;id=103356","103356")</f>
        <v>103356</v>
      </c>
      <c r="E752" s="22" t="s">
        <v>880</v>
      </c>
      <c r="F752" s="22" t="s">
        <v>881</v>
      </c>
      <c r="G752" s="22" t="s">
        <v>94</v>
      </c>
      <c r="H752" s="23" t="str">
        <f>HYPERLINK("http://www.marinespecies.org/aphia.php?p=taxdetails&amp;id=103356","103356")</f>
        <v>103356</v>
      </c>
      <c r="I752" s="22" t="s">
        <v>94</v>
      </c>
      <c r="J752" s="24" t="str">
        <f t="shared" si="5"/>
        <v>!=</v>
      </c>
    </row>
    <row r="753">
      <c r="A753" s="22" t="s">
        <v>1297</v>
      </c>
      <c r="B753" s="22">
        <v>43758.0</v>
      </c>
      <c r="C753" s="23" t="str">
        <f>HYPERLINK("http://ecotaxoserver.obs-vlfr.fr/browsetaxo/?id=81950","81950")</f>
        <v>81950</v>
      </c>
      <c r="D753" s="23" t="str">
        <f>HYPERLINK("http://www.marinespecies.org/aphia.php?p=taxdetails&amp;id=106485","106485")</f>
        <v>106485</v>
      </c>
      <c r="E753" s="22" t="s">
        <v>1298</v>
      </c>
      <c r="F753" s="22" t="s">
        <v>1298</v>
      </c>
      <c r="G753" s="22" t="s">
        <v>94</v>
      </c>
      <c r="H753" s="23" t="str">
        <f>HYPERLINK("http://www.marinespecies.org/aphia.php?p=taxdetails&amp;id=106485","106485")</f>
        <v>106485</v>
      </c>
      <c r="I753" s="22" t="s">
        <v>94</v>
      </c>
      <c r="J753" s="24" t="str">
        <f t="shared" si="5"/>
        <v/>
      </c>
    </row>
    <row r="754">
      <c r="A754" s="22" t="s">
        <v>1299</v>
      </c>
      <c r="B754" s="22">
        <v>572.0</v>
      </c>
      <c r="C754" s="23" t="str">
        <f>HYPERLINK("http://ecotaxoserver.obs-vlfr.fr/browsetaxo/?id=92248","92248")</f>
        <v>92248</v>
      </c>
      <c r="D754" s="23" t="str">
        <f>HYPERLINK("http://www.marinespecies.org/aphia.php?p=taxdetails&amp;id=106642","106642")</f>
        <v>106642</v>
      </c>
      <c r="E754" s="22" t="s">
        <v>1297</v>
      </c>
      <c r="F754" s="22" t="s">
        <v>1297</v>
      </c>
      <c r="G754" s="22" t="s">
        <v>94</v>
      </c>
      <c r="H754" s="23" t="str">
        <f>HYPERLINK("http://www.marinespecies.org/aphia.php?p=taxdetails&amp;id=106642","106642")</f>
        <v>106642</v>
      </c>
      <c r="I754" s="22" t="s">
        <v>94</v>
      </c>
      <c r="J754" s="24" t="str">
        <f t="shared" si="5"/>
        <v/>
      </c>
    </row>
    <row r="755">
      <c r="A755" s="22" t="s">
        <v>1300</v>
      </c>
      <c r="B755" s="22">
        <v>3034.0</v>
      </c>
      <c r="C755" s="23" t="str">
        <f>HYPERLINK("http://ecotaxoserver.obs-vlfr.fr/browsetaxo/?id=82654","82654")</f>
        <v>82654</v>
      </c>
      <c r="D755" s="23" t="str">
        <f>HYPERLINK("http://www.marinespecies.org/aphia.php?p=taxdetails&amp;id=106651","106651")</f>
        <v>106651</v>
      </c>
      <c r="E755" s="22" t="s">
        <v>1297</v>
      </c>
      <c r="F755" s="22" t="s">
        <v>1297</v>
      </c>
      <c r="G755" s="22" t="s">
        <v>94</v>
      </c>
      <c r="H755" s="23" t="str">
        <f>HYPERLINK("http://www.marinespecies.org/aphia.php?p=taxdetails&amp;id=106651","106651")</f>
        <v>106651</v>
      </c>
      <c r="I755" s="22" t="s">
        <v>94</v>
      </c>
      <c r="J755" s="24" t="str">
        <f t="shared" si="5"/>
        <v/>
      </c>
    </row>
    <row r="756">
      <c r="A756" s="22" t="s">
        <v>1301</v>
      </c>
      <c r="B756" s="22">
        <v>191.0</v>
      </c>
      <c r="C756" s="23" t="str">
        <f>HYPERLINK("http://ecotaxoserver.obs-vlfr.fr/browsetaxo/?id=92318","92318")</f>
        <v>92318</v>
      </c>
      <c r="D756" s="23" t="str">
        <f>HYPERLINK("http://www.marinespecies.org/aphia.php?p=taxdetails&amp;id=106652","106652")</f>
        <v>106652</v>
      </c>
      <c r="E756" s="22" t="s">
        <v>1297</v>
      </c>
      <c r="F756" s="22" t="s">
        <v>1297</v>
      </c>
      <c r="G756" s="22" t="s">
        <v>94</v>
      </c>
      <c r="H756" s="23" t="str">
        <f>HYPERLINK("http://www.marinespecies.org/aphia.php?p=taxdetails&amp;id=106652","106652")</f>
        <v>106652</v>
      </c>
      <c r="I756" s="22" t="s">
        <v>94</v>
      </c>
      <c r="J756" s="24" t="str">
        <f t="shared" si="5"/>
        <v/>
      </c>
    </row>
    <row r="757">
      <c r="A757" s="22" t="s">
        <v>1302</v>
      </c>
      <c r="B757" s="22">
        <v>5914.0</v>
      </c>
      <c r="C757" s="23" t="str">
        <f>HYPERLINK("http://ecotaxoserver.obs-vlfr.fr/browsetaxo/?id=82653","82653")</f>
        <v>82653</v>
      </c>
      <c r="D757" s="23" t="str">
        <f>HYPERLINK("http://www.marinespecies.org/aphia.php?p=taxdetails&amp;id=106656","106656")</f>
        <v>106656</v>
      </c>
      <c r="E757" s="22" t="s">
        <v>1297</v>
      </c>
      <c r="F757" s="22" t="s">
        <v>1297</v>
      </c>
      <c r="G757" s="22" t="s">
        <v>94</v>
      </c>
      <c r="H757" s="23" t="str">
        <f>HYPERLINK("http://www.marinespecies.org/aphia.php?p=taxdetails&amp;id=106656","106656")</f>
        <v>106656</v>
      </c>
      <c r="I757" s="22" t="s">
        <v>94</v>
      </c>
      <c r="J757" s="24" t="str">
        <f t="shared" si="5"/>
        <v/>
      </c>
    </row>
    <row r="758">
      <c r="A758" s="22" t="s">
        <v>1298</v>
      </c>
      <c r="B758" s="22">
        <v>539277.0</v>
      </c>
      <c r="C758" s="23" t="str">
        <f>HYPERLINK("http://ecotaxoserver.obs-vlfr.fr/browsetaxo/?id=62005","62005")</f>
        <v>62005</v>
      </c>
      <c r="D758" s="23" t="str">
        <f>HYPERLINK("http://www.marinespecies.org/aphia.php?p=taxdetails&amp;id=106422","106422")</f>
        <v>106422</v>
      </c>
      <c r="E758" s="22" t="s">
        <v>654</v>
      </c>
      <c r="F758" s="22" t="s">
        <v>1303</v>
      </c>
      <c r="G758" s="22" t="s">
        <v>94</v>
      </c>
      <c r="H758" s="23" t="str">
        <f>HYPERLINK("http://www.marinespecies.org/aphia.php?p=taxdetails&amp;id=106422","106422")</f>
        <v>106422</v>
      </c>
      <c r="I758" s="22" t="s">
        <v>94</v>
      </c>
      <c r="J758" s="24" t="str">
        <f t="shared" si="5"/>
        <v>!=</v>
      </c>
    </row>
    <row r="759">
      <c r="A759" s="22" t="s">
        <v>1304</v>
      </c>
      <c r="B759" s="22">
        <v>13.0</v>
      </c>
      <c r="C759" s="23" t="str">
        <f>HYPERLINK("http://ecotaxoserver.obs-vlfr.fr/browsetaxo/?id=16604","16604")</f>
        <v>16604</v>
      </c>
      <c r="D759" s="23" t="str">
        <f>HYPERLINK("http://www.marinespecies.org/aphia.php?p=taxdetails&amp;id=2036","2036")</f>
        <v>2036</v>
      </c>
      <c r="E759" s="22" t="s">
        <v>1305</v>
      </c>
      <c r="F759" s="22" t="s">
        <v>1305</v>
      </c>
      <c r="G759" s="22" t="s">
        <v>94</v>
      </c>
      <c r="H759" s="23" t="str">
        <f>HYPERLINK("http://www.marinespecies.org/aphia.php?p=taxdetails&amp;id=2036","2036")</f>
        <v>2036</v>
      </c>
      <c r="I759" s="22" t="s">
        <v>94</v>
      </c>
      <c r="J759" s="24" t="str">
        <f t="shared" si="5"/>
        <v/>
      </c>
    </row>
    <row r="760">
      <c r="A760" s="22" t="s">
        <v>1306</v>
      </c>
      <c r="B760" s="22">
        <v>1.0</v>
      </c>
      <c r="C760" s="23" t="str">
        <f>HYPERLINK("http://ecotaxoserver.obs-vlfr.fr/browsetaxo/?id=13897","13897")</f>
        <v>13897</v>
      </c>
      <c r="D760" s="23" t="str">
        <f>HYPERLINK("http://www.marinespecies.org/aphia.php?p=taxdetails&amp;id=425509","425509")</f>
        <v>425509</v>
      </c>
      <c r="E760" s="22" t="s">
        <v>509</v>
      </c>
      <c r="F760" s="22" t="s">
        <v>1307</v>
      </c>
      <c r="G760" s="22" t="s">
        <v>94</v>
      </c>
      <c r="H760" s="23" t="str">
        <f>HYPERLINK("http://www.marinespecies.org/aphia.php?p=taxdetails&amp;id=425509","425509")</f>
        <v>425509</v>
      </c>
      <c r="I760" s="22" t="s">
        <v>94</v>
      </c>
      <c r="J760" s="24" t="str">
        <f t="shared" si="5"/>
        <v>!=</v>
      </c>
    </row>
    <row r="761">
      <c r="A761" s="22" t="s">
        <v>1308</v>
      </c>
      <c r="B761" s="22">
        <v>1.0</v>
      </c>
      <c r="C761" s="23" t="str">
        <f>HYPERLINK("http://ecotaxoserver.obs-vlfr.fr/browsetaxo/?id=93326","93326")</f>
        <v>93326</v>
      </c>
      <c r="D761" s="23" t="str">
        <f>HYPERLINK("http://www.marinespecies.org/aphia.php?p=taxdetails&amp;id=285108","285108")</f>
        <v>285108</v>
      </c>
      <c r="E761" s="22" t="s">
        <v>1309</v>
      </c>
      <c r="F761" s="22" t="s">
        <v>1309</v>
      </c>
      <c r="G761" s="22" t="s">
        <v>94</v>
      </c>
      <c r="H761" s="23" t="str">
        <f>HYPERLINK("http://www.marinespecies.org/aphia.php?p=taxdetails&amp;id=285108","285108")</f>
        <v>285108</v>
      </c>
      <c r="I761" s="22" t="s">
        <v>94</v>
      </c>
      <c r="J761" s="24" t="str">
        <f t="shared" si="5"/>
        <v/>
      </c>
    </row>
    <row r="762">
      <c r="A762" s="22" t="s">
        <v>1310</v>
      </c>
      <c r="B762" s="22">
        <v>2.0</v>
      </c>
      <c r="C762" s="23" t="str">
        <f>HYPERLINK("http://ecotaxoserver.obs-vlfr.fr/browsetaxo/?id=93113","93113")</f>
        <v>93113</v>
      </c>
      <c r="D762" s="23" t="str">
        <f>HYPERLINK("http://www.marinespecies.org/aphia.php?p=taxdetails&amp;id=11760","11760")</f>
        <v>11760</v>
      </c>
      <c r="E762" s="22" t="s">
        <v>618</v>
      </c>
      <c r="F762" s="22" t="s">
        <v>1311</v>
      </c>
      <c r="G762" s="22" t="s">
        <v>94</v>
      </c>
      <c r="H762" s="23" t="str">
        <f>HYPERLINK("http://www.marinespecies.org/aphia.php?p=taxdetails&amp;id=11760","11760")</f>
        <v>11760</v>
      </c>
      <c r="I762" s="22" t="s">
        <v>94</v>
      </c>
      <c r="J762" s="24" t="str">
        <f t="shared" si="5"/>
        <v>!=</v>
      </c>
    </row>
    <row r="763">
      <c r="A763" s="22" t="s">
        <v>1312</v>
      </c>
      <c r="B763" s="22">
        <v>91168.0</v>
      </c>
      <c r="C763" s="23" t="str">
        <f>HYPERLINK("http://ecotaxoserver.obs-vlfr.fr/browsetaxo/?id=81965","81965")</f>
        <v>81965</v>
      </c>
      <c r="D763" s="23" t="str">
        <f>HYPERLINK("http://www.marinespecies.org/aphia.php?p=taxdetails&amp;id=128690","128690")</f>
        <v>128690</v>
      </c>
      <c r="E763" s="22" t="s">
        <v>1313</v>
      </c>
      <c r="F763" s="22" t="s">
        <v>1313</v>
      </c>
      <c r="G763" s="22" t="s">
        <v>94</v>
      </c>
      <c r="H763" s="23" t="str">
        <f>HYPERLINK("http://www.marinespecies.org/aphia.php?p=taxdetails&amp;id=128690","128690")</f>
        <v>128690</v>
      </c>
      <c r="I763" s="22" t="s">
        <v>94</v>
      </c>
      <c r="J763" s="24" t="str">
        <f t="shared" si="5"/>
        <v/>
      </c>
    </row>
    <row r="764">
      <c r="A764" s="22" t="s">
        <v>1313</v>
      </c>
      <c r="B764" s="22">
        <v>221139.0</v>
      </c>
      <c r="C764" s="23" t="str">
        <f>HYPERLINK("http://ecotaxoserver.obs-vlfr.fr/browsetaxo/?id=78418","78418")</f>
        <v>78418</v>
      </c>
      <c r="D764" s="23" t="str">
        <f>HYPERLINK("http://www.marinespecies.org/aphia.php?p=taxdetails&amp;id=128586","128586")</f>
        <v>128586</v>
      </c>
      <c r="E764" s="22" t="s">
        <v>599</v>
      </c>
      <c r="F764" s="22" t="s">
        <v>600</v>
      </c>
      <c r="G764" s="22" t="s">
        <v>94</v>
      </c>
      <c r="H764" s="23" t="str">
        <f>HYPERLINK("http://www.marinespecies.org/aphia.php?p=taxdetails&amp;id=128586","128586")</f>
        <v>128586</v>
      </c>
      <c r="I764" s="22" t="s">
        <v>94</v>
      </c>
      <c r="J764" s="24" t="str">
        <f t="shared" si="5"/>
        <v>!=</v>
      </c>
    </row>
    <row r="765">
      <c r="A765" s="22" t="s">
        <v>1314</v>
      </c>
      <c r="B765" s="22">
        <v>1.0</v>
      </c>
      <c r="C765" s="23" t="str">
        <f>HYPERLINK("http://ecotaxoserver.obs-vlfr.fr/browsetaxo/?id=52257","52257")</f>
        <v>52257</v>
      </c>
      <c r="D765" s="23" t="str">
        <f>HYPERLINK("http://www.marinespecies.org/aphia.php?p=taxdetails&amp;id=138291","138291")</f>
        <v>138291</v>
      </c>
      <c r="E765" s="22" t="s">
        <v>89</v>
      </c>
      <c r="F765" s="22" t="s">
        <v>1315</v>
      </c>
      <c r="G765" s="22" t="s">
        <v>94</v>
      </c>
      <c r="H765" s="23" t="str">
        <f>HYPERLINK("http://www.marinespecies.org/aphia.php?p=taxdetails&amp;id=138291","138291")</f>
        <v>138291</v>
      </c>
      <c r="I765" s="22" t="s">
        <v>94</v>
      </c>
      <c r="J765" s="24" t="str">
        <f t="shared" si="5"/>
        <v>!=</v>
      </c>
    </row>
    <row r="766">
      <c r="A766" s="22" t="s">
        <v>1316</v>
      </c>
      <c r="B766" s="22">
        <v>13.0</v>
      </c>
      <c r="C766" s="23" t="str">
        <f>HYPERLINK("http://ecotaxoserver.obs-vlfr.fr/browsetaxo/?id=92914","92914")</f>
        <v>92914</v>
      </c>
      <c r="D766" s="23" t="str">
        <f>HYPERLINK("http://www.marinespecies.org/aphia.php?p=taxdetails&amp;id=125434","125434")</f>
        <v>125434</v>
      </c>
      <c r="E766" s="22" t="s">
        <v>132</v>
      </c>
      <c r="F766" s="22" t="s">
        <v>220</v>
      </c>
      <c r="G766" s="22" t="s">
        <v>94</v>
      </c>
      <c r="H766" s="23" t="str">
        <f>HYPERLINK("http://www.marinespecies.org/aphia.php?p=taxdetails&amp;id=125434","125434")</f>
        <v>125434</v>
      </c>
      <c r="I766" s="22" t="s">
        <v>94</v>
      </c>
      <c r="J766" s="24" t="str">
        <f t="shared" si="5"/>
        <v>!=</v>
      </c>
    </row>
    <row r="767">
      <c r="A767" s="22" t="s">
        <v>1245</v>
      </c>
      <c r="B767" s="22">
        <v>5.0</v>
      </c>
      <c r="C767" s="23" t="str">
        <f>HYPERLINK("http://ecotaxoserver.obs-vlfr.fr/browsetaxo/?id=93171","93171")</f>
        <v>93171</v>
      </c>
      <c r="D767" s="23" t="str">
        <f>HYPERLINK("http://www.marinespecies.org/aphia.php?p=taxdetails&amp;id=125505","125505")</f>
        <v>125505</v>
      </c>
      <c r="E767" s="22" t="s">
        <v>421</v>
      </c>
      <c r="F767" s="22" t="s">
        <v>421</v>
      </c>
      <c r="G767" s="22" t="s">
        <v>94</v>
      </c>
      <c r="H767" s="23" t="str">
        <f>HYPERLINK("http://www.marinespecies.org/aphia.php?p=taxdetails&amp;id=125505","125505")</f>
        <v>125505</v>
      </c>
      <c r="I767" s="22" t="s">
        <v>94</v>
      </c>
      <c r="J767" s="24" t="str">
        <f t="shared" si="5"/>
        <v/>
      </c>
    </row>
    <row r="768">
      <c r="A768" s="22" t="s">
        <v>1317</v>
      </c>
      <c r="B768" s="22">
        <v>21.0</v>
      </c>
      <c r="C768" s="23" t="str">
        <f>HYPERLINK("http://ecotaxoserver.obs-vlfr.fr/browsetaxo/?id=92051","92051")</f>
        <v>92051</v>
      </c>
      <c r="D768" s="23" t="str">
        <f>HYPERLINK("http://www.marinespecies.org/aphia.php?p=taxdetails&amp;id=123574","123574")</f>
        <v>123574</v>
      </c>
      <c r="E768" s="22" t="s">
        <v>1318</v>
      </c>
      <c r="F768" s="22" t="s">
        <v>1319</v>
      </c>
      <c r="G768" s="22" t="s">
        <v>94</v>
      </c>
      <c r="H768" s="23" t="str">
        <f>HYPERLINK("http://www.marinespecies.org/aphia.php?p=taxdetails&amp;id=123574","123574")</f>
        <v>123574</v>
      </c>
      <c r="I768" s="22" t="s">
        <v>94</v>
      </c>
      <c r="J768" s="24" t="str">
        <f t="shared" si="5"/>
        <v>!=</v>
      </c>
    </row>
    <row r="769">
      <c r="A769" s="22" t="s">
        <v>1320</v>
      </c>
      <c r="B769" s="22">
        <v>307.0</v>
      </c>
      <c r="C769" s="23" t="str">
        <f>HYPERLINK("http://ecotaxoserver.obs-vlfr.fr/browsetaxo/?id=16730","16730")</f>
        <v>16730</v>
      </c>
      <c r="D769" s="23" t="str">
        <f>HYPERLINK("http://www.marinespecies.org/aphia.php?p=taxdetails&amp;id=123117","123117")</f>
        <v>123117</v>
      </c>
      <c r="E769" s="22" t="s">
        <v>1321</v>
      </c>
      <c r="F769" s="22" t="s">
        <v>1322</v>
      </c>
      <c r="G769" s="22" t="s">
        <v>94</v>
      </c>
      <c r="H769" s="23" t="str">
        <f>HYPERLINK("http://www.marinespecies.org/aphia.php?p=taxdetails&amp;id=123117","123117")</f>
        <v>123117</v>
      </c>
      <c r="I769" s="22" t="s">
        <v>94</v>
      </c>
      <c r="J769" s="24" t="str">
        <f t="shared" si="5"/>
        <v>!=</v>
      </c>
    </row>
    <row r="770">
      <c r="A770" s="22" t="s">
        <v>1318</v>
      </c>
      <c r="B770" s="22">
        <v>4261.0</v>
      </c>
      <c r="C770" s="23" t="str">
        <f>HYPERLINK("http://ecotaxoserver.obs-vlfr.fr/browsetaxo/?id=92049","92049")</f>
        <v>92049</v>
      </c>
      <c r="D770" s="23" t="str">
        <f>HYPERLINK("http://www.marinespecies.org/aphia.php?p=taxdetails&amp;id=123200","123200")</f>
        <v>123200</v>
      </c>
      <c r="E770" s="22" t="s">
        <v>1320</v>
      </c>
      <c r="F770" s="22" t="s">
        <v>1323</v>
      </c>
      <c r="G770" s="22" t="s">
        <v>94</v>
      </c>
      <c r="H770" s="23" t="str">
        <f>HYPERLINK("http://www.marinespecies.org/aphia.php?p=taxdetails&amp;id=123200","123200")</f>
        <v>123200</v>
      </c>
      <c r="I770" s="22" t="s">
        <v>94</v>
      </c>
      <c r="J770" s="24" t="str">
        <f t="shared" si="5"/>
        <v>!=</v>
      </c>
    </row>
    <row r="771">
      <c r="A771" s="22" t="s">
        <v>1321</v>
      </c>
      <c r="B771" s="22">
        <v>5235.0</v>
      </c>
      <c r="C771" s="23" t="str">
        <f>HYPERLINK("http://ecotaxoserver.obs-vlfr.fr/browsetaxo/?id=12873","12873")</f>
        <v>12873</v>
      </c>
      <c r="D771" s="23" t="str">
        <f>HYPERLINK("http://www.marinespecies.org/aphia.php?p=taxdetails&amp;id=123084","123084")</f>
        <v>123084</v>
      </c>
      <c r="E771" s="22" t="s">
        <v>786</v>
      </c>
      <c r="F771" s="22" t="s">
        <v>1324</v>
      </c>
      <c r="G771" s="22" t="s">
        <v>94</v>
      </c>
      <c r="H771" s="23" t="str">
        <f>HYPERLINK("http://www.marinespecies.org/aphia.php?p=taxdetails&amp;id=123084","123084")</f>
        <v>123084</v>
      </c>
      <c r="I771" s="22" t="s">
        <v>94</v>
      </c>
      <c r="J771" s="24" t="str">
        <f t="shared" si="5"/>
        <v>!=</v>
      </c>
    </row>
    <row r="772">
      <c r="A772" s="22" t="s">
        <v>1325</v>
      </c>
      <c r="B772" s="22">
        <v>137.0</v>
      </c>
      <c r="C772" s="23" t="str">
        <f>HYPERLINK("http://ecotaxoserver.obs-vlfr.fr/browsetaxo/?id=54944","54944")</f>
        <v>54944</v>
      </c>
      <c r="D772" s="23" t="str">
        <f>HYPERLINK("http://www.marinespecies.org/aphia.php?p=taxdetails&amp;id=112203","112203")</f>
        <v>112203</v>
      </c>
      <c r="E772" s="22" t="s">
        <v>905</v>
      </c>
      <c r="F772" s="22" t="s">
        <v>1326</v>
      </c>
      <c r="G772" s="22" t="s">
        <v>94</v>
      </c>
      <c r="H772" s="23" t="str">
        <f>HYPERLINK("http://www.marinespecies.org/aphia.php?p=taxdetails&amp;id=112203","112203")</f>
        <v>112203</v>
      </c>
      <c r="I772" s="22" t="s">
        <v>94</v>
      </c>
      <c r="J772" s="24" t="str">
        <f t="shared" si="5"/>
        <v>!=</v>
      </c>
    </row>
    <row r="773">
      <c r="A773" s="22" t="s">
        <v>1327</v>
      </c>
      <c r="B773" s="22">
        <v>16.0</v>
      </c>
      <c r="C773" s="23" t="str">
        <f>HYPERLINK("http://ecotaxoserver.obs-vlfr.fr/browsetaxo/?id=77953","77953")</f>
        <v>77953</v>
      </c>
      <c r="D773" s="23" t="str">
        <f>HYPERLINK("http://www.marinespecies.org/aphia.php?p=taxdetails&amp;id=113460","113460")</f>
        <v>113460</v>
      </c>
      <c r="E773" s="22" t="s">
        <v>1325</v>
      </c>
      <c r="F773" s="22" t="s">
        <v>1325</v>
      </c>
      <c r="G773" s="22" t="s">
        <v>94</v>
      </c>
      <c r="H773" s="23" t="str">
        <f>HYPERLINK("http://www.marinespecies.org/aphia.php?p=taxdetails&amp;id=113460","113460")</f>
        <v>113460</v>
      </c>
      <c r="I773" s="22" t="s">
        <v>94</v>
      </c>
      <c r="J773" s="24" t="str">
        <f t="shared" si="5"/>
        <v/>
      </c>
    </row>
    <row r="774">
      <c r="A774" s="22" t="s">
        <v>1328</v>
      </c>
      <c r="B774" s="22">
        <v>1.0</v>
      </c>
      <c r="C774" s="23" t="str">
        <f>HYPERLINK("http://ecotaxoserver.obs-vlfr.fr/browsetaxo/?id=93089","93089")</f>
        <v>93089</v>
      </c>
      <c r="D774" s="23" t="str">
        <f>HYPERLINK("http://www.marinespecies.org/aphia.php?p=taxdetails&amp;id=117176","117176")</f>
        <v>117176</v>
      </c>
      <c r="E774" s="22" t="s">
        <v>1329</v>
      </c>
      <c r="F774" s="22" t="s">
        <v>1329</v>
      </c>
      <c r="G774" s="22" t="s">
        <v>94</v>
      </c>
      <c r="H774" s="23" t="str">
        <f>HYPERLINK("http://www.marinespecies.org/aphia.php?p=taxdetails&amp;id=117176","117176")</f>
        <v>117176</v>
      </c>
      <c r="I774" s="22" t="s">
        <v>94</v>
      </c>
      <c r="J774" s="24" t="str">
        <f t="shared" si="5"/>
        <v/>
      </c>
    </row>
    <row r="775">
      <c r="A775" s="22" t="s">
        <v>1330</v>
      </c>
      <c r="B775" s="22">
        <v>2.0</v>
      </c>
      <c r="C775" s="23" t="str">
        <f>HYPERLINK("http://ecotaxoserver.obs-vlfr.fr/browsetaxo/?id=93090","93090")</f>
        <v>93090</v>
      </c>
      <c r="D775" s="23" t="str">
        <f>HYPERLINK("http://www.marinespecies.org/aphia.php?p=taxdetails&amp;id=285112","285112")</f>
        <v>285112</v>
      </c>
      <c r="E775" s="22" t="s">
        <v>1328</v>
      </c>
      <c r="F775" s="22" t="s">
        <v>1328</v>
      </c>
      <c r="G775" s="22" t="s">
        <v>94</v>
      </c>
      <c r="H775" s="23" t="str">
        <f>HYPERLINK("http://www.marinespecies.org/aphia.php?p=taxdetails&amp;id=285112","285112")</f>
        <v>285112</v>
      </c>
      <c r="I775" s="22" t="s">
        <v>94</v>
      </c>
      <c r="J775" s="24" t="str">
        <f t="shared" si="5"/>
        <v/>
      </c>
    </row>
    <row r="776">
      <c r="A776" s="22" t="s">
        <v>1331</v>
      </c>
      <c r="B776" s="22">
        <v>568.0</v>
      </c>
      <c r="C776" s="23" t="str">
        <f>HYPERLINK("http://ecotaxoserver.obs-vlfr.fr/browsetaxo/?id=31663","31663")</f>
        <v>31663</v>
      </c>
      <c r="D776" s="23" t="str">
        <f>HYPERLINK("http://www.marinespecies.org/aphia.php?p=taxdetails&amp;id=109464","109464")</f>
        <v>109464</v>
      </c>
      <c r="E776" s="22" t="s">
        <v>745</v>
      </c>
      <c r="F776" s="22" t="s">
        <v>746</v>
      </c>
      <c r="G776" s="22" t="s">
        <v>94</v>
      </c>
      <c r="H776" s="23" t="str">
        <f>HYPERLINK("http://www.marinespecies.org/aphia.php?p=taxdetails&amp;id=109464","109464")</f>
        <v>109464</v>
      </c>
      <c r="I776" s="22" t="s">
        <v>94</v>
      </c>
      <c r="J776" s="24" t="str">
        <f t="shared" si="5"/>
        <v>!=</v>
      </c>
    </row>
    <row r="777">
      <c r="A777" s="22" t="s">
        <v>1332</v>
      </c>
      <c r="B777" s="22">
        <v>72.0</v>
      </c>
      <c r="C777" s="23" t="str">
        <f>HYPERLINK("http://ecotaxoserver.obs-vlfr.fr/browsetaxo/?id=58203","58203")</f>
        <v>58203</v>
      </c>
      <c r="D777" s="23" t="str">
        <f>HYPERLINK("http://www.marinespecies.org/aphia.php?p=taxdetails&amp;id=109692","109692")</f>
        <v>109692</v>
      </c>
      <c r="E777" s="22" t="s">
        <v>1331</v>
      </c>
      <c r="F777" s="22" t="s">
        <v>1331</v>
      </c>
      <c r="G777" s="22" t="s">
        <v>94</v>
      </c>
      <c r="H777" s="23" t="str">
        <f>HYPERLINK("http://www.marinespecies.org/aphia.php?p=taxdetails&amp;id=109692","109692")</f>
        <v>109692</v>
      </c>
      <c r="I777" s="22" t="s">
        <v>94</v>
      </c>
      <c r="J777" s="24" t="str">
        <f t="shared" si="5"/>
        <v/>
      </c>
    </row>
    <row r="778">
      <c r="A778" s="22" t="s">
        <v>1333</v>
      </c>
      <c r="B778" s="22">
        <v>2.0</v>
      </c>
      <c r="C778" s="23" t="str">
        <f>HYPERLINK("http://ecotaxoserver.obs-vlfr.fr/browsetaxo/?id=93060","93060")</f>
        <v>93060</v>
      </c>
      <c r="D778" s="23" t="str">
        <f>HYPERLINK("http://www.marinespecies.org/aphia.php?p=taxdetails&amp;id=109695","109695")</f>
        <v>109695</v>
      </c>
      <c r="E778" s="22" t="s">
        <v>1331</v>
      </c>
      <c r="F778" s="22" t="s">
        <v>1331</v>
      </c>
      <c r="G778" s="22" t="s">
        <v>94</v>
      </c>
      <c r="H778" s="23" t="str">
        <f>HYPERLINK("http://www.marinespecies.org/aphia.php?p=taxdetails&amp;id=109695","109695")</f>
        <v>109695</v>
      </c>
      <c r="I778" s="22" t="s">
        <v>94</v>
      </c>
      <c r="J778" s="24" t="str">
        <f t="shared" si="5"/>
        <v/>
      </c>
    </row>
    <row r="779">
      <c r="A779" s="22" t="s">
        <v>1334</v>
      </c>
      <c r="B779" s="22">
        <v>43.0</v>
      </c>
      <c r="C779" s="23" t="str">
        <f>HYPERLINK("http://ecotaxoserver.obs-vlfr.fr/browsetaxo/?id=92505","92505")</f>
        <v>92505</v>
      </c>
      <c r="D779" s="23" t="str">
        <f>HYPERLINK("http://www.marinespecies.org/aphia.php?p=taxdetails&amp;id=109696","109696")</f>
        <v>109696</v>
      </c>
      <c r="E779" s="22" t="s">
        <v>1331</v>
      </c>
      <c r="F779" s="22" t="s">
        <v>1331</v>
      </c>
      <c r="G779" s="22" t="s">
        <v>94</v>
      </c>
      <c r="H779" s="23" t="str">
        <f>HYPERLINK("http://www.marinespecies.org/aphia.php?p=taxdetails&amp;id=109696","109696")</f>
        <v>109696</v>
      </c>
      <c r="I779" s="22" t="s">
        <v>94</v>
      </c>
      <c r="J779" s="24" t="str">
        <f t="shared" si="5"/>
        <v/>
      </c>
    </row>
    <row r="780">
      <c r="A780" s="22" t="s">
        <v>1335</v>
      </c>
      <c r="B780" s="22">
        <v>1.0</v>
      </c>
      <c r="C780" s="23" t="str">
        <f>HYPERLINK("http://ecotaxoserver.obs-vlfr.fr/browsetaxo/?id=8993","8993")</f>
        <v>8993</v>
      </c>
      <c r="D780" s="23" t="str">
        <f>HYPERLINK("http://www.marinespecies.org/aphia.php?p=taxdetails&amp;id=146549","146549")</f>
        <v>146549</v>
      </c>
      <c r="E780" s="22" t="s">
        <v>215</v>
      </c>
      <c r="F780" s="22" t="s">
        <v>1336</v>
      </c>
      <c r="G780" s="22" t="s">
        <v>94</v>
      </c>
      <c r="H780" s="23" t="str">
        <f>HYPERLINK("http://www.marinespecies.org/aphia.php?p=taxdetails&amp;id=146549","146549")</f>
        <v>146549</v>
      </c>
      <c r="I780" s="22" t="s">
        <v>94</v>
      </c>
      <c r="J780" s="24" t="str">
        <f t="shared" si="5"/>
        <v>!=</v>
      </c>
    </row>
    <row r="781">
      <c r="A781" s="22" t="s">
        <v>1337</v>
      </c>
      <c r="B781" s="22">
        <v>8.0</v>
      </c>
      <c r="C781" s="23" t="str">
        <f>HYPERLINK("http://ecotaxoserver.obs-vlfr.fr/browsetaxo/?id=92915","92915")</f>
        <v>92915</v>
      </c>
      <c r="D781" s="23" t="str">
        <f>HYPERLINK("http://www.marinespecies.org/aphia.php?p=taxdetails&amp;id=125611","125611")</f>
        <v>125611</v>
      </c>
      <c r="E781" s="22" t="s">
        <v>132</v>
      </c>
      <c r="F781" s="22" t="s">
        <v>1338</v>
      </c>
      <c r="G781" s="22" t="s">
        <v>94</v>
      </c>
      <c r="H781" s="23" t="str">
        <f>HYPERLINK("http://www.marinespecies.org/aphia.php?p=taxdetails&amp;id=125611","125611")</f>
        <v>125611</v>
      </c>
      <c r="I781" s="22" t="s">
        <v>94</v>
      </c>
      <c r="J781" s="24" t="str">
        <f t="shared" si="5"/>
        <v>!=</v>
      </c>
    </row>
    <row r="782">
      <c r="A782" s="22" t="s">
        <v>1339</v>
      </c>
      <c r="B782" s="22">
        <v>172911.0</v>
      </c>
      <c r="C782" s="23" t="str">
        <f>HYPERLINK("http://ecotaxoserver.obs-vlfr.fr/browsetaxo/?id=30815","30815")</f>
        <v>30815</v>
      </c>
      <c r="D782" s="23" t="str">
        <f>HYPERLINK("http://www.marinespecies.org/aphia.php?p=taxdetails&amp;id=1078","1078")</f>
        <v>1078</v>
      </c>
      <c r="E782" s="22" t="s">
        <v>1340</v>
      </c>
      <c r="F782" s="22" t="s">
        <v>1340</v>
      </c>
      <c r="G782" s="22" t="s">
        <v>94</v>
      </c>
      <c r="H782" s="23" t="str">
        <f>HYPERLINK("http://www.marinespecies.org/aphia.php?p=taxdetails&amp;id=1078","1078")</f>
        <v>1078</v>
      </c>
      <c r="I782" s="22" t="s">
        <v>94</v>
      </c>
      <c r="J782" s="24" t="str">
        <f t="shared" si="5"/>
        <v/>
      </c>
    </row>
    <row r="783">
      <c r="A783" s="22" t="s">
        <v>1341</v>
      </c>
      <c r="B783" s="22">
        <v>44.0</v>
      </c>
      <c r="C783" s="23" t="str">
        <f>HYPERLINK("http://ecotaxoserver.obs-vlfr.fr/browsetaxo/?id=82138","82138")</f>
        <v>82138</v>
      </c>
      <c r="D783" s="23" t="str">
        <f>HYPERLINK("http://www.marinespecies.org/aphia.php?p=taxdetails&amp;id=196118","196118")</f>
        <v>196118</v>
      </c>
      <c r="E783" s="22" t="s">
        <v>1026</v>
      </c>
      <c r="F783" s="22" t="s">
        <v>1342</v>
      </c>
      <c r="G783" s="22" t="s">
        <v>94</v>
      </c>
      <c r="H783" s="23" t="str">
        <f>HYPERLINK("http://www.marinespecies.org/aphia.php?p=taxdetails&amp;id=196118","196118")</f>
        <v>196118</v>
      </c>
      <c r="I783" s="22" t="s">
        <v>94</v>
      </c>
      <c r="J783" s="24" t="str">
        <f t="shared" si="5"/>
        <v>!=</v>
      </c>
    </row>
    <row r="784">
      <c r="A784" s="22" t="s">
        <v>1343</v>
      </c>
      <c r="B784" s="22">
        <v>2.0</v>
      </c>
      <c r="C784" s="23" t="str">
        <f>HYPERLINK("http://ecotaxoserver.obs-vlfr.fr/browsetaxo/?id=83776","83776")</f>
        <v>83776</v>
      </c>
      <c r="D784" s="23" t="str">
        <f>HYPERLINK("http://www.marinespecies.org/aphia.php?p=taxdetails&amp;id=206128","206128")</f>
        <v>206128</v>
      </c>
      <c r="E784" s="22" t="s">
        <v>1341</v>
      </c>
      <c r="F784" s="22" t="s">
        <v>1341</v>
      </c>
      <c r="G784" s="22" t="s">
        <v>94</v>
      </c>
      <c r="H784" s="23" t="str">
        <f>HYPERLINK("http://www.marinespecies.org/aphia.php?p=taxdetails&amp;id=206128","206128")</f>
        <v>206128</v>
      </c>
      <c r="I784" s="22" t="s">
        <v>94</v>
      </c>
      <c r="J784" s="24" t="str">
        <f t="shared" si="5"/>
        <v/>
      </c>
    </row>
    <row r="785">
      <c r="A785" s="22" t="s">
        <v>1344</v>
      </c>
      <c r="B785" s="22">
        <v>2.0</v>
      </c>
      <c r="C785" s="23" t="str">
        <f>HYPERLINK("http://ecotaxoserver.obs-vlfr.fr/browsetaxo/?id=18789","18789")</f>
        <v>18789</v>
      </c>
      <c r="D785" s="23" t="str">
        <f>HYPERLINK("http://www.marinespecies.org/aphia.php?p=taxdetails&amp;id=231781","231781")</f>
        <v>231781</v>
      </c>
      <c r="E785" s="22" t="s">
        <v>743</v>
      </c>
      <c r="F785" s="22" t="s">
        <v>743</v>
      </c>
      <c r="G785" s="22" t="s">
        <v>94</v>
      </c>
      <c r="H785" s="23" t="str">
        <f>HYPERLINK("http://www.marinespecies.org/aphia.php?p=taxdetails&amp;id=231781","231781")</f>
        <v>231781</v>
      </c>
      <c r="I785" s="22" t="s">
        <v>94</v>
      </c>
      <c r="J785" s="24" t="str">
        <f t="shared" si="5"/>
        <v/>
      </c>
    </row>
    <row r="786">
      <c r="A786" s="22" t="s">
        <v>1345</v>
      </c>
      <c r="B786" s="22">
        <v>27216.0</v>
      </c>
      <c r="C786" s="23" t="str">
        <f>HYPERLINK("http://ecotaxoserver.obs-vlfr.fr/browsetaxo/?id=85674","85674")</f>
        <v>85674</v>
      </c>
      <c r="D786" s="23" t="str">
        <f>HYPERLINK("http://www.marinespecies.org/aphia.php?p=taxdetails&amp;id=109528","109528")</f>
        <v>109528</v>
      </c>
      <c r="E786" s="22" t="s">
        <v>301</v>
      </c>
      <c r="F786" s="22" t="s">
        <v>184</v>
      </c>
      <c r="G786" s="22" t="s">
        <v>94</v>
      </c>
      <c r="H786" s="23" t="str">
        <f>HYPERLINK("http://www.marinespecies.org/aphia.php?p=taxdetails&amp;id=109528","109528")</f>
        <v>109528</v>
      </c>
      <c r="I786" s="22" t="s">
        <v>94</v>
      </c>
      <c r="J786" s="24" t="str">
        <f t="shared" si="5"/>
        <v>!=</v>
      </c>
    </row>
    <row r="787">
      <c r="A787" s="22" t="s">
        <v>1346</v>
      </c>
      <c r="B787" s="22">
        <v>8.0</v>
      </c>
      <c r="C787" s="23" t="str">
        <f>HYPERLINK("http://ecotaxoserver.obs-vlfr.fr/browsetaxo/?id=92508","92508")</f>
        <v>92508</v>
      </c>
      <c r="D787" s="23" t="str">
        <f>HYPERLINK("http://www.marinespecies.org/aphia.php?p=taxdetails&amp;id=110087","110087")</f>
        <v>110087</v>
      </c>
      <c r="E787" s="22" t="s">
        <v>128</v>
      </c>
      <c r="F787" s="22" t="s">
        <v>1345</v>
      </c>
      <c r="G787" s="22" t="s">
        <v>94</v>
      </c>
      <c r="H787" s="23" t="str">
        <f>HYPERLINK("http://www.marinespecies.org/aphia.php?p=taxdetails&amp;id=110087","110087")</f>
        <v>110087</v>
      </c>
      <c r="I787" s="22" t="s">
        <v>94</v>
      </c>
      <c r="J787" s="24" t="str">
        <f t="shared" si="5"/>
        <v>!=</v>
      </c>
    </row>
    <row r="788">
      <c r="A788" s="22" t="s">
        <v>1347</v>
      </c>
      <c r="B788" s="22">
        <v>4.0</v>
      </c>
      <c r="C788" s="23" t="str">
        <f>HYPERLINK("http://ecotaxoserver.obs-vlfr.fr/browsetaxo/?id=92509","92509")</f>
        <v>92509</v>
      </c>
      <c r="D788" s="23" t="str">
        <f>HYPERLINK("http://www.marinespecies.org/aphia.php?p=taxdetails&amp;id=110090","110090")</f>
        <v>110090</v>
      </c>
      <c r="E788" s="22" t="s">
        <v>128</v>
      </c>
      <c r="F788" s="22" t="s">
        <v>1345</v>
      </c>
      <c r="G788" s="22" t="s">
        <v>94</v>
      </c>
      <c r="H788" s="23" t="str">
        <f>HYPERLINK("http://www.marinespecies.org/aphia.php?p=taxdetails&amp;id=110090","110090")</f>
        <v>110090</v>
      </c>
      <c r="I788" s="22" t="s">
        <v>94</v>
      </c>
      <c r="J788" s="24" t="str">
        <f t="shared" si="5"/>
        <v>!=</v>
      </c>
    </row>
    <row r="789">
      <c r="A789" s="22" t="s">
        <v>1348</v>
      </c>
      <c r="B789" s="22">
        <v>5.0</v>
      </c>
      <c r="C789" s="23" t="str">
        <f>HYPERLINK("http://ecotaxoserver.obs-vlfr.fr/browsetaxo/?id=92515","92515")</f>
        <v>92515</v>
      </c>
      <c r="D789" s="23" t="str">
        <f>HYPERLINK("http://www.marinespecies.org/aphia.php?p=taxdetails&amp;id=110107","110107")</f>
        <v>110107</v>
      </c>
      <c r="E789" s="22" t="s">
        <v>128</v>
      </c>
      <c r="F789" s="22" t="s">
        <v>1345</v>
      </c>
      <c r="G789" s="22" t="s">
        <v>94</v>
      </c>
      <c r="H789" s="23" t="str">
        <f>HYPERLINK("http://www.marinespecies.org/aphia.php?p=taxdetails&amp;id=110107","110107")</f>
        <v>110107</v>
      </c>
      <c r="I789" s="22" t="s">
        <v>94</v>
      </c>
      <c r="J789" s="24" t="str">
        <f t="shared" si="5"/>
        <v>!=</v>
      </c>
    </row>
    <row r="790">
      <c r="A790" s="22" t="s">
        <v>1349</v>
      </c>
      <c r="B790" s="22">
        <v>1.0</v>
      </c>
      <c r="C790" s="23" t="str">
        <f>HYPERLINK("http://ecotaxoserver.obs-vlfr.fr/browsetaxo/?id=92517","92517")</f>
        <v>92517</v>
      </c>
      <c r="D790" s="23" t="str">
        <f>HYPERLINK("http://www.marinespecies.org/aphia.php?p=taxdetails&amp;id=110110","110110")</f>
        <v>110110</v>
      </c>
      <c r="E790" s="22" t="s">
        <v>128</v>
      </c>
      <c r="F790" s="22" t="s">
        <v>1345</v>
      </c>
      <c r="G790" s="22" t="s">
        <v>94</v>
      </c>
      <c r="H790" s="23" t="str">
        <f>HYPERLINK("http://www.marinespecies.org/aphia.php?p=taxdetails&amp;id=110110","110110")</f>
        <v>110110</v>
      </c>
      <c r="I790" s="22" t="s">
        <v>94</v>
      </c>
      <c r="J790" s="24" t="str">
        <f t="shared" si="5"/>
        <v>!=</v>
      </c>
    </row>
    <row r="791">
      <c r="A791" s="22" t="s">
        <v>1350</v>
      </c>
      <c r="B791" s="22">
        <v>17.0</v>
      </c>
      <c r="C791" s="23" t="str">
        <f>HYPERLINK("http://ecotaxoserver.obs-vlfr.fr/browsetaxo/?id=92519","92519")</f>
        <v>92519</v>
      </c>
      <c r="D791" s="23" t="str">
        <f>HYPERLINK("http://www.marinespecies.org/aphia.php?p=taxdetails&amp;id=110114","110114")</f>
        <v>110114</v>
      </c>
      <c r="E791" s="22" t="s">
        <v>128</v>
      </c>
      <c r="F791" s="22" t="s">
        <v>1345</v>
      </c>
      <c r="G791" s="22" t="s">
        <v>94</v>
      </c>
      <c r="H791" s="23" t="str">
        <f>HYPERLINK("http://www.marinespecies.org/aphia.php?p=taxdetails&amp;id=110114","110114")</f>
        <v>110114</v>
      </c>
      <c r="I791" s="22" t="s">
        <v>94</v>
      </c>
      <c r="J791" s="24" t="str">
        <f t="shared" si="5"/>
        <v>!=</v>
      </c>
    </row>
    <row r="792">
      <c r="A792" s="22" t="s">
        <v>1351</v>
      </c>
      <c r="B792" s="22">
        <v>5.0</v>
      </c>
      <c r="C792" s="23" t="str">
        <f>HYPERLINK("http://ecotaxoserver.obs-vlfr.fr/browsetaxo/?id=92520","92520")</f>
        <v>92520</v>
      </c>
      <c r="D792" s="23" t="str">
        <f>HYPERLINK("http://www.marinespecies.org/aphia.php?p=taxdetails&amp;id=110115","110115")</f>
        <v>110115</v>
      </c>
      <c r="E792" s="22" t="s">
        <v>128</v>
      </c>
      <c r="F792" s="22" t="s">
        <v>1345</v>
      </c>
      <c r="G792" s="22" t="s">
        <v>94</v>
      </c>
      <c r="H792" s="23" t="str">
        <f>HYPERLINK("http://www.marinespecies.org/aphia.php?p=taxdetails&amp;id=110115","110115")</f>
        <v>110115</v>
      </c>
      <c r="I792" s="22" t="s">
        <v>94</v>
      </c>
      <c r="J792" s="24" t="str">
        <f t="shared" si="5"/>
        <v>!=</v>
      </c>
    </row>
    <row r="793">
      <c r="A793" s="22" t="s">
        <v>1352</v>
      </c>
      <c r="B793" s="22">
        <v>25.0</v>
      </c>
      <c r="C793" s="23" t="str">
        <f>HYPERLINK("http://ecotaxoserver.obs-vlfr.fr/browsetaxo/?id=92524","92524")</f>
        <v>92524</v>
      </c>
      <c r="D793" s="23" t="str">
        <f>HYPERLINK("http://www.marinespecies.org/aphia.php?p=taxdetails&amp;id=233868","233868")</f>
        <v>233868</v>
      </c>
      <c r="E793" s="22" t="s">
        <v>128</v>
      </c>
      <c r="F793" s="22" t="s">
        <v>1345</v>
      </c>
      <c r="G793" s="22" t="s">
        <v>94</v>
      </c>
      <c r="H793" s="23" t="str">
        <f>HYPERLINK("http://www.marinespecies.org/aphia.php?p=taxdetails&amp;id=233868","233868")</f>
        <v>233868</v>
      </c>
      <c r="I793" s="22" t="s">
        <v>94</v>
      </c>
      <c r="J793" s="24" t="str">
        <f t="shared" si="5"/>
        <v>!=</v>
      </c>
    </row>
    <row r="794">
      <c r="A794" s="22" t="s">
        <v>1072</v>
      </c>
      <c r="B794" s="22">
        <v>2.0</v>
      </c>
      <c r="C794" s="23" t="str">
        <f>HYPERLINK("http://ecotaxoserver.obs-vlfr.fr/browsetaxo/?id=93209","93209")</f>
        <v>93209</v>
      </c>
      <c r="D794" s="23" t="str">
        <f>HYPERLINK("http://www.marinespecies.org/aphia.php?p=taxdetails&amp;id=106788","106788")</f>
        <v>106788</v>
      </c>
      <c r="E794" s="22" t="s">
        <v>1353</v>
      </c>
      <c r="F794" s="22" t="s">
        <v>1353</v>
      </c>
      <c r="G794" s="22" t="s">
        <v>94</v>
      </c>
      <c r="H794" s="23" t="str">
        <f>HYPERLINK("http://www.marinespecies.org/aphia.php?p=taxdetails&amp;id=106788","106788")</f>
        <v>106788</v>
      </c>
      <c r="I794" s="22" t="s">
        <v>94</v>
      </c>
      <c r="J794" s="24" t="str">
        <f t="shared" si="5"/>
        <v/>
      </c>
    </row>
    <row r="795">
      <c r="A795" s="22" t="s">
        <v>1354</v>
      </c>
      <c r="B795" s="22">
        <v>32.0</v>
      </c>
      <c r="C795" s="23" t="str">
        <f>HYPERLINK("http://ecotaxoserver.obs-vlfr.fr/browsetaxo/?id=92526","92526")</f>
        <v>92526</v>
      </c>
      <c r="D795" s="23" t="str">
        <f>HYPERLINK("http://www.marinespecies.org/aphia.php?p=taxdetails&amp;id=233359","233359")</f>
        <v>233359</v>
      </c>
      <c r="E795" s="22" t="s">
        <v>128</v>
      </c>
      <c r="F795" s="22" t="s">
        <v>1355</v>
      </c>
      <c r="G795" s="22" t="s">
        <v>94</v>
      </c>
      <c r="H795" s="23" t="str">
        <f>HYPERLINK("http://www.marinespecies.org/aphia.php?p=taxdetails&amp;id=233359","233359")</f>
        <v>233359</v>
      </c>
      <c r="I795" s="22" t="s">
        <v>94</v>
      </c>
      <c r="J795" s="24" t="str">
        <f t="shared" si="5"/>
        <v>!=</v>
      </c>
    </row>
    <row r="796">
      <c r="A796" s="22" t="s">
        <v>1356</v>
      </c>
      <c r="B796" s="22">
        <v>2.0</v>
      </c>
      <c r="C796" s="23" t="str">
        <f>HYPERLINK("http://ecotaxoserver.obs-vlfr.fr/browsetaxo/?id=93212","93212")</f>
        <v>93212</v>
      </c>
      <c r="D796" s="23" t="str">
        <f>HYPERLINK("http://www.marinespecies.org/aphia.php?p=taxdetails&amp;id=106794","106794")</f>
        <v>106794</v>
      </c>
      <c r="E796" s="22" t="s">
        <v>112</v>
      </c>
      <c r="F796" s="22" t="s">
        <v>112</v>
      </c>
      <c r="G796" s="22" t="s">
        <v>94</v>
      </c>
      <c r="H796" s="23" t="str">
        <f>HYPERLINK("http://www.marinespecies.org/aphia.php?p=taxdetails&amp;id=106794","106794")</f>
        <v>106794</v>
      </c>
      <c r="I796" s="22" t="s">
        <v>94</v>
      </c>
      <c r="J796" s="24" t="str">
        <f t="shared" si="5"/>
        <v/>
      </c>
    </row>
    <row r="797">
      <c r="A797" s="22" t="s">
        <v>1357</v>
      </c>
      <c r="B797" s="22">
        <v>2.0</v>
      </c>
      <c r="C797" s="23" t="str">
        <f>HYPERLINK("http://ecotaxoserver.obs-vlfr.fr/browsetaxo/?id=83467","83467")</f>
        <v>83467</v>
      </c>
      <c r="D797" s="23" t="str">
        <f>HYPERLINK("http://www.marinespecies.org/aphia.php?p=taxdetails&amp;id=107059","107059")</f>
        <v>107059</v>
      </c>
      <c r="E797" s="22" t="s">
        <v>112</v>
      </c>
      <c r="F797" s="22" t="s">
        <v>1356</v>
      </c>
      <c r="G797" s="22" t="s">
        <v>94</v>
      </c>
      <c r="H797" s="23" t="str">
        <f>HYPERLINK("http://www.marinespecies.org/aphia.php?p=taxdetails&amp;id=107059","107059")</f>
        <v>107059</v>
      </c>
      <c r="I797" s="22" t="s">
        <v>94</v>
      </c>
      <c r="J797" s="24" t="str">
        <f t="shared" si="5"/>
        <v>!=</v>
      </c>
    </row>
    <row r="798">
      <c r="A798" s="22" t="s">
        <v>1358</v>
      </c>
      <c r="B798" s="22">
        <v>2.0</v>
      </c>
      <c r="C798" s="23" t="str">
        <f>HYPERLINK("http://ecotaxoserver.obs-vlfr.fr/browsetaxo/?id=72199","72199")</f>
        <v>72199</v>
      </c>
      <c r="D798" s="23" t="str">
        <f>HYPERLINK("http://www.marinespecies.org/aphia.php?p=taxdetails&amp;id=205785","205785")</f>
        <v>205785</v>
      </c>
      <c r="E798" s="22" t="s">
        <v>1359</v>
      </c>
      <c r="F798" s="22" t="s">
        <v>1359</v>
      </c>
      <c r="G798" s="22" t="s">
        <v>94</v>
      </c>
      <c r="H798" s="23" t="str">
        <f>HYPERLINK("http://www.marinespecies.org/aphia.php?p=taxdetails&amp;id=205785","205785")</f>
        <v>205785</v>
      </c>
      <c r="I798" s="22" t="s">
        <v>94</v>
      </c>
      <c r="J798" s="24" t="str">
        <f t="shared" si="5"/>
        <v/>
      </c>
    </row>
    <row r="799">
      <c r="A799" s="22" t="s">
        <v>192</v>
      </c>
      <c r="B799" s="22">
        <v>1.0</v>
      </c>
      <c r="C799" s="23" t="str">
        <f>HYPERLINK("http://ecotaxoserver.obs-vlfr.fr/browsetaxo/?id=51341","51341")</f>
        <v>51341</v>
      </c>
      <c r="D799" s="23" t="str">
        <f>HYPERLINK("http://www.marinespecies.org/aphia.php?p=taxdetails&amp;id=15029","15029")</f>
        <v>15029</v>
      </c>
      <c r="E799" s="22" t="s">
        <v>226</v>
      </c>
      <c r="F799" s="22" t="s">
        <v>366</v>
      </c>
      <c r="G799" s="22" t="s">
        <v>94</v>
      </c>
      <c r="H799" s="23" t="str">
        <f>HYPERLINK("http://www.marinespecies.org/aphia.php?p=taxdetails&amp;id=15029","15029")</f>
        <v>15029</v>
      </c>
      <c r="I799" s="22" t="s">
        <v>94</v>
      </c>
      <c r="J799" s="24" t="str">
        <f t="shared" si="5"/>
        <v>!=</v>
      </c>
    </row>
    <row r="800">
      <c r="A800" s="22" t="s">
        <v>1360</v>
      </c>
      <c r="B800" s="22">
        <v>20.0</v>
      </c>
      <c r="C800" s="23" t="str">
        <f>HYPERLINK("http://ecotaxoserver.obs-vlfr.fr/browsetaxo/?id=25814","25814")</f>
        <v>25814</v>
      </c>
      <c r="D800" s="23" t="str">
        <f>HYPERLINK("http://www.marinespecies.org/aphia.php?p=taxdetails&amp;id=1358","1358")</f>
        <v>1358</v>
      </c>
      <c r="E800" s="22" t="s">
        <v>1361</v>
      </c>
      <c r="F800" s="22" t="s">
        <v>1361</v>
      </c>
      <c r="G800" s="22" t="s">
        <v>94</v>
      </c>
      <c r="H800" s="23" t="str">
        <f>HYPERLINK("http://www.marinespecies.org/aphia.php?p=taxdetails&amp;id=1358","1358")</f>
        <v>1358</v>
      </c>
      <c r="I800" s="22" t="s">
        <v>94</v>
      </c>
      <c r="J800" s="24" t="str">
        <f t="shared" si="5"/>
        <v/>
      </c>
    </row>
    <row r="801">
      <c r="A801" s="22" t="s">
        <v>1362</v>
      </c>
      <c r="B801" s="22">
        <v>1.0</v>
      </c>
      <c r="C801" s="23" t="str">
        <f>HYPERLINK("http://ecotaxoserver.obs-vlfr.fr/browsetaxo/?id=93351","93351")</f>
        <v>93351</v>
      </c>
      <c r="D801" s="23" t="str">
        <f>HYPERLINK("http://www.marinespecies.org/aphia.php?p=taxdetails&amp;id=206169","206169")</f>
        <v>206169</v>
      </c>
      <c r="E801" s="22" t="s">
        <v>1139</v>
      </c>
      <c r="F801" s="22" t="s">
        <v>1139</v>
      </c>
      <c r="G801" s="22" t="s">
        <v>94</v>
      </c>
      <c r="H801" s="23" t="str">
        <f>HYPERLINK("http://www.marinespecies.org/aphia.php?p=taxdetails&amp;id=206169","206169")</f>
        <v>206169</v>
      </c>
      <c r="I801" s="22" t="s">
        <v>94</v>
      </c>
      <c r="J801" s="24" t="str">
        <f t="shared" si="5"/>
        <v/>
      </c>
    </row>
    <row r="802">
      <c r="A802" s="22" t="s">
        <v>122</v>
      </c>
      <c r="B802" s="22">
        <v>5998.0</v>
      </c>
      <c r="C802" s="23" t="str">
        <f>HYPERLINK("http://ecotaxoserver.obs-vlfr.fr/browsetaxo/?id=61981","61981")</f>
        <v>61981</v>
      </c>
      <c r="D802" s="23" t="str">
        <f>HYPERLINK("http://www.marinespecies.org/aphia.php?p=taxdetails&amp;id=104093","104093")</f>
        <v>104093</v>
      </c>
      <c r="E802" s="22" t="s">
        <v>111</v>
      </c>
      <c r="F802" s="22" t="s">
        <v>111</v>
      </c>
      <c r="G802" s="22" t="s">
        <v>94</v>
      </c>
      <c r="H802" s="23" t="str">
        <f>HYPERLINK("http://www.marinespecies.org/aphia.php?p=taxdetails&amp;id=104093","104093")</f>
        <v>104093</v>
      </c>
      <c r="I802" s="22" t="s">
        <v>94</v>
      </c>
      <c r="J802" s="24" t="str">
        <f t="shared" si="5"/>
        <v/>
      </c>
    </row>
    <row r="803">
      <c r="A803" s="22" t="s">
        <v>1363</v>
      </c>
      <c r="B803" s="22">
        <v>11199.0</v>
      </c>
      <c r="C803" s="23" t="str">
        <f>HYPERLINK("http://ecotaxoserver.obs-vlfr.fr/browsetaxo/?id=80161","80161")</f>
        <v>80161</v>
      </c>
      <c r="D803" s="23" t="str">
        <f>HYPERLINK("http://www.marinespecies.org/aphia.php?p=taxdetails&amp;id=104196","104196")</f>
        <v>104196</v>
      </c>
      <c r="E803" s="22" t="s">
        <v>122</v>
      </c>
      <c r="F803" s="22" t="s">
        <v>122</v>
      </c>
      <c r="G803" s="22" t="s">
        <v>94</v>
      </c>
      <c r="H803" s="23" t="str">
        <f>HYPERLINK("http://www.marinespecies.org/aphia.php?p=taxdetails&amp;id=104196","104196")</f>
        <v>104196</v>
      </c>
      <c r="I803" s="22" t="s">
        <v>94</v>
      </c>
      <c r="J803" s="24" t="str">
        <f t="shared" si="5"/>
        <v/>
      </c>
    </row>
    <row r="804">
      <c r="A804" s="22" t="s">
        <v>1364</v>
      </c>
      <c r="B804" s="22">
        <v>136.0</v>
      </c>
      <c r="C804" s="23" t="str">
        <f>HYPERLINK("http://ecotaxoserver.obs-vlfr.fr/browsetaxo/?id=87720","87720")</f>
        <v>87720</v>
      </c>
      <c r="D804" s="23" t="str">
        <f>HYPERLINK("http://www.marinespecies.org/aphia.php?p=taxdetails&amp;id=354162","354162")</f>
        <v>354162</v>
      </c>
      <c r="E804" s="22" t="s">
        <v>1363</v>
      </c>
      <c r="F804" s="22" t="s">
        <v>1363</v>
      </c>
      <c r="G804" s="22" t="s">
        <v>94</v>
      </c>
      <c r="H804" s="23" t="str">
        <f>HYPERLINK("http://www.marinespecies.org/aphia.php?p=taxdetails&amp;id=354162","354162")</f>
        <v>354162</v>
      </c>
      <c r="I804" s="22" t="s">
        <v>94</v>
      </c>
      <c r="J804" s="24" t="str">
        <f t="shared" si="5"/>
        <v/>
      </c>
    </row>
    <row r="805">
      <c r="A805" s="22" t="s">
        <v>1365</v>
      </c>
      <c r="B805" s="22">
        <v>1.0</v>
      </c>
      <c r="C805" s="23" t="str">
        <f>HYPERLINK("http://ecotaxoserver.obs-vlfr.fr/browsetaxo/?id=93079","93079")</f>
        <v>93079</v>
      </c>
      <c r="D805" s="23" t="str">
        <f>HYPERLINK("http://www.marinespecies.org/aphia.php?p=taxdetails&amp;id=264924","264924")</f>
        <v>264924</v>
      </c>
      <c r="E805" s="22" t="s">
        <v>766</v>
      </c>
      <c r="F805" s="22" t="s">
        <v>1366</v>
      </c>
      <c r="G805" s="22" t="s">
        <v>94</v>
      </c>
      <c r="H805" s="23" t="str">
        <f>HYPERLINK("http://www.marinespecies.org/aphia.php?p=taxdetails&amp;id=264924","264924")</f>
        <v>264924</v>
      </c>
      <c r="I805" s="22" t="s">
        <v>94</v>
      </c>
      <c r="J805" s="24" t="str">
        <f t="shared" si="5"/>
        <v>!=</v>
      </c>
    </row>
    <row r="806">
      <c r="A806" s="22" t="s">
        <v>1367</v>
      </c>
      <c r="B806" s="22">
        <v>653.0</v>
      </c>
      <c r="C806" s="23" t="str">
        <f>HYPERLINK("http://ecotaxoserver.obs-vlfr.fr/browsetaxo/?id=92263","92263")</f>
        <v>92263</v>
      </c>
      <c r="D806" s="23" t="str">
        <f>HYPERLINK("http://www.marinespecies.org/aphia.php?p=taxdetails&amp;id=196874","196874")</f>
        <v>196874</v>
      </c>
      <c r="E806" s="22" t="s">
        <v>814</v>
      </c>
      <c r="F806" s="22" t="s">
        <v>814</v>
      </c>
      <c r="G806" s="22" t="s">
        <v>94</v>
      </c>
      <c r="H806" s="23" t="str">
        <f>HYPERLINK("http://www.marinespecies.org/aphia.php?p=taxdetails&amp;id=196874","196874")</f>
        <v>196874</v>
      </c>
      <c r="I806" s="22" t="s">
        <v>94</v>
      </c>
      <c r="J806" s="24" t="str">
        <f t="shared" si="5"/>
        <v/>
      </c>
    </row>
    <row r="807">
      <c r="A807" s="22" t="s">
        <v>1368</v>
      </c>
      <c r="B807" s="22">
        <v>3.0</v>
      </c>
      <c r="C807" s="23" t="str">
        <f>HYPERLINK("http://ecotaxoserver.obs-vlfr.fr/browsetaxo/?id=92768","92768")</f>
        <v>92768</v>
      </c>
      <c r="D807" s="23" t="str">
        <f>HYPERLINK("http://www.marinespecies.org/aphia.php?p=taxdetails&amp;id=104560","104560")</f>
        <v>104560</v>
      </c>
      <c r="E807" s="22" t="s">
        <v>1367</v>
      </c>
      <c r="F807" s="22" t="s">
        <v>1367</v>
      </c>
      <c r="G807" s="22" t="s">
        <v>94</v>
      </c>
      <c r="H807" s="23" t="str">
        <f>HYPERLINK("http://www.marinespecies.org/aphia.php?p=taxdetails&amp;id=104560","104560")</f>
        <v>104560</v>
      </c>
      <c r="I807" s="22" t="s">
        <v>94</v>
      </c>
      <c r="J807" s="24" t="str">
        <f t="shared" si="5"/>
        <v/>
      </c>
    </row>
    <row r="808">
      <c r="A808" s="22" t="s">
        <v>1369</v>
      </c>
      <c r="B808" s="22">
        <v>9.0</v>
      </c>
      <c r="C808" s="23" t="str">
        <f>HYPERLINK("http://ecotaxoserver.obs-vlfr.fr/browsetaxo/?id=92292","92292")</f>
        <v>92292</v>
      </c>
      <c r="D808" s="23" t="str">
        <f>HYPERLINK("http://www.marinespecies.org/aphia.php?p=taxdetails&amp;id=104566","104566")</f>
        <v>104566</v>
      </c>
      <c r="E808" s="22" t="s">
        <v>1367</v>
      </c>
      <c r="F808" s="22" t="s">
        <v>1367</v>
      </c>
      <c r="G808" s="22" t="s">
        <v>94</v>
      </c>
      <c r="H808" s="23" t="str">
        <f>HYPERLINK("http://www.marinespecies.org/aphia.php?p=taxdetails&amp;id=104566","104566")</f>
        <v>104566</v>
      </c>
      <c r="I808" s="22" t="s">
        <v>94</v>
      </c>
      <c r="J808" s="24" t="str">
        <f t="shared" si="5"/>
        <v/>
      </c>
    </row>
    <row r="809">
      <c r="A809" s="22" t="s">
        <v>1370</v>
      </c>
      <c r="B809" s="22">
        <v>3.0</v>
      </c>
      <c r="C809" s="23" t="str">
        <f>HYPERLINK("http://ecotaxoserver.obs-vlfr.fr/browsetaxo/?id=82692","82692")</f>
        <v>82692</v>
      </c>
      <c r="D809" s="23" t="str">
        <f>HYPERLINK("http://www.marinespecies.org/aphia.php?p=taxdetails&amp;id=254603","254603")</f>
        <v>254603</v>
      </c>
      <c r="E809" s="22" t="s">
        <v>1371</v>
      </c>
      <c r="F809" s="22" t="s">
        <v>1371</v>
      </c>
      <c r="G809" s="22" t="s">
        <v>94</v>
      </c>
      <c r="H809" s="23" t="str">
        <f>HYPERLINK("http://www.marinespecies.org/aphia.php?p=taxdetails&amp;id=254603","254603")</f>
        <v>254603</v>
      </c>
      <c r="I809" s="22" t="s">
        <v>94</v>
      </c>
      <c r="J809" s="24" t="str">
        <f t="shared" si="5"/>
        <v/>
      </c>
    </row>
    <row r="810">
      <c r="A810" s="22" t="s">
        <v>1372</v>
      </c>
      <c r="B810" s="22">
        <v>14.0</v>
      </c>
      <c r="C810" s="23" t="str">
        <f>HYPERLINK("http://ecotaxoserver.obs-vlfr.fr/browsetaxo/?id=28292","28292")</f>
        <v>28292</v>
      </c>
      <c r="D810" s="23" t="str">
        <f>HYPERLINK("http://www.marinespecies.org/aphia.php?p=taxdetails&amp;id=149054","149054")</f>
        <v>149054</v>
      </c>
      <c r="E810" s="22" t="s">
        <v>1373</v>
      </c>
      <c r="F810" s="22" t="s">
        <v>1374</v>
      </c>
      <c r="G810" s="22" t="s">
        <v>94</v>
      </c>
      <c r="H810" s="23" t="str">
        <f>HYPERLINK("http://www.marinespecies.org/aphia.php?p=taxdetails&amp;id=149054","149054")</f>
        <v>149054</v>
      </c>
      <c r="I810" s="22" t="s">
        <v>94</v>
      </c>
      <c r="J810" s="24" t="str">
        <f t="shared" si="5"/>
        <v>!=</v>
      </c>
    </row>
    <row r="811">
      <c r="A811" s="22" t="s">
        <v>1375</v>
      </c>
      <c r="B811" s="22">
        <v>16.0</v>
      </c>
      <c r="C811" s="23" t="str">
        <f>HYPERLINK("http://ecotaxoserver.obs-vlfr.fr/browsetaxo/?id=56058","56058")</f>
        <v>56058</v>
      </c>
      <c r="D811" s="23" t="str">
        <f>HYPERLINK("http://www.marinespecies.org/aphia.php?p=taxdetails&amp;id=149055","149055")</f>
        <v>149055</v>
      </c>
      <c r="E811" s="22" t="s">
        <v>1372</v>
      </c>
      <c r="F811" s="22" t="s">
        <v>1372</v>
      </c>
      <c r="G811" s="22" t="s">
        <v>94</v>
      </c>
      <c r="H811" s="23" t="str">
        <f>HYPERLINK("http://www.marinespecies.org/aphia.php?p=taxdetails&amp;id=149055","149055")</f>
        <v>149055</v>
      </c>
      <c r="I811" s="22" t="s">
        <v>94</v>
      </c>
      <c r="J811" s="24" t="str">
        <f t="shared" si="5"/>
        <v/>
      </c>
    </row>
    <row r="812">
      <c r="A812" s="22" t="s">
        <v>1376</v>
      </c>
      <c r="B812" s="22">
        <v>17.0</v>
      </c>
      <c r="C812" s="23" t="str">
        <f>HYPERLINK("http://ecotaxoserver.obs-vlfr.fr/browsetaxo/?id=92916","92916")</f>
        <v>92916</v>
      </c>
      <c r="D812" s="23" t="str">
        <f>HYPERLINK("http://www.marinespecies.org/aphia.php?p=taxdetails&amp;id=154168","154168")</f>
        <v>154168</v>
      </c>
      <c r="E812" s="22" t="s">
        <v>132</v>
      </c>
      <c r="F812" s="22" t="s">
        <v>117</v>
      </c>
      <c r="G812" s="22" t="s">
        <v>94</v>
      </c>
      <c r="H812" s="23" t="str">
        <f>HYPERLINK("http://www.marinespecies.org/aphia.php?p=taxdetails&amp;id=154168","154168")</f>
        <v>154168</v>
      </c>
      <c r="I812" s="22" t="s">
        <v>94</v>
      </c>
      <c r="J812" s="24" t="str">
        <f t="shared" si="5"/>
        <v>!=</v>
      </c>
    </row>
    <row r="813">
      <c r="A813" s="22" t="s">
        <v>1377</v>
      </c>
      <c r="B813" s="22">
        <v>93.0</v>
      </c>
      <c r="C813" s="23" t="str">
        <f>HYPERLINK("http://ecotaxoserver.obs-vlfr.fr/browsetaxo/?id=82131","82131")</f>
        <v>82131</v>
      </c>
      <c r="D813" s="23" t="str">
        <f>HYPERLINK("http://www.marinespecies.org/aphia.php?p=taxdetails&amp;id=236594","236594")</f>
        <v>236594</v>
      </c>
      <c r="E813" s="22" t="s">
        <v>1026</v>
      </c>
      <c r="F813" s="22" t="s">
        <v>1378</v>
      </c>
      <c r="G813" s="22" t="s">
        <v>94</v>
      </c>
      <c r="H813" s="23" t="str">
        <f>HYPERLINK("http://www.marinespecies.org/aphia.php?p=taxdetails&amp;id=236594","236594")</f>
        <v>236594</v>
      </c>
      <c r="I813" s="22" t="s">
        <v>94</v>
      </c>
      <c r="J813" s="24" t="str">
        <f t="shared" si="5"/>
        <v>!=</v>
      </c>
    </row>
    <row r="814">
      <c r="A814" s="22" t="s">
        <v>1379</v>
      </c>
      <c r="B814" s="22">
        <v>2.0</v>
      </c>
      <c r="C814" s="23" t="str">
        <f>HYPERLINK("http://ecotaxoserver.obs-vlfr.fr/browsetaxo/?id=93308","93308")</f>
        <v>93308</v>
      </c>
      <c r="D814" s="23" t="str">
        <f>HYPERLINK("http://www.marinespecies.org/aphia.php?p=taxdetails&amp;id=206077","206077")</f>
        <v>206077</v>
      </c>
      <c r="E814" s="22" t="s">
        <v>1380</v>
      </c>
      <c r="F814" s="22" t="s">
        <v>1380</v>
      </c>
      <c r="G814" s="22" t="s">
        <v>94</v>
      </c>
      <c r="H814" s="23" t="str">
        <f>HYPERLINK("http://www.marinespecies.org/aphia.php?p=taxdetails&amp;id=206077","206077")</f>
        <v>206077</v>
      </c>
      <c r="I814" s="22" t="s">
        <v>94</v>
      </c>
      <c r="J814" s="24" t="str">
        <f t="shared" si="5"/>
        <v/>
      </c>
    </row>
    <row r="815">
      <c r="A815" s="22" t="s">
        <v>1381</v>
      </c>
      <c r="B815" s="22">
        <v>2.0</v>
      </c>
      <c r="C815" s="23" t="str">
        <f>HYPERLINK("http://ecotaxoserver.obs-vlfr.fr/browsetaxo/?id=51160","51160")</f>
        <v>51160</v>
      </c>
      <c r="D815" s="23" t="str">
        <f>HYPERLINK("http://www.marinespecies.org/aphia.php?p=taxdetails&amp;id=105408","105408")</f>
        <v>105408</v>
      </c>
      <c r="E815" s="22" t="s">
        <v>863</v>
      </c>
      <c r="F815" s="22" t="s">
        <v>863</v>
      </c>
      <c r="G815" s="22" t="s">
        <v>94</v>
      </c>
      <c r="H815" s="23" t="str">
        <f>HYPERLINK("http://www.marinespecies.org/aphia.php?p=taxdetails&amp;id=105408","105408")</f>
        <v>105408</v>
      </c>
      <c r="I815" s="22" t="s">
        <v>94</v>
      </c>
      <c r="J815" s="24" t="str">
        <f t="shared" si="5"/>
        <v/>
      </c>
    </row>
    <row r="816">
      <c r="A816" s="22" t="s">
        <v>1382</v>
      </c>
      <c r="B816" s="22">
        <v>4.0</v>
      </c>
      <c r="C816" s="23" t="str">
        <f>HYPERLINK("http://ecotaxoserver.obs-vlfr.fr/browsetaxo/?id=93026","93026")</f>
        <v>93026</v>
      </c>
      <c r="D816" s="23" t="str">
        <f>HYPERLINK("http://www.marinespecies.org/aphia.php?p=taxdetails&amp;id=105440","105440")</f>
        <v>105440</v>
      </c>
      <c r="E816" s="22" t="s">
        <v>1381</v>
      </c>
      <c r="F816" s="22" t="s">
        <v>1381</v>
      </c>
      <c r="G816" s="22" t="s">
        <v>94</v>
      </c>
      <c r="H816" s="23" t="str">
        <f>HYPERLINK("http://www.marinespecies.org/aphia.php?p=taxdetails&amp;id=105440","105440")</f>
        <v>105440</v>
      </c>
      <c r="I816" s="22" t="s">
        <v>94</v>
      </c>
      <c r="J816" s="24" t="str">
        <f t="shared" si="5"/>
        <v/>
      </c>
    </row>
    <row r="817">
      <c r="A817" s="22" t="s">
        <v>1383</v>
      </c>
      <c r="B817" s="22">
        <v>23.0</v>
      </c>
      <c r="C817" s="23" t="str">
        <f>HYPERLINK("http://ecotaxoserver.obs-vlfr.fr/browsetaxo/?id=31228","31228")</f>
        <v>31228</v>
      </c>
      <c r="D817" s="23" t="str">
        <f>HYPERLINK("http://www.marinespecies.org/aphia.php?p=taxdetails&amp;id=345911","345911")</f>
        <v>345911</v>
      </c>
      <c r="E817" s="22" t="s">
        <v>698</v>
      </c>
      <c r="F817" s="22" t="s">
        <v>698</v>
      </c>
      <c r="G817" s="22" t="s">
        <v>94</v>
      </c>
      <c r="H817" s="23" t="str">
        <f>HYPERLINK("http://www.marinespecies.org/aphia.php?p=taxdetails&amp;id=345911","345911")</f>
        <v>345911</v>
      </c>
      <c r="I817" s="22" t="s">
        <v>94</v>
      </c>
      <c r="J817" s="24" t="str">
        <f t="shared" si="5"/>
        <v/>
      </c>
    </row>
    <row r="818">
      <c r="A818" s="22" t="s">
        <v>1384</v>
      </c>
      <c r="B818" s="22">
        <v>10.0</v>
      </c>
      <c r="C818" s="23" t="str">
        <f>HYPERLINK("http://ecotaxoserver.obs-vlfr.fr/browsetaxo/?id=87706","87706")</f>
        <v>87706</v>
      </c>
      <c r="D818" s="23" t="str">
        <f>HYPERLINK("http://www.marinespecies.org/aphia.php?p=taxdetails&amp;id=360051","360051")</f>
        <v>360051</v>
      </c>
      <c r="E818" s="22" t="s">
        <v>1385</v>
      </c>
      <c r="F818" s="22" t="s">
        <v>1385</v>
      </c>
      <c r="G818" s="22" t="s">
        <v>94</v>
      </c>
      <c r="H818" s="23" t="str">
        <f>HYPERLINK("http://www.marinespecies.org/aphia.php?p=taxdetails&amp;id=360051","360051")</f>
        <v>360051</v>
      </c>
      <c r="I818" s="22" t="s">
        <v>94</v>
      </c>
      <c r="J818" s="24" t="str">
        <f t="shared" si="5"/>
        <v/>
      </c>
    </row>
    <row r="819">
      <c r="A819" s="22" t="s">
        <v>1386</v>
      </c>
      <c r="B819" s="22">
        <v>1.0</v>
      </c>
      <c r="C819" s="23" t="str">
        <f>HYPERLINK("http://ecotaxoserver.obs-vlfr.fr/browsetaxo/?id=93106","93106")</f>
        <v>93106</v>
      </c>
      <c r="D819" s="23" t="str">
        <f>HYPERLINK("http://www.marinespecies.org/aphia.php?p=taxdetails&amp;id=174752","174752")</f>
        <v>174752</v>
      </c>
      <c r="E819" s="22" t="s">
        <v>1387</v>
      </c>
      <c r="F819" s="22" t="s">
        <v>1387</v>
      </c>
      <c r="G819" s="22" t="s">
        <v>94</v>
      </c>
      <c r="H819" s="23" t="str">
        <f>HYPERLINK("http://www.marinespecies.org/aphia.php?p=taxdetails&amp;id=174752","174752")</f>
        <v>174752</v>
      </c>
      <c r="I819" s="22" t="s">
        <v>94</v>
      </c>
      <c r="J819" s="24" t="str">
        <f t="shared" si="5"/>
        <v/>
      </c>
    </row>
    <row r="820">
      <c r="A820" s="22" t="s">
        <v>1388</v>
      </c>
      <c r="B820" s="22">
        <v>1.0</v>
      </c>
      <c r="C820" s="23" t="str">
        <f>HYPERLINK("http://ecotaxoserver.obs-vlfr.fr/browsetaxo/?id=72065","72065")</f>
        <v>72065</v>
      </c>
      <c r="D820" s="23" t="str">
        <f>HYPERLINK("http://www.marinespecies.org/aphia.php?p=taxdetails&amp;id=137266","137266")</f>
        <v>137266</v>
      </c>
      <c r="E820" s="22" t="s">
        <v>1389</v>
      </c>
      <c r="F820" s="22" t="s">
        <v>1389</v>
      </c>
      <c r="G820" s="22" t="s">
        <v>94</v>
      </c>
      <c r="H820" s="23" t="str">
        <f>HYPERLINK("http://www.marinespecies.org/aphia.php?p=taxdetails&amp;id=137266","137266")</f>
        <v>137266</v>
      </c>
      <c r="I820" s="22" t="s">
        <v>94</v>
      </c>
      <c r="J820" s="24" t="str">
        <f t="shared" si="5"/>
        <v/>
      </c>
    </row>
    <row r="821">
      <c r="A821" s="22" t="s">
        <v>1390</v>
      </c>
      <c r="B821" s="22">
        <v>12.0</v>
      </c>
      <c r="C821" s="23" t="str">
        <f>HYPERLINK("http://ecotaxoserver.obs-vlfr.fr/browsetaxo/?id=51484","51484")</f>
        <v>51484</v>
      </c>
      <c r="D821" s="23" t="str">
        <f>HYPERLINK("http://www.marinespecies.org/aphia.php?p=taxdetails&amp;id=135262","135262")</f>
        <v>135262</v>
      </c>
      <c r="E821" s="22" t="s">
        <v>1391</v>
      </c>
      <c r="F821" s="22" t="s">
        <v>1391</v>
      </c>
      <c r="G821" s="22" t="s">
        <v>94</v>
      </c>
      <c r="H821" s="23" t="str">
        <f>HYPERLINK("http://www.marinespecies.org/aphia.php?p=taxdetails&amp;id=135262","135262")</f>
        <v>135262</v>
      </c>
      <c r="I821" s="22" t="s">
        <v>94</v>
      </c>
      <c r="J821" s="24" t="str">
        <f t="shared" si="5"/>
        <v/>
      </c>
    </row>
    <row r="822">
      <c r="A822" s="22" t="s">
        <v>1392</v>
      </c>
      <c r="B822" s="22">
        <v>95.0</v>
      </c>
      <c r="C822" s="23" t="str">
        <f>HYPERLINK("http://ecotaxoserver.obs-vlfr.fr/browsetaxo/?id=72834","72834")</f>
        <v>72834</v>
      </c>
      <c r="D822" s="23" t="str">
        <f>HYPERLINK("http://www.marinespecies.org/aphia.php?p=taxdetails&amp;id=135305","135305")</f>
        <v>135305</v>
      </c>
      <c r="E822" s="22" t="s">
        <v>1390</v>
      </c>
      <c r="F822" s="22" t="s">
        <v>1390</v>
      </c>
      <c r="G822" s="22" t="s">
        <v>94</v>
      </c>
      <c r="H822" s="23" t="str">
        <f>HYPERLINK("http://www.marinespecies.org/aphia.php?p=taxdetails&amp;id=135305","135305")</f>
        <v>135305</v>
      </c>
      <c r="I822" s="22" t="s">
        <v>94</v>
      </c>
      <c r="J822" s="24" t="str">
        <f t="shared" si="5"/>
        <v/>
      </c>
    </row>
    <row r="823">
      <c r="A823" s="22" t="s">
        <v>1393</v>
      </c>
      <c r="B823" s="22">
        <v>1765.0</v>
      </c>
      <c r="C823" s="23" t="str">
        <f>HYPERLINK("http://ecotaxoserver.obs-vlfr.fr/browsetaxo/?id=59996","59996")</f>
        <v>59996</v>
      </c>
      <c r="D823" s="23" t="str">
        <f>HYPERLINK("http://www.marinespecies.org/aphia.php?p=taxdetails&amp;id=130219","130219")</f>
        <v>130219</v>
      </c>
      <c r="E823" s="22" t="s">
        <v>1394</v>
      </c>
      <c r="F823" s="22" t="s">
        <v>1394</v>
      </c>
      <c r="G823" s="22" t="s">
        <v>94</v>
      </c>
      <c r="H823" s="23" t="str">
        <f>HYPERLINK("http://www.marinespecies.org/aphia.php?p=taxdetails&amp;id=130219","130219")</f>
        <v>130219</v>
      </c>
      <c r="I823" s="22" t="s">
        <v>94</v>
      </c>
      <c r="J823" s="24" t="str">
        <f t="shared" si="5"/>
        <v/>
      </c>
    </row>
    <row r="824">
      <c r="A824" s="22" t="s">
        <v>1395</v>
      </c>
      <c r="B824" s="22">
        <v>12.0</v>
      </c>
      <c r="C824" s="23" t="str">
        <f>HYPERLINK("http://ecotaxoserver.obs-vlfr.fr/browsetaxo/?id=81904","81904")</f>
        <v>81904</v>
      </c>
      <c r="D824" s="23" t="str">
        <f>HYPERLINK("http://www.marinespecies.org/aphia.php?p=taxdetails&amp;id=106727","106727")</f>
        <v>106727</v>
      </c>
      <c r="E824" s="22" t="s">
        <v>340</v>
      </c>
      <c r="F824" s="22" t="s">
        <v>340</v>
      </c>
      <c r="G824" s="22" t="s">
        <v>94</v>
      </c>
      <c r="H824" s="23" t="str">
        <f>HYPERLINK("http://www.marinespecies.org/aphia.php?p=taxdetails&amp;id=106727","106727")</f>
        <v>106727</v>
      </c>
      <c r="I824" s="22" t="s">
        <v>94</v>
      </c>
      <c r="J824" s="24" t="str">
        <f t="shared" si="5"/>
        <v/>
      </c>
    </row>
    <row r="825">
      <c r="A825" s="22" t="s">
        <v>1396</v>
      </c>
      <c r="B825" s="22">
        <v>78197.0</v>
      </c>
      <c r="C825" s="23" t="str">
        <f>HYPERLINK("http://ecotaxoserver.obs-vlfr.fr/browsetaxo/?id=81935","81935")</f>
        <v>81935</v>
      </c>
      <c r="D825" s="23" t="str">
        <f>HYPERLINK("http://www.marinespecies.org/aphia.php?p=taxdetails&amp;id=106266","106266")</f>
        <v>106266</v>
      </c>
      <c r="E825" s="22" t="s">
        <v>713</v>
      </c>
      <c r="F825" s="22" t="s">
        <v>713</v>
      </c>
      <c r="G825" s="22" t="s">
        <v>94</v>
      </c>
      <c r="H825" s="23" t="str">
        <f>HYPERLINK("http://www.marinespecies.org/aphia.php?p=taxdetails&amp;id=106266","106266")</f>
        <v>106266</v>
      </c>
      <c r="I825" s="22" t="s">
        <v>94</v>
      </c>
      <c r="J825" s="24" t="str">
        <f t="shared" si="5"/>
        <v/>
      </c>
    </row>
    <row r="826">
      <c r="A826" s="22" t="s">
        <v>1397</v>
      </c>
      <c r="B826" s="22">
        <v>30389.0</v>
      </c>
      <c r="C826" s="23" t="str">
        <f>HYPERLINK("http://ecotaxoserver.obs-vlfr.fr/browsetaxo/?id=82399","82399")</f>
        <v>82399</v>
      </c>
      <c r="D826" s="23" t="str">
        <f>HYPERLINK("http://www.marinespecies.org/aphia.php?p=taxdetails&amp;id=106272","106272")</f>
        <v>106272</v>
      </c>
      <c r="E826" s="22" t="s">
        <v>1396</v>
      </c>
      <c r="F826" s="22" t="s">
        <v>1396</v>
      </c>
      <c r="G826" s="22" t="s">
        <v>94</v>
      </c>
      <c r="H826" s="23" t="str">
        <f>HYPERLINK("http://www.marinespecies.org/aphia.php?p=taxdetails&amp;id=106272","106272")</f>
        <v>106272</v>
      </c>
      <c r="I826" s="22" t="s">
        <v>94</v>
      </c>
      <c r="J826" s="24" t="str">
        <f t="shared" si="5"/>
        <v/>
      </c>
    </row>
    <row r="827">
      <c r="A827" s="22" t="s">
        <v>1398</v>
      </c>
      <c r="B827" s="22">
        <v>207.0</v>
      </c>
      <c r="C827" s="23" t="str">
        <f>HYPERLINK("http://ecotaxoserver.obs-vlfr.fr/browsetaxo/?id=18874","18874")</f>
        <v>18874</v>
      </c>
      <c r="D827" s="23" t="str">
        <f>HYPERLINK("http://www.marinespecies.org/aphia.php?p=taxdetails&amp;id=109433","109433")</f>
        <v>109433</v>
      </c>
      <c r="E827" s="22" t="s">
        <v>1399</v>
      </c>
      <c r="F827" s="22" t="s">
        <v>1399</v>
      </c>
      <c r="G827" s="22" t="s">
        <v>94</v>
      </c>
      <c r="H827" s="23" t="str">
        <f>HYPERLINK("http://www.marinespecies.org/aphia.php?p=taxdetails&amp;id=109433","109433")</f>
        <v>109433</v>
      </c>
      <c r="I827" s="22" t="s">
        <v>94</v>
      </c>
      <c r="J827" s="24" t="str">
        <f t="shared" si="5"/>
        <v/>
      </c>
    </row>
    <row r="828">
      <c r="A828" s="22" t="s">
        <v>1399</v>
      </c>
      <c r="B828" s="22">
        <v>1158.0</v>
      </c>
      <c r="C828" s="23" t="str">
        <f>HYPERLINK("http://ecotaxoserver.obs-vlfr.fr/browsetaxo/?id=13944","13944")</f>
        <v>13944</v>
      </c>
      <c r="D828" s="23" t="str">
        <f>HYPERLINK("http://www.marinespecies.org/aphia.php?p=taxdetails&amp;id=109394","109394")</f>
        <v>109394</v>
      </c>
      <c r="E828" s="22" t="s">
        <v>740</v>
      </c>
      <c r="F828" s="22" t="s">
        <v>740</v>
      </c>
      <c r="G828" s="22" t="s">
        <v>94</v>
      </c>
      <c r="H828" s="23" t="str">
        <f>HYPERLINK("http://www.marinespecies.org/aphia.php?p=taxdetails&amp;id=109394","109394")</f>
        <v>109394</v>
      </c>
      <c r="I828" s="22" t="s">
        <v>94</v>
      </c>
      <c r="J828" s="24" t="str">
        <f t="shared" si="5"/>
        <v/>
      </c>
    </row>
    <row r="829">
      <c r="A829" s="22" t="s">
        <v>1400</v>
      </c>
      <c r="B829" s="22">
        <v>244.0</v>
      </c>
      <c r="C829" s="23" t="str">
        <f>HYPERLINK("http://ecotaxoserver.obs-vlfr.fr/browsetaxo/?id=91645","91645")</f>
        <v>91645</v>
      </c>
      <c r="D829" s="23" t="str">
        <f>HYPERLINK("http://www.marinespecies.org/aphia.php?p=taxdetails&amp;id=110156","110156")</f>
        <v>110156</v>
      </c>
      <c r="E829" s="22" t="s">
        <v>1401</v>
      </c>
      <c r="F829" s="22" t="s">
        <v>1401</v>
      </c>
      <c r="G829" s="22" t="s">
        <v>94</v>
      </c>
      <c r="H829" s="23" t="str">
        <f>HYPERLINK("http://www.marinespecies.org/aphia.php?p=taxdetails&amp;id=110156","110156")</f>
        <v>110156</v>
      </c>
      <c r="I829" s="22" t="s">
        <v>94</v>
      </c>
      <c r="J829" s="24" t="str">
        <f t="shared" si="5"/>
        <v/>
      </c>
    </row>
    <row r="830">
      <c r="A830" s="22" t="s">
        <v>1402</v>
      </c>
      <c r="B830" s="22">
        <v>9.0</v>
      </c>
      <c r="C830" s="23" t="str">
        <f>HYPERLINK("http://ecotaxoserver.obs-vlfr.fr/browsetaxo/?id=61966","61966")</f>
        <v>61966</v>
      </c>
      <c r="D830" s="23" t="str">
        <f>HYPERLINK("http://www.marinespecies.org/aphia.php?p=taxdetails&amp;id=104095","104095")</f>
        <v>104095</v>
      </c>
      <c r="E830" s="22" t="s">
        <v>111</v>
      </c>
      <c r="F830" s="22" t="s">
        <v>111</v>
      </c>
      <c r="G830" s="22" t="s">
        <v>94</v>
      </c>
      <c r="H830" s="23" t="str">
        <f>HYPERLINK("http://www.marinespecies.org/aphia.php?p=taxdetails&amp;id=104095","104095")</f>
        <v>104095</v>
      </c>
      <c r="I830" s="22" t="s">
        <v>94</v>
      </c>
      <c r="J830" s="24" t="str">
        <f t="shared" si="5"/>
        <v/>
      </c>
    </row>
    <row r="831">
      <c r="A831" s="22" t="s">
        <v>1403</v>
      </c>
      <c r="B831" s="22">
        <v>6406.0</v>
      </c>
      <c r="C831" s="23" t="str">
        <f>HYPERLINK("http://ecotaxoserver.obs-vlfr.fr/browsetaxo/?id=11689","11689")</f>
        <v>11689</v>
      </c>
      <c r="D831" s="23" t="str">
        <f>HYPERLINK("http://www.marinespecies.org/aphia.php?p=taxdetails&amp;id=577970","577970")</f>
        <v>577970</v>
      </c>
      <c r="E831" s="22" t="s">
        <v>560</v>
      </c>
      <c r="F831" s="22" t="s">
        <v>560</v>
      </c>
      <c r="G831" s="22" t="s">
        <v>94</v>
      </c>
      <c r="H831" s="23" t="str">
        <f>HYPERLINK("http://www.marinespecies.org/aphia.php?p=taxdetails&amp;id=577970","577970")</f>
        <v>577970</v>
      </c>
      <c r="I831" s="22" t="s">
        <v>94</v>
      </c>
      <c r="J831" s="24" t="str">
        <f t="shared" si="5"/>
        <v/>
      </c>
    </row>
    <row r="832">
      <c r="A832" s="22" t="s">
        <v>1404</v>
      </c>
      <c r="B832" s="22">
        <v>9161.0</v>
      </c>
      <c r="C832" s="23" t="str">
        <f>HYPERLINK("http://ecotaxoserver.obs-vlfr.fr/browsetaxo/?id=17042","17042")</f>
        <v>17042</v>
      </c>
      <c r="D832" s="23" t="str">
        <f>HYPERLINK("http://www.marinespecies.org/aphia.php?p=taxdetails&amp;id=115088","115088")</f>
        <v>115088</v>
      </c>
      <c r="E832" s="22" t="s">
        <v>1405</v>
      </c>
      <c r="F832" s="22" t="s">
        <v>1405</v>
      </c>
      <c r="G832" s="22" t="s">
        <v>94</v>
      </c>
      <c r="H832" s="23" t="str">
        <f>HYPERLINK("http://www.marinespecies.org/aphia.php?p=taxdetails&amp;id=115088","115088")</f>
        <v>115088</v>
      </c>
      <c r="I832" s="22" t="s">
        <v>94</v>
      </c>
      <c r="J832" s="24" t="str">
        <f t="shared" si="5"/>
        <v/>
      </c>
    </row>
    <row r="833">
      <c r="A833" s="22" t="s">
        <v>1406</v>
      </c>
      <c r="B833" s="22">
        <v>26774.0</v>
      </c>
      <c r="C833" s="23" t="str">
        <f>HYPERLINK("http://ecotaxoserver.obs-vlfr.fr/browsetaxo/?id=27312","27312")</f>
        <v>27312</v>
      </c>
      <c r="D833" s="23" t="str">
        <f>HYPERLINK("http://www.marinespecies.org/aphia.php?p=taxdetails&amp;id=341585","341585")</f>
        <v>341585</v>
      </c>
      <c r="E833" s="22" t="s">
        <v>1404</v>
      </c>
      <c r="F833" s="22" t="s">
        <v>1404</v>
      </c>
      <c r="G833" s="22" t="s">
        <v>94</v>
      </c>
      <c r="H833" s="23" t="str">
        <f>HYPERLINK("http://www.marinespecies.org/aphia.php?p=taxdetails&amp;id=341585","341585")</f>
        <v>341585</v>
      </c>
      <c r="I833" s="22" t="s">
        <v>94</v>
      </c>
      <c r="J833" s="24" t="str">
        <f t="shared" si="5"/>
        <v/>
      </c>
    </row>
    <row r="834">
      <c r="A834" s="22" t="s">
        <v>1407</v>
      </c>
      <c r="B834" s="22">
        <v>7839.0</v>
      </c>
      <c r="C834" s="23" t="str">
        <f>HYPERLINK("http://ecotaxoserver.obs-vlfr.fr/browsetaxo/?id=27308","27308")</f>
        <v>27308</v>
      </c>
      <c r="D834" s="23" t="str">
        <f>HYPERLINK("http://www.marinespecies.org/aphia.php?p=taxdetails&amp;id=115106","115106")</f>
        <v>115106</v>
      </c>
      <c r="E834" s="22" t="s">
        <v>1404</v>
      </c>
      <c r="F834" s="22" t="s">
        <v>1404</v>
      </c>
      <c r="G834" s="22" t="s">
        <v>94</v>
      </c>
      <c r="H834" s="23" t="str">
        <f>HYPERLINK("http://www.marinespecies.org/aphia.php?p=taxdetails&amp;id=115106","115106")</f>
        <v>115106</v>
      </c>
      <c r="I834" s="22" t="s">
        <v>94</v>
      </c>
      <c r="J834" s="24" t="str">
        <f t="shared" si="5"/>
        <v/>
      </c>
    </row>
    <row r="835">
      <c r="A835" s="22" t="s">
        <v>426</v>
      </c>
      <c r="B835" s="22">
        <v>157769.0</v>
      </c>
      <c r="C835" s="23" t="str">
        <f>HYPERLINK("http://ecotaxoserver.obs-vlfr.fr/browsetaxo/?id=13333","13333")</f>
        <v>13333</v>
      </c>
      <c r="D835" s="23" t="str">
        <f>HYPERLINK("http://www.marinespecies.org/aphia.php?p=taxdetails&amp;id=345868","345868")</f>
        <v>345868</v>
      </c>
      <c r="E835" s="22" t="s">
        <v>1408</v>
      </c>
      <c r="F835" s="22" t="s">
        <v>1408</v>
      </c>
      <c r="G835" s="22" t="s">
        <v>94</v>
      </c>
      <c r="H835" s="23" t="str">
        <f>HYPERLINK("http://www.marinespecies.org/aphia.php?p=taxdetails&amp;id=345868","345868")</f>
        <v>345868</v>
      </c>
      <c r="I835" s="22" t="s">
        <v>94</v>
      </c>
      <c r="J835" s="24" t="str">
        <f t="shared" si="5"/>
        <v/>
      </c>
    </row>
    <row r="836">
      <c r="A836" s="22" t="s">
        <v>492</v>
      </c>
      <c r="B836" s="22">
        <v>1508.0</v>
      </c>
      <c r="C836" s="23" t="str">
        <f>HYPERLINK("http://ecotaxoserver.obs-vlfr.fr/browsetaxo/?id=17227","17227")</f>
        <v>17227</v>
      </c>
      <c r="D836" s="23" t="str">
        <f>HYPERLINK("http://www.marinespecies.org/aphia.php?p=taxdetails&amp;id=345869","345869")</f>
        <v>345869</v>
      </c>
      <c r="E836" s="22" t="s">
        <v>426</v>
      </c>
      <c r="F836" s="22" t="s">
        <v>426</v>
      </c>
      <c r="G836" s="22" t="s">
        <v>94</v>
      </c>
      <c r="H836" s="23" t="str">
        <f>HYPERLINK("http://www.marinespecies.org/aphia.php?p=taxdetails&amp;id=345869","345869")</f>
        <v>345869</v>
      </c>
      <c r="I836" s="22" t="s">
        <v>94</v>
      </c>
      <c r="J836" s="24" t="str">
        <f t="shared" si="5"/>
        <v/>
      </c>
    </row>
    <row r="837">
      <c r="A837" s="22" t="s">
        <v>1409</v>
      </c>
      <c r="B837" s="22">
        <v>214.0</v>
      </c>
      <c r="C837" s="23" t="str">
        <f>HYPERLINK("http://ecotaxoserver.obs-vlfr.fr/browsetaxo/?id=31661","31661")</f>
        <v>31661</v>
      </c>
      <c r="D837" s="23" t="str">
        <f>HYPERLINK("http://www.marinespecies.org/aphia.php?p=taxdetails&amp;id=109466","109466")</f>
        <v>109466</v>
      </c>
      <c r="E837" s="22" t="s">
        <v>745</v>
      </c>
      <c r="F837" s="22" t="s">
        <v>1344</v>
      </c>
      <c r="G837" s="22" t="s">
        <v>94</v>
      </c>
      <c r="H837" s="23" t="str">
        <f>HYPERLINK("http://www.marinespecies.org/aphia.php?p=taxdetails&amp;id=109466","109466")</f>
        <v>109466</v>
      </c>
      <c r="I837" s="22" t="s">
        <v>94</v>
      </c>
      <c r="J837" s="24" t="str">
        <f t="shared" si="5"/>
        <v>!=</v>
      </c>
    </row>
    <row r="838">
      <c r="A838" s="22" t="s">
        <v>1410</v>
      </c>
      <c r="B838" s="22">
        <v>71.0</v>
      </c>
      <c r="C838" s="23" t="str">
        <f>HYPERLINK("http://ecotaxoserver.obs-vlfr.fr/browsetaxo/?id=92836","92836")</f>
        <v>92836</v>
      </c>
      <c r="D838" s="23" t="str">
        <f>HYPERLINK("http://www.marinespecies.org/aphia.php?p=taxdetails&amp;id=232460","232460")</f>
        <v>232460</v>
      </c>
      <c r="E838" s="22" t="s">
        <v>1409</v>
      </c>
      <c r="F838" s="22" t="s">
        <v>1409</v>
      </c>
      <c r="G838" s="22" t="s">
        <v>94</v>
      </c>
      <c r="H838" s="23" t="str">
        <f>HYPERLINK("http://www.marinespecies.org/aphia.php?p=taxdetails&amp;id=232460","232460")</f>
        <v>232460</v>
      </c>
      <c r="I838" s="22" t="s">
        <v>94</v>
      </c>
      <c r="J838" s="24" t="str">
        <f t="shared" si="5"/>
        <v/>
      </c>
    </row>
    <row r="839">
      <c r="A839" s="22" t="s">
        <v>1411</v>
      </c>
      <c r="B839" s="22">
        <v>37.0</v>
      </c>
      <c r="C839" s="23" t="str">
        <f>HYPERLINK("http://ecotaxoserver.obs-vlfr.fr/browsetaxo/?id=58212","58212")</f>
        <v>58212</v>
      </c>
      <c r="D839" s="23" t="str">
        <f>HYPERLINK("http://www.marinespecies.org/aphia.php?p=taxdetails&amp;id=232466","232466")</f>
        <v>232466</v>
      </c>
      <c r="E839" s="22" t="s">
        <v>1409</v>
      </c>
      <c r="F839" s="22" t="s">
        <v>1409</v>
      </c>
      <c r="G839" s="22" t="s">
        <v>94</v>
      </c>
      <c r="H839" s="23" t="str">
        <f>HYPERLINK("http://www.marinespecies.org/aphia.php?p=taxdetails&amp;id=232466","232466")</f>
        <v>232466</v>
      </c>
      <c r="I839" s="22" t="s">
        <v>94</v>
      </c>
      <c r="J839" s="24" t="str">
        <f t="shared" si="5"/>
        <v/>
      </c>
    </row>
    <row r="840">
      <c r="A840" s="22" t="s">
        <v>1412</v>
      </c>
      <c r="B840" s="22">
        <v>26.0</v>
      </c>
      <c r="C840" s="23" t="str">
        <f>HYPERLINK("http://ecotaxoserver.obs-vlfr.fr/browsetaxo/?id=58211","58211")</f>
        <v>58211</v>
      </c>
      <c r="D840" s="23" t="str">
        <f>HYPERLINK("http://www.marinespecies.org/aphia.php?p=taxdetails&amp;id=232469","232469")</f>
        <v>232469</v>
      </c>
      <c r="E840" s="22" t="s">
        <v>1409</v>
      </c>
      <c r="F840" s="22" t="s">
        <v>1409</v>
      </c>
      <c r="G840" s="22" t="s">
        <v>94</v>
      </c>
      <c r="H840" s="23" t="str">
        <f>HYPERLINK("http://www.marinespecies.org/aphia.php?p=taxdetails&amp;id=232469","232469")</f>
        <v>232469</v>
      </c>
      <c r="I840" s="22" t="s">
        <v>94</v>
      </c>
      <c r="J840" s="24" t="str">
        <f t="shared" si="5"/>
        <v/>
      </c>
    </row>
    <row r="841">
      <c r="A841" s="22" t="s">
        <v>1413</v>
      </c>
      <c r="B841" s="22">
        <v>70.0</v>
      </c>
      <c r="C841" s="23" t="str">
        <f>HYPERLINK("http://ecotaxoserver.obs-vlfr.fr/browsetaxo/?id=58206","58206")</f>
        <v>58206</v>
      </c>
      <c r="D841" s="23" t="str">
        <f>HYPERLINK("http://www.marinespecies.org/aphia.php?p=taxdetails&amp;id=156505","156505")</f>
        <v>156505</v>
      </c>
      <c r="E841" s="22" t="s">
        <v>1409</v>
      </c>
      <c r="F841" s="22" t="s">
        <v>1409</v>
      </c>
      <c r="G841" s="22" t="s">
        <v>94</v>
      </c>
      <c r="H841" s="23" t="str">
        <f>HYPERLINK("http://www.marinespecies.org/aphia.php?p=taxdetails&amp;id=156505","156505")</f>
        <v>156505</v>
      </c>
      <c r="I841" s="22" t="s">
        <v>94</v>
      </c>
      <c r="J841" s="24" t="str">
        <f t="shared" si="5"/>
        <v/>
      </c>
    </row>
    <row r="842">
      <c r="A842" s="22" t="s">
        <v>1414</v>
      </c>
      <c r="B842" s="22">
        <v>2.0</v>
      </c>
      <c r="C842" s="23" t="str">
        <f>HYPERLINK("http://ecotaxoserver.obs-vlfr.fr/browsetaxo/?id=8992","8992")</f>
        <v>8992</v>
      </c>
      <c r="D842" s="23" t="str">
        <f>HYPERLINK("http://www.marinespecies.org/aphia.php?p=taxdetails&amp;id=146690","146690")</f>
        <v>146690</v>
      </c>
      <c r="E842" s="22" t="s">
        <v>215</v>
      </c>
      <c r="F842" s="22" t="s">
        <v>1336</v>
      </c>
      <c r="G842" s="22" t="s">
        <v>94</v>
      </c>
      <c r="H842" s="23" t="str">
        <f>HYPERLINK("http://www.marinespecies.org/aphia.php?p=taxdetails&amp;id=146690","146690")</f>
        <v>146690</v>
      </c>
      <c r="I842" s="22" t="s">
        <v>94</v>
      </c>
      <c r="J842" s="24" t="str">
        <f t="shared" si="5"/>
        <v>!=</v>
      </c>
    </row>
    <row r="843">
      <c r="A843" s="22" t="s">
        <v>1415</v>
      </c>
      <c r="B843" s="22">
        <v>196.0</v>
      </c>
      <c r="C843" s="23" t="str">
        <f>HYPERLINK("http://ecotaxoserver.obs-vlfr.fr/browsetaxo/?id=11491","11491")</f>
        <v>11491</v>
      </c>
      <c r="D843" s="23" t="str">
        <f>HYPERLINK("http://www.marinespecies.org/aphia.php?p=taxdetails&amp;id=1789","1789")</f>
        <v>1789</v>
      </c>
      <c r="E843" s="22" t="s">
        <v>223</v>
      </c>
      <c r="F843" s="22" t="s">
        <v>224</v>
      </c>
      <c r="G843" s="22" t="s">
        <v>94</v>
      </c>
      <c r="H843" s="23" t="str">
        <f>HYPERLINK("http://www.marinespecies.org/aphia.php?p=taxdetails&amp;id=1789","1789")</f>
        <v>1789</v>
      </c>
      <c r="I843" s="22" t="s">
        <v>94</v>
      </c>
      <c r="J843" s="24" t="str">
        <f t="shared" si="5"/>
        <v>!=</v>
      </c>
    </row>
    <row r="844">
      <c r="A844" s="22" t="s">
        <v>1416</v>
      </c>
      <c r="B844" s="22">
        <v>1.0</v>
      </c>
      <c r="C844" s="23" t="str">
        <f>HYPERLINK("http://ecotaxoserver.obs-vlfr.fr/browsetaxo/?id=12930","12930")</f>
        <v>12930</v>
      </c>
      <c r="D844" s="23" t="str">
        <f>HYPERLINK("http://www.marinespecies.org/aphia.php?p=taxdetails&amp;id=128545","128545")</f>
        <v>128545</v>
      </c>
      <c r="E844" s="22" t="s">
        <v>1415</v>
      </c>
      <c r="F844" s="22" t="s">
        <v>1417</v>
      </c>
      <c r="G844" s="22" t="s">
        <v>94</v>
      </c>
      <c r="H844" s="23" t="str">
        <f>HYPERLINK("http://www.marinespecies.org/aphia.php?p=taxdetails&amp;id=128545","128545")</f>
        <v>128545</v>
      </c>
      <c r="I844" s="22" t="s">
        <v>94</v>
      </c>
      <c r="J844" s="24" t="str">
        <f t="shared" si="5"/>
        <v>!=</v>
      </c>
    </row>
    <row r="845">
      <c r="A845" s="22" t="s">
        <v>1418</v>
      </c>
      <c r="B845" s="22">
        <v>36.0</v>
      </c>
      <c r="C845" s="23" t="str">
        <f>HYPERLINK("http://ecotaxoserver.obs-vlfr.fr/browsetaxo/?id=83681","83681")</f>
        <v>83681</v>
      </c>
      <c r="D845" s="23" t="str">
        <f>HYPERLINK("http://www.marinespecies.org/aphia.php?p=taxdetails&amp;id=101804","101804")</f>
        <v>101804</v>
      </c>
      <c r="E845" s="22" t="s">
        <v>1419</v>
      </c>
      <c r="F845" s="22" t="s">
        <v>1419</v>
      </c>
      <c r="G845" s="22" t="s">
        <v>94</v>
      </c>
      <c r="H845" s="23" t="str">
        <f>HYPERLINK("http://www.marinespecies.org/aphia.php?p=taxdetails&amp;id=101804","101804")</f>
        <v>101804</v>
      </c>
      <c r="I845" s="22" t="s">
        <v>94</v>
      </c>
      <c r="J845" s="24" t="str">
        <f t="shared" si="5"/>
        <v/>
      </c>
    </row>
    <row r="846">
      <c r="A846" s="22" t="s">
        <v>1419</v>
      </c>
      <c r="B846" s="22">
        <v>59.0</v>
      </c>
      <c r="C846" s="23" t="str">
        <f>HYPERLINK("http://ecotaxoserver.obs-vlfr.fr/browsetaxo/?id=82147","82147")</f>
        <v>82147</v>
      </c>
      <c r="D846" s="23" t="str">
        <f>HYPERLINK("http://www.marinespecies.org/aphia.php?p=taxdetails&amp;id=101420","101420")</f>
        <v>101420</v>
      </c>
      <c r="E846" s="22" t="s">
        <v>1026</v>
      </c>
      <c r="F846" s="22" t="s">
        <v>1027</v>
      </c>
      <c r="G846" s="22" t="s">
        <v>94</v>
      </c>
      <c r="H846" s="23" t="str">
        <f>HYPERLINK("http://www.marinespecies.org/aphia.php?p=taxdetails&amp;id=101420","101420")</f>
        <v>101420</v>
      </c>
      <c r="I846" s="22" t="s">
        <v>94</v>
      </c>
      <c r="J846" s="24" t="str">
        <f t="shared" si="5"/>
        <v>!=</v>
      </c>
    </row>
    <row r="847">
      <c r="A847" s="22" t="s">
        <v>1420</v>
      </c>
      <c r="B847" s="22">
        <v>86.0</v>
      </c>
      <c r="C847" s="23" t="str">
        <f>HYPERLINK("http://ecotaxoserver.obs-vlfr.fr/browsetaxo/?id=82146","82146")</f>
        <v>82146</v>
      </c>
      <c r="D847" s="23" t="str">
        <f>HYPERLINK("http://www.marinespecies.org/aphia.php?p=taxdetails&amp;id=101421","101421")</f>
        <v>101421</v>
      </c>
      <c r="E847" s="22" t="s">
        <v>1026</v>
      </c>
      <c r="F847" s="22" t="s">
        <v>1027</v>
      </c>
      <c r="G847" s="22" t="s">
        <v>94</v>
      </c>
      <c r="H847" s="23" t="str">
        <f>HYPERLINK("http://www.marinespecies.org/aphia.php?p=taxdetails&amp;id=101421","101421")</f>
        <v>101421</v>
      </c>
      <c r="I847" s="22" t="s">
        <v>94</v>
      </c>
      <c r="J847" s="24" t="str">
        <f t="shared" si="5"/>
        <v>!=</v>
      </c>
    </row>
    <row r="848">
      <c r="A848" s="22" t="s">
        <v>1421</v>
      </c>
      <c r="B848" s="22">
        <v>1.0</v>
      </c>
      <c r="C848" s="23" t="str">
        <f>HYPERLINK("http://ecotaxoserver.obs-vlfr.fr/browsetaxo/?id=93240","93240")</f>
        <v>93240</v>
      </c>
      <c r="D848" s="23" t="str">
        <f>HYPERLINK("http://www.marinespecies.org/aphia.php?p=taxdetails&amp;id=126849","126849")</f>
        <v>126849</v>
      </c>
      <c r="E848" s="22" t="s">
        <v>1422</v>
      </c>
      <c r="F848" s="22" t="s">
        <v>1422</v>
      </c>
      <c r="G848" s="22" t="s">
        <v>94</v>
      </c>
      <c r="H848" s="23" t="str">
        <f>HYPERLINK("http://www.marinespecies.org/aphia.php?p=taxdetails&amp;id=126849","126849")</f>
        <v>126849</v>
      </c>
      <c r="I848" s="22" t="s">
        <v>94</v>
      </c>
      <c r="J848" s="24" t="str">
        <f t="shared" si="5"/>
        <v/>
      </c>
    </row>
    <row r="849">
      <c r="A849" s="22" t="s">
        <v>1423</v>
      </c>
      <c r="B849" s="22">
        <v>1.0</v>
      </c>
      <c r="C849" s="23" t="str">
        <f>HYPERLINK("http://ecotaxoserver.obs-vlfr.fr/browsetaxo/?id=92739","92739")</f>
        <v>92739</v>
      </c>
      <c r="D849" s="23" t="str">
        <f>HYPERLINK("http://www.marinespecies.org/aphia.php?p=taxdetails&amp;id=138350","138350")</f>
        <v>138350</v>
      </c>
      <c r="E849" s="22" t="s">
        <v>1424</v>
      </c>
      <c r="F849" s="22" t="s">
        <v>1424</v>
      </c>
      <c r="G849" s="22" t="s">
        <v>94</v>
      </c>
      <c r="H849" s="23" t="str">
        <f>HYPERLINK("http://www.marinespecies.org/aphia.php?p=taxdetails&amp;id=138350","138350")</f>
        <v>138350</v>
      </c>
      <c r="I849" s="22" t="s">
        <v>94</v>
      </c>
      <c r="J849" s="24" t="str">
        <f t="shared" si="5"/>
        <v/>
      </c>
    </row>
    <row r="850">
      <c r="A850" s="22" t="s">
        <v>1425</v>
      </c>
      <c r="B850" s="22">
        <v>12.0</v>
      </c>
      <c r="C850" s="23" t="str">
        <f>HYPERLINK("http://ecotaxoserver.obs-vlfr.fr/browsetaxo/?id=92740","92740")</f>
        <v>92740</v>
      </c>
      <c r="D850" s="23" t="str">
        <f>HYPERLINK("http://www.marinespecies.org/aphia.php?p=taxdetails&amp;id=581832","581832")</f>
        <v>581832</v>
      </c>
      <c r="E850" s="22" t="s">
        <v>1423</v>
      </c>
      <c r="F850" s="22" t="s">
        <v>1423</v>
      </c>
      <c r="G850" s="22" t="s">
        <v>94</v>
      </c>
      <c r="H850" s="23" t="str">
        <f>HYPERLINK("http://www.marinespecies.org/aphia.php?p=taxdetails&amp;id=581832","581832")</f>
        <v>581832</v>
      </c>
      <c r="I850" s="22" t="s">
        <v>94</v>
      </c>
      <c r="J850" s="24" t="str">
        <f t="shared" si="5"/>
        <v/>
      </c>
    </row>
    <row r="851">
      <c r="A851" s="22" t="s">
        <v>1424</v>
      </c>
      <c r="B851" s="22">
        <v>1.0</v>
      </c>
      <c r="C851" s="23" t="str">
        <f>HYPERLINK("http://ecotaxoserver.obs-vlfr.fr/browsetaxo/?id=92738","92738")</f>
        <v>92738</v>
      </c>
      <c r="D851" s="23" t="str">
        <f>HYPERLINK("http://www.marinespecies.org/aphia.php?p=taxdetails&amp;id=23094","23094")</f>
        <v>23094</v>
      </c>
      <c r="E851" s="22" t="s">
        <v>1426</v>
      </c>
      <c r="F851" s="22" t="s">
        <v>1427</v>
      </c>
      <c r="G851" s="22" t="s">
        <v>94</v>
      </c>
      <c r="H851" s="23" t="str">
        <f>HYPERLINK("http://www.marinespecies.org/aphia.php?p=taxdetails&amp;id=23094","23094")</f>
        <v>23094</v>
      </c>
      <c r="I851" s="22" t="s">
        <v>94</v>
      </c>
      <c r="J851" s="24" t="str">
        <f t="shared" si="5"/>
        <v>!=</v>
      </c>
    </row>
    <row r="852">
      <c r="A852" s="22" t="s">
        <v>1261</v>
      </c>
      <c r="B852" s="22">
        <v>741.0</v>
      </c>
      <c r="C852" s="23" t="str">
        <f>HYPERLINK("http://ecotaxoserver.obs-vlfr.fr/browsetaxo/?id=25634","25634")</f>
        <v>25634</v>
      </c>
      <c r="D852" s="23" t="str">
        <f>HYPERLINK("http://www.marinespecies.org/aphia.php?p=taxdetails&amp;id=931","931")</f>
        <v>931</v>
      </c>
      <c r="E852" s="22" t="s">
        <v>239</v>
      </c>
      <c r="F852" s="22" t="s">
        <v>1128</v>
      </c>
      <c r="G852" s="22" t="s">
        <v>94</v>
      </c>
      <c r="H852" s="23" t="str">
        <f>HYPERLINK("http://www.marinespecies.org/aphia.php?p=taxdetails&amp;id=931","931")</f>
        <v>931</v>
      </c>
      <c r="I852" s="22" t="s">
        <v>94</v>
      </c>
      <c r="J852" s="24" t="str">
        <f t="shared" si="5"/>
        <v>!=</v>
      </c>
    </row>
    <row r="853">
      <c r="A853" s="22" t="s">
        <v>1428</v>
      </c>
      <c r="B853" s="22">
        <v>7.0</v>
      </c>
      <c r="C853" s="23" t="str">
        <f>HYPERLINK("http://ecotaxoserver.obs-vlfr.fr/browsetaxo/?id=81832","81832")</f>
        <v>81832</v>
      </c>
      <c r="D853" s="23" t="str">
        <f>HYPERLINK("http://www.marinespecies.org/aphia.php?p=taxdetails&amp;id=135382","135382")</f>
        <v>135382</v>
      </c>
      <c r="E853" s="22" t="s">
        <v>1429</v>
      </c>
      <c r="F853" s="22" t="s">
        <v>1429</v>
      </c>
      <c r="G853" s="22" t="s">
        <v>94</v>
      </c>
      <c r="H853" s="23" t="str">
        <f>HYPERLINK("http://www.marinespecies.org/aphia.php?p=taxdetails&amp;id=135382","135382")</f>
        <v>135382</v>
      </c>
      <c r="I853" s="22" t="s">
        <v>94</v>
      </c>
      <c r="J853" s="24" t="str">
        <f t="shared" si="5"/>
        <v/>
      </c>
    </row>
    <row r="854">
      <c r="A854" s="22" t="s">
        <v>1429</v>
      </c>
      <c r="B854" s="22">
        <v>1.0</v>
      </c>
      <c r="C854" s="23" t="str">
        <f>HYPERLINK("http://ecotaxoserver.obs-vlfr.fr/browsetaxo/?id=72400","72400")</f>
        <v>72400</v>
      </c>
      <c r="D854" s="23" t="str">
        <f>HYPERLINK("http://www.marinespecies.org/aphia.php?p=taxdetails&amp;id=135342","135342")</f>
        <v>135342</v>
      </c>
      <c r="E854" s="22" t="s">
        <v>682</v>
      </c>
      <c r="F854" s="22" t="s">
        <v>682</v>
      </c>
      <c r="G854" s="22" t="s">
        <v>94</v>
      </c>
      <c r="H854" s="23" t="str">
        <f>HYPERLINK("http://www.marinespecies.org/aphia.php?p=taxdetails&amp;id=135342","135342")</f>
        <v>135342</v>
      </c>
      <c r="I854" s="22" t="s">
        <v>94</v>
      </c>
      <c r="J854" s="24" t="str">
        <f t="shared" si="5"/>
        <v/>
      </c>
    </row>
    <row r="855">
      <c r="A855" s="22" t="s">
        <v>1430</v>
      </c>
      <c r="B855" s="22">
        <v>799.0</v>
      </c>
      <c r="C855" s="23" t="str">
        <f>HYPERLINK("http://ecotaxoserver.obs-vlfr.fr/browsetaxo/?id=51381","51381")</f>
        <v>51381</v>
      </c>
      <c r="D855" s="23" t="str">
        <f>HYPERLINK("http://www.marinespecies.org/aphia.php?p=taxdetails&amp;id=135335","135335")</f>
        <v>135335</v>
      </c>
      <c r="E855" s="22" t="s">
        <v>404</v>
      </c>
      <c r="F855" s="22" t="s">
        <v>404</v>
      </c>
      <c r="G855" s="22" t="s">
        <v>94</v>
      </c>
      <c r="H855" s="23" t="str">
        <f>HYPERLINK("http://www.marinespecies.org/aphia.php?p=taxdetails&amp;id=135335","135335")</f>
        <v>135335</v>
      </c>
      <c r="I855" s="22" t="s">
        <v>94</v>
      </c>
      <c r="J855" s="24" t="str">
        <f t="shared" si="5"/>
        <v/>
      </c>
    </row>
    <row r="856">
      <c r="A856" s="22" t="s">
        <v>1431</v>
      </c>
      <c r="B856" s="22">
        <v>1.0</v>
      </c>
      <c r="C856" s="23" t="str">
        <f>HYPERLINK("http://ecotaxoserver.obs-vlfr.fr/browsetaxo/?id=83322","83322")</f>
        <v>83322</v>
      </c>
      <c r="D856" s="23" t="str">
        <f>HYPERLINK("http://www.marinespecies.org/aphia.php?p=taxdetails&amp;id=135504","135504")</f>
        <v>135504</v>
      </c>
      <c r="E856" s="22" t="s">
        <v>1432</v>
      </c>
      <c r="F856" s="22" t="s">
        <v>1432</v>
      </c>
      <c r="G856" s="22" t="s">
        <v>94</v>
      </c>
      <c r="H856" s="23" t="str">
        <f>HYPERLINK("http://www.marinespecies.org/aphia.php?p=taxdetails&amp;id=135504","135504")</f>
        <v>135504</v>
      </c>
      <c r="I856" s="22" t="s">
        <v>94</v>
      </c>
      <c r="J856" s="24" t="str">
        <f t="shared" si="5"/>
        <v/>
      </c>
    </row>
    <row r="857">
      <c r="A857" s="22" t="s">
        <v>1433</v>
      </c>
      <c r="B857" s="22">
        <v>16.0</v>
      </c>
      <c r="C857" s="23" t="str">
        <f>HYPERLINK("http://ecotaxoserver.obs-vlfr.fr/browsetaxo/?id=85517","85517")</f>
        <v>85517</v>
      </c>
      <c r="D857" s="23" t="str">
        <f>HYPERLINK("http://www.marinespecies.org/aphia.php?p=taxdetails&amp;id=149056","149056")</f>
        <v>149056</v>
      </c>
      <c r="E857" s="22" t="s">
        <v>281</v>
      </c>
      <c r="F857" s="22" t="s">
        <v>408</v>
      </c>
      <c r="G857" s="22" t="s">
        <v>94</v>
      </c>
      <c r="H857" s="23" t="str">
        <f>HYPERLINK("http://www.marinespecies.org/aphia.php?p=taxdetails&amp;id=149056","149056")</f>
        <v>149056</v>
      </c>
      <c r="I857" s="22" t="s">
        <v>94</v>
      </c>
      <c r="J857" s="24" t="str">
        <f t="shared" si="5"/>
        <v>!=</v>
      </c>
    </row>
    <row r="858">
      <c r="A858" s="22" t="s">
        <v>1434</v>
      </c>
      <c r="B858" s="22">
        <v>1.0</v>
      </c>
      <c r="C858" s="23" t="str">
        <f>HYPERLINK("http://ecotaxoserver.obs-vlfr.fr/browsetaxo/?id=93339","93339")</f>
        <v>93339</v>
      </c>
      <c r="D858" s="23" t="str">
        <f>HYPERLINK("http://www.marinespecies.org/aphia.php?p=taxdetails&amp;id=219334","219334")</f>
        <v>219334</v>
      </c>
      <c r="E858" s="22" t="s">
        <v>1435</v>
      </c>
      <c r="F858" s="22" t="s">
        <v>1435</v>
      </c>
      <c r="G858" s="22" t="s">
        <v>94</v>
      </c>
      <c r="H858" s="23" t="str">
        <f>HYPERLINK("http://www.marinespecies.org/aphia.php?p=taxdetails&amp;id=219334","219334")</f>
        <v>219334</v>
      </c>
      <c r="I858" s="22" t="s">
        <v>94</v>
      </c>
      <c r="J858" s="24" t="str">
        <f t="shared" si="5"/>
        <v/>
      </c>
    </row>
    <row r="859">
      <c r="A859" s="22" t="s">
        <v>1436</v>
      </c>
      <c r="B859" s="22">
        <v>1320.0</v>
      </c>
      <c r="C859" s="23" t="str">
        <f>HYPERLINK("http://ecotaxoserver.obs-vlfr.fr/browsetaxo/?id=28227","28227")</f>
        <v>28227</v>
      </c>
      <c r="D859" s="23" t="str">
        <f>HYPERLINK("http://www.marinespecies.org/aphia.php?p=taxdetails&amp;id=148979","148979")</f>
        <v>148979</v>
      </c>
      <c r="E859" s="22" t="s">
        <v>281</v>
      </c>
      <c r="F859" s="22" t="s">
        <v>1437</v>
      </c>
      <c r="G859" s="22" t="s">
        <v>94</v>
      </c>
      <c r="H859" s="23" t="str">
        <f>HYPERLINK("http://www.marinespecies.org/aphia.php?p=taxdetails&amp;id=148979","148979")</f>
        <v>148979</v>
      </c>
      <c r="I859" s="22" t="s">
        <v>94</v>
      </c>
      <c r="J859" s="24" t="str">
        <f t="shared" si="5"/>
        <v>!=</v>
      </c>
    </row>
    <row r="860">
      <c r="A860" s="22" t="s">
        <v>1438</v>
      </c>
      <c r="B860" s="22">
        <v>1.0</v>
      </c>
      <c r="C860" s="23" t="str">
        <f>HYPERLINK("http://ecotaxoserver.obs-vlfr.fr/browsetaxo/?id=16696","16696")</f>
        <v>16696</v>
      </c>
      <c r="D860" s="23" t="str">
        <f>HYPERLINK("http://www.marinespecies.org/aphia.php?p=taxdetails&amp;id=22585","22585")</f>
        <v>22585</v>
      </c>
      <c r="E860" s="22" t="s">
        <v>667</v>
      </c>
      <c r="F860" s="22" t="s">
        <v>668</v>
      </c>
      <c r="G860" s="22" t="s">
        <v>94</v>
      </c>
      <c r="H860" s="23" t="str">
        <f>HYPERLINK("http://www.marinespecies.org/aphia.php?p=taxdetails&amp;id=22585","22585")</f>
        <v>22585</v>
      </c>
      <c r="I860" s="22" t="s">
        <v>94</v>
      </c>
      <c r="J860" s="24" t="str">
        <f t="shared" si="5"/>
        <v>!=</v>
      </c>
    </row>
    <row r="861">
      <c r="A861" s="22" t="s">
        <v>1439</v>
      </c>
      <c r="B861" s="22">
        <v>23.0</v>
      </c>
      <c r="C861" s="23" t="str">
        <f>HYPERLINK("http://ecotaxoserver.obs-vlfr.fr/browsetaxo/?id=11489","11489")</f>
        <v>11489</v>
      </c>
      <c r="D861" s="23" t="str">
        <f>HYPERLINK("http://www.marinespecies.org/aphia.php?p=taxdetails&amp;id=793","793")</f>
        <v>793</v>
      </c>
      <c r="E861" s="22" t="s">
        <v>223</v>
      </c>
      <c r="F861" s="22" t="s">
        <v>224</v>
      </c>
      <c r="G861" s="22" t="s">
        <v>94</v>
      </c>
      <c r="H861" s="23" t="str">
        <f>HYPERLINK("http://www.marinespecies.org/aphia.php?p=taxdetails&amp;id=793","793")</f>
        <v>793</v>
      </c>
      <c r="I861" s="22" t="s">
        <v>94</v>
      </c>
      <c r="J861" s="24" t="str">
        <f t="shared" si="5"/>
        <v>!=</v>
      </c>
    </row>
    <row r="862">
      <c r="A862" s="28" t="s">
        <v>1440</v>
      </c>
      <c r="C862" s="23" t="str">
        <f>HYPERLINK("http://ecotaxoserver.obs-vlfr.fr/browsetaxo/?id=13857","13857")</f>
        <v>13857</v>
      </c>
      <c r="D862" s="23" t="str">
        <f>HYPERLINK("http://www.marinespecies.org/aphia.php?p=taxdetails&amp;id=414866","414866")</f>
        <v>414866</v>
      </c>
      <c r="H862" s="23" t="str">
        <f>HYPERLINK("http://www.marinespecies.org/aphia.php?p=taxdetails&amp;id=414866","414866")</f>
        <v>414866</v>
      </c>
      <c r="J862" s="24"/>
    </row>
    <row r="863">
      <c r="A863" s="22" t="s">
        <v>113</v>
      </c>
      <c r="B863" s="22">
        <v>76.0</v>
      </c>
      <c r="C863" s="23" t="str">
        <f>HYPERLINK("http://ecotaxoserver.obs-vlfr.fr/browsetaxo/?id=78372","78372")</f>
        <v>78372</v>
      </c>
      <c r="D863" s="23" t="str">
        <f>HYPERLINK("http://www.marinespecies.org/aphia.php?p=taxdetails&amp;id=106670","106670")</f>
        <v>106670</v>
      </c>
      <c r="E863" s="22" t="s">
        <v>701</v>
      </c>
      <c r="F863" s="22" t="s">
        <v>701</v>
      </c>
      <c r="G863" s="22" t="s">
        <v>94</v>
      </c>
      <c r="H863" s="23" t="str">
        <f>HYPERLINK("http://www.marinespecies.org/aphia.php?p=taxdetails&amp;id=106670","106670")</f>
        <v>106670</v>
      </c>
      <c r="I863" s="22" t="s">
        <v>94</v>
      </c>
      <c r="J863" s="24" t="str">
        <f t="shared" ref="J863:J1016" si="6">IF(E863&lt;&gt;F863,"!=","")</f>
        <v/>
      </c>
    </row>
    <row r="864">
      <c r="A864" s="22" t="s">
        <v>1441</v>
      </c>
      <c r="B864" s="22">
        <v>1.0</v>
      </c>
      <c r="C864" s="23" t="str">
        <f>HYPERLINK("http://ecotaxoserver.obs-vlfr.fr/browsetaxo/?id=26057","26057")</f>
        <v>26057</v>
      </c>
      <c r="D864" s="23" t="str">
        <f>HYPERLINK("http://www.marinespecies.org/aphia.php?p=taxdetails&amp;id=106324","106324")</f>
        <v>106324</v>
      </c>
      <c r="E864" s="22" t="s">
        <v>666</v>
      </c>
      <c r="F864" s="22" t="s">
        <v>666</v>
      </c>
      <c r="G864" s="22" t="s">
        <v>94</v>
      </c>
      <c r="H864" s="23" t="str">
        <f>HYPERLINK("http://www.marinespecies.org/aphia.php?p=taxdetails&amp;id=106324","106324")</f>
        <v>106324</v>
      </c>
      <c r="I864" s="22" t="s">
        <v>94</v>
      </c>
      <c r="J864" s="24" t="str">
        <f t="shared" si="6"/>
        <v/>
      </c>
    </row>
    <row r="865">
      <c r="A865" s="22" t="s">
        <v>1442</v>
      </c>
      <c r="B865" s="22">
        <v>1.0</v>
      </c>
      <c r="C865" s="23" t="str">
        <f>HYPERLINK("http://ecotaxoserver.obs-vlfr.fr/browsetaxo/?id=93316","93316")</f>
        <v>93316</v>
      </c>
      <c r="D865" s="23" t="str">
        <f>HYPERLINK("http://www.marinespecies.org/aphia.php?p=taxdetails&amp;id=535697","535697")</f>
        <v>535697</v>
      </c>
      <c r="E865" s="22" t="s">
        <v>1443</v>
      </c>
      <c r="F865" s="22" t="s">
        <v>1443</v>
      </c>
      <c r="G865" s="22" t="s">
        <v>94</v>
      </c>
      <c r="H865" s="23" t="str">
        <f>HYPERLINK("http://www.marinespecies.org/aphia.php?p=taxdetails&amp;id=535697","535697")</f>
        <v>535697</v>
      </c>
      <c r="I865" s="22" t="s">
        <v>94</v>
      </c>
      <c r="J865" s="24" t="str">
        <f t="shared" si="6"/>
        <v/>
      </c>
    </row>
    <row r="866">
      <c r="A866" s="22" t="s">
        <v>1444</v>
      </c>
      <c r="B866" s="22">
        <v>5896.0</v>
      </c>
      <c r="C866" s="23" t="str">
        <f>HYPERLINK("http://ecotaxoserver.obs-vlfr.fr/browsetaxo/?id=80154","80154")</f>
        <v>80154</v>
      </c>
      <c r="D866" s="23" t="str">
        <f>HYPERLINK("http://www.marinespecies.org/aphia.php?p=taxdetails&amp;id=104191","104191")</f>
        <v>104191</v>
      </c>
      <c r="E866" s="22" t="s">
        <v>1189</v>
      </c>
      <c r="F866" s="22" t="s">
        <v>1189</v>
      </c>
      <c r="G866" s="22" t="s">
        <v>94</v>
      </c>
      <c r="H866" s="23" t="str">
        <f>HYPERLINK("http://www.marinespecies.org/aphia.php?p=taxdetails&amp;id=104191","104191")</f>
        <v>104191</v>
      </c>
      <c r="I866" s="22" t="s">
        <v>94</v>
      </c>
      <c r="J866" s="24" t="str">
        <f t="shared" si="6"/>
        <v/>
      </c>
    </row>
    <row r="867">
      <c r="A867" s="22" t="s">
        <v>1445</v>
      </c>
      <c r="B867" s="22">
        <v>49.0</v>
      </c>
      <c r="C867" s="23" t="str">
        <f>HYPERLINK("http://ecotaxoserver.obs-vlfr.fr/browsetaxo/?id=82507","82507")</f>
        <v>82507</v>
      </c>
      <c r="D867" s="23" t="str">
        <f>HYPERLINK("http://www.marinespecies.org/aphia.php?p=taxdetails&amp;id=104643","104643")</f>
        <v>104643</v>
      </c>
      <c r="E867" s="22" t="s">
        <v>1444</v>
      </c>
      <c r="F867" s="22" t="s">
        <v>1444</v>
      </c>
      <c r="G867" s="22" t="s">
        <v>94</v>
      </c>
      <c r="H867" s="23" t="str">
        <f>HYPERLINK("http://www.marinespecies.org/aphia.php?p=taxdetails&amp;id=104643","104643")</f>
        <v>104643</v>
      </c>
      <c r="I867" s="22" t="s">
        <v>94</v>
      </c>
      <c r="J867" s="24" t="str">
        <f t="shared" si="6"/>
        <v/>
      </c>
    </row>
    <row r="868">
      <c r="A868" s="22" t="s">
        <v>1446</v>
      </c>
      <c r="B868" s="22">
        <v>1462.0</v>
      </c>
      <c r="C868" s="23" t="str">
        <f>HYPERLINK("http://ecotaxoserver.obs-vlfr.fr/browsetaxo/?id=84803","84803")</f>
        <v>84803</v>
      </c>
      <c r="D868" s="23" t="str">
        <f>HYPERLINK("http://www.marinespecies.org/aphia.php?p=taxdetails&amp;id=387315","387315")</f>
        <v>387315</v>
      </c>
      <c r="E868" s="22" t="s">
        <v>1218</v>
      </c>
      <c r="F868" s="22" t="s">
        <v>1218</v>
      </c>
      <c r="G868" s="22" t="s">
        <v>94</v>
      </c>
      <c r="H868" s="23" t="str">
        <f>HYPERLINK("http://www.marinespecies.org/aphia.php?p=taxdetails&amp;id=387315","387315")</f>
        <v>387315</v>
      </c>
      <c r="I868" s="22" t="s">
        <v>94</v>
      </c>
      <c r="J868" s="24" t="str">
        <f t="shared" si="6"/>
        <v/>
      </c>
    </row>
    <row r="869">
      <c r="A869" s="22" t="s">
        <v>117</v>
      </c>
      <c r="B869" s="22">
        <v>9.0</v>
      </c>
      <c r="C869" s="23" t="str">
        <f>HYPERLINK("http://ecotaxoserver.obs-vlfr.fr/browsetaxo/?id=93156","93156")</f>
        <v>93156</v>
      </c>
      <c r="D869" s="23" t="str">
        <f>HYPERLINK("http://www.marinespecies.org/aphia.php?p=taxdetails&amp;id=10331","10331")</f>
        <v>10331</v>
      </c>
      <c r="E869" s="22" t="s">
        <v>132</v>
      </c>
      <c r="F869" s="22" t="s">
        <v>132</v>
      </c>
      <c r="G869" s="22" t="s">
        <v>94</v>
      </c>
      <c r="H869" s="23" t="str">
        <f>HYPERLINK("http://www.marinespecies.org/aphia.php?p=taxdetails&amp;id=10331","10331")</f>
        <v>10331</v>
      </c>
      <c r="I869" s="22" t="s">
        <v>94</v>
      </c>
      <c r="J869" s="24" t="str">
        <f t="shared" si="6"/>
        <v/>
      </c>
    </row>
    <row r="870">
      <c r="A870" s="22" t="s">
        <v>1447</v>
      </c>
      <c r="B870" s="22">
        <v>1238.0</v>
      </c>
      <c r="C870" s="23" t="str">
        <f>HYPERLINK("http://ecotaxoserver.obs-vlfr.fr/browsetaxo/?id=28144","28144")</f>
        <v>28144</v>
      </c>
      <c r="D870" s="23" t="str">
        <f>HYPERLINK("http://www.marinespecies.org/aphia.php?p=taxdetails&amp;id=149181","149181")</f>
        <v>149181</v>
      </c>
      <c r="E870" s="22" t="s">
        <v>119</v>
      </c>
      <c r="F870" s="22" t="s">
        <v>944</v>
      </c>
      <c r="G870" s="22" t="s">
        <v>94</v>
      </c>
      <c r="H870" s="23" t="str">
        <f>HYPERLINK("http://www.marinespecies.org/aphia.php?p=taxdetails&amp;id=149181","149181")</f>
        <v>149181</v>
      </c>
      <c r="I870" s="22" t="s">
        <v>94</v>
      </c>
      <c r="J870" s="24" t="str">
        <f t="shared" si="6"/>
        <v>!=</v>
      </c>
    </row>
    <row r="871">
      <c r="A871" s="22" t="s">
        <v>1448</v>
      </c>
      <c r="B871" s="22">
        <v>2.0</v>
      </c>
      <c r="C871" s="23" t="str">
        <f>HYPERLINK("http://ecotaxoserver.obs-vlfr.fr/browsetaxo/?id=56543","56543")</f>
        <v>56543</v>
      </c>
      <c r="D871" s="23" t="str">
        <f>HYPERLINK("http://www.marinespecies.org/aphia.php?p=taxdetails&amp;id=165","165")</f>
        <v>165</v>
      </c>
      <c r="E871" s="22" t="s">
        <v>550</v>
      </c>
      <c r="F871" s="22" t="s">
        <v>551</v>
      </c>
      <c r="G871" s="22" t="s">
        <v>94</v>
      </c>
      <c r="H871" s="23" t="str">
        <f>HYPERLINK("http://www.marinespecies.org/aphia.php?p=taxdetails&amp;id=165","165")</f>
        <v>165</v>
      </c>
      <c r="I871" s="22" t="s">
        <v>94</v>
      </c>
      <c r="J871" s="24" t="str">
        <f t="shared" si="6"/>
        <v>!=</v>
      </c>
    </row>
    <row r="872">
      <c r="A872" s="22" t="s">
        <v>1449</v>
      </c>
      <c r="B872" s="22">
        <v>16.0</v>
      </c>
      <c r="C872" s="23" t="str">
        <f>HYPERLINK("http://ecotaxoserver.obs-vlfr.fr/browsetaxo/?id=81334","81334")</f>
        <v>81334</v>
      </c>
      <c r="D872" s="23" t="str">
        <f>HYPERLINK("http://www.marinespecies.org/aphia.php?p=taxdetails&amp;id=206938","206938")</f>
        <v>206938</v>
      </c>
      <c r="E872" s="22" t="s">
        <v>1450</v>
      </c>
      <c r="F872" s="22" t="s">
        <v>1450</v>
      </c>
      <c r="G872" s="22" t="s">
        <v>94</v>
      </c>
      <c r="H872" s="23" t="str">
        <f>HYPERLINK("http://www.marinespecies.org/aphia.php?p=taxdetails&amp;id=206938","206938")</f>
        <v>206938</v>
      </c>
      <c r="I872" s="22" t="s">
        <v>94</v>
      </c>
      <c r="J872" s="24" t="str">
        <f t="shared" si="6"/>
        <v/>
      </c>
    </row>
    <row r="873">
      <c r="A873" s="22" t="s">
        <v>351</v>
      </c>
      <c r="B873" s="22">
        <v>2.0</v>
      </c>
      <c r="C873" s="23" t="str">
        <f>HYPERLINK("http://ecotaxoserver.obs-vlfr.fr/browsetaxo/?id=31795","31795")</f>
        <v>31795</v>
      </c>
      <c r="D873" s="23" t="str">
        <f>HYPERLINK("http://www.marinespecies.org/aphia.php?p=taxdetails&amp;id=231806","231806")</f>
        <v>231806</v>
      </c>
      <c r="E873" s="22" t="s">
        <v>1399</v>
      </c>
      <c r="F873" s="22" t="s">
        <v>1399</v>
      </c>
      <c r="G873" s="22" t="s">
        <v>94</v>
      </c>
      <c r="H873" s="23" t="str">
        <f>HYPERLINK("http://www.marinespecies.org/aphia.php?p=taxdetails&amp;id=231806","231806")</f>
        <v>231806</v>
      </c>
      <c r="I873" s="22" t="s">
        <v>94</v>
      </c>
      <c r="J873" s="24" t="str">
        <f t="shared" si="6"/>
        <v/>
      </c>
    </row>
    <row r="874">
      <c r="A874" s="22" t="s">
        <v>1451</v>
      </c>
      <c r="B874" s="22">
        <v>46.0</v>
      </c>
      <c r="C874" s="23" t="str">
        <f>HYPERLINK("http://ecotaxoserver.obs-vlfr.fr/browsetaxo/?id=78939","78939")</f>
        <v>78939</v>
      </c>
      <c r="D874" s="23" t="str">
        <f>HYPERLINK("http://www.marinespecies.org/aphia.php?p=taxdetails&amp;id=110199","110199")</f>
        <v>110199</v>
      </c>
      <c r="E874" s="22" t="s">
        <v>1452</v>
      </c>
      <c r="F874" s="22" t="s">
        <v>1452</v>
      </c>
      <c r="G874" s="22" t="s">
        <v>94</v>
      </c>
      <c r="H874" s="23" t="str">
        <f>HYPERLINK("http://www.marinespecies.org/aphia.php?p=taxdetails&amp;id=110199","110199")</f>
        <v>110199</v>
      </c>
      <c r="I874" s="22" t="s">
        <v>94</v>
      </c>
      <c r="J874" s="24" t="str">
        <f t="shared" si="6"/>
        <v/>
      </c>
    </row>
    <row r="875">
      <c r="A875" s="22" t="s">
        <v>1453</v>
      </c>
      <c r="B875" s="22">
        <v>35.0</v>
      </c>
      <c r="C875" s="23" t="str">
        <f>HYPERLINK("http://ecotaxoserver.obs-vlfr.fr/browsetaxo/?id=31633","31633")</f>
        <v>31633</v>
      </c>
      <c r="D875" s="23" t="str">
        <f>HYPERLINK("http://www.marinespecies.org/aphia.php?p=taxdetails&amp;id=232625","232625")</f>
        <v>232625</v>
      </c>
      <c r="E875" s="22" t="s">
        <v>1452</v>
      </c>
      <c r="F875" s="22" t="s">
        <v>1452</v>
      </c>
      <c r="G875" s="22" t="s">
        <v>94</v>
      </c>
      <c r="H875" s="23" t="str">
        <f>HYPERLINK("http://www.marinespecies.org/aphia.php?p=taxdetails&amp;id=232625","232625")</f>
        <v>232625</v>
      </c>
      <c r="I875" s="22" t="s">
        <v>94</v>
      </c>
      <c r="J875" s="24" t="str">
        <f t="shared" si="6"/>
        <v/>
      </c>
    </row>
    <row r="876">
      <c r="A876" s="22" t="s">
        <v>1454</v>
      </c>
      <c r="B876" s="22">
        <v>3.0</v>
      </c>
      <c r="C876" s="23" t="str">
        <f>HYPERLINK("http://ecotaxoserver.obs-vlfr.fr/browsetaxo/?id=31632","31632")</f>
        <v>31632</v>
      </c>
      <c r="D876" s="23" t="str">
        <f>HYPERLINK("http://www.marinespecies.org/aphia.php?p=taxdetails&amp;id=110202","110202")</f>
        <v>110202</v>
      </c>
      <c r="E876" s="22" t="s">
        <v>1452</v>
      </c>
      <c r="F876" s="22" t="s">
        <v>1452</v>
      </c>
      <c r="G876" s="22" t="s">
        <v>94</v>
      </c>
      <c r="H876" s="23" t="str">
        <f>HYPERLINK("http://www.marinespecies.org/aphia.php?p=taxdetails&amp;id=110202","110202")</f>
        <v>110202</v>
      </c>
      <c r="I876" s="22" t="s">
        <v>94</v>
      </c>
      <c r="J876" s="24" t="str">
        <f t="shared" si="6"/>
        <v/>
      </c>
    </row>
    <row r="877">
      <c r="A877" s="22" t="s">
        <v>1455</v>
      </c>
      <c r="B877" s="22">
        <v>13665.0</v>
      </c>
      <c r="C877" s="23" t="str">
        <f>HYPERLINK("http://ecotaxoserver.obs-vlfr.fr/browsetaxo/?id=81940","81940")</f>
        <v>81940</v>
      </c>
      <c r="D877" s="23" t="str">
        <f>HYPERLINK("http://www.marinespecies.org/aphia.php?p=taxdetails&amp;id=106269","106269")</f>
        <v>106269</v>
      </c>
      <c r="E877" s="22" t="s">
        <v>853</v>
      </c>
      <c r="F877" s="22" t="s">
        <v>853</v>
      </c>
      <c r="G877" s="22" t="s">
        <v>94</v>
      </c>
      <c r="H877" s="23" t="str">
        <f>HYPERLINK("http://www.marinespecies.org/aphia.php?p=taxdetails&amp;id=106269","106269")</f>
        <v>106269</v>
      </c>
      <c r="I877" s="22" t="s">
        <v>94</v>
      </c>
      <c r="J877" s="24" t="str">
        <f t="shared" si="6"/>
        <v/>
      </c>
    </row>
    <row r="878">
      <c r="A878" s="22" t="s">
        <v>1456</v>
      </c>
      <c r="B878" s="22">
        <v>239.0</v>
      </c>
      <c r="C878" s="23" t="str">
        <f>HYPERLINK("http://ecotaxoserver.obs-vlfr.fr/browsetaxo/?id=83848","83848")</f>
        <v>83848</v>
      </c>
      <c r="D878" s="23" t="str">
        <f>HYPERLINK("http://www.marinespecies.org/aphia.php?p=taxdetails&amp;id=106276","106276")</f>
        <v>106276</v>
      </c>
      <c r="E878" s="22" t="s">
        <v>1455</v>
      </c>
      <c r="F878" s="22" t="s">
        <v>1455</v>
      </c>
      <c r="G878" s="22" t="s">
        <v>94</v>
      </c>
      <c r="H878" s="23" t="str">
        <f>HYPERLINK("http://www.marinespecies.org/aphia.php?p=taxdetails&amp;id=106276","106276")</f>
        <v>106276</v>
      </c>
      <c r="I878" s="22" t="s">
        <v>94</v>
      </c>
      <c r="J878" s="24" t="str">
        <f t="shared" si="6"/>
        <v/>
      </c>
    </row>
    <row r="879">
      <c r="A879" s="22" t="s">
        <v>1457</v>
      </c>
      <c r="B879" s="22">
        <v>128.0</v>
      </c>
      <c r="C879" s="23" t="str">
        <f>HYPERLINK("http://ecotaxoserver.obs-vlfr.fr/browsetaxo/?id=83847","83847")</f>
        <v>83847</v>
      </c>
      <c r="D879" s="23" t="str">
        <f>HYPERLINK("http://www.marinespecies.org/aphia.php?p=taxdetails&amp;id=106277","106277")</f>
        <v>106277</v>
      </c>
      <c r="E879" s="22" t="s">
        <v>1455</v>
      </c>
      <c r="F879" s="22" t="s">
        <v>1455</v>
      </c>
      <c r="G879" s="22" t="s">
        <v>94</v>
      </c>
      <c r="H879" s="23" t="str">
        <f>HYPERLINK("http://www.marinespecies.org/aphia.php?p=taxdetails&amp;id=106277","106277")</f>
        <v>106277</v>
      </c>
      <c r="I879" s="22" t="s">
        <v>94</v>
      </c>
      <c r="J879" s="24" t="str">
        <f t="shared" si="6"/>
        <v/>
      </c>
    </row>
    <row r="880">
      <c r="A880" s="22" t="s">
        <v>853</v>
      </c>
      <c r="B880" s="22">
        <v>263.0</v>
      </c>
      <c r="C880" s="23" t="str">
        <f>HYPERLINK("http://ecotaxoserver.obs-vlfr.fr/browsetaxo/?id=78391","78391")</f>
        <v>78391</v>
      </c>
      <c r="D880" s="23" t="str">
        <f>HYPERLINK("http://www.marinespecies.org/aphia.php?p=taxdetails&amp;id=106264","106264")</f>
        <v>106264</v>
      </c>
      <c r="E880" s="22" t="s">
        <v>357</v>
      </c>
      <c r="F880" s="22" t="s">
        <v>1458</v>
      </c>
      <c r="G880" s="22" t="s">
        <v>94</v>
      </c>
      <c r="H880" s="23" t="str">
        <f>HYPERLINK("http://www.marinespecies.org/aphia.php?p=taxdetails&amp;id=106264","106264")</f>
        <v>106264</v>
      </c>
      <c r="I880" s="22" t="s">
        <v>94</v>
      </c>
      <c r="J880" s="24" t="str">
        <f t="shared" si="6"/>
        <v>!=</v>
      </c>
    </row>
    <row r="881">
      <c r="A881" s="22" t="s">
        <v>805</v>
      </c>
      <c r="B881" s="22">
        <v>7790.0</v>
      </c>
      <c r="C881" s="23" t="str">
        <f>HYPERLINK("http://ecotaxoserver.obs-vlfr.fr/browsetaxo/?id=12838","12838")</f>
        <v>12838</v>
      </c>
      <c r="D881" s="23" t="str">
        <f>HYPERLINK("http://www.marinespecies.org/aphia.php?p=taxdetails&amp;id=883","883")</f>
        <v>883</v>
      </c>
      <c r="E881" s="22" t="s">
        <v>222</v>
      </c>
      <c r="F881" s="22" t="s">
        <v>222</v>
      </c>
      <c r="G881" s="22" t="s">
        <v>94</v>
      </c>
      <c r="H881" s="23" t="str">
        <f>HYPERLINK("http://www.marinespecies.org/aphia.php?p=taxdetails&amp;id=883","883")</f>
        <v>883</v>
      </c>
      <c r="I881" s="22" t="s">
        <v>94</v>
      </c>
      <c r="J881" s="24" t="str">
        <f t="shared" si="6"/>
        <v/>
      </c>
    </row>
    <row r="882">
      <c r="A882" s="22" t="s">
        <v>1459</v>
      </c>
      <c r="B882" s="22">
        <v>1.0</v>
      </c>
      <c r="C882" s="23" t="str">
        <f>HYPERLINK("http://ecotaxoserver.obs-vlfr.fr/browsetaxo/?id=93371","93371")</f>
        <v>93371</v>
      </c>
      <c r="D882" s="23" t="str">
        <f>HYPERLINK("http://www.marinespecies.org/aphia.php?p=taxdetails&amp;id=159849","159849")</f>
        <v>159849</v>
      </c>
      <c r="E882" s="22" t="s">
        <v>1460</v>
      </c>
      <c r="F882" s="22" t="s">
        <v>1460</v>
      </c>
      <c r="G882" s="22" t="s">
        <v>94</v>
      </c>
      <c r="H882" s="23" t="str">
        <f>HYPERLINK("http://www.marinespecies.org/aphia.php?p=taxdetails&amp;id=159849","159849")</f>
        <v>159849</v>
      </c>
      <c r="I882" s="22" t="s">
        <v>94</v>
      </c>
      <c r="J882" s="24" t="str">
        <f t="shared" si="6"/>
        <v/>
      </c>
    </row>
    <row r="883">
      <c r="A883" s="22" t="s">
        <v>1461</v>
      </c>
      <c r="B883" s="22">
        <v>418.0</v>
      </c>
      <c r="C883" s="23" t="str">
        <f>HYPERLINK("http://ecotaxoserver.obs-vlfr.fr/browsetaxo/?id=60180","60180")</f>
        <v>60180</v>
      </c>
      <c r="D883" s="23" t="str">
        <f>HYPERLINK("http://www.marinespecies.org/aphia.php?p=taxdetails&amp;id=129619","129619")</f>
        <v>129619</v>
      </c>
      <c r="E883" s="22" t="s">
        <v>489</v>
      </c>
      <c r="F883" s="22" t="s">
        <v>1462</v>
      </c>
      <c r="G883" s="22" t="s">
        <v>94</v>
      </c>
      <c r="H883" s="23" t="str">
        <f>HYPERLINK("http://www.marinespecies.org/aphia.php?p=taxdetails&amp;id=129619","129619")</f>
        <v>129619</v>
      </c>
      <c r="I883" s="22" t="s">
        <v>94</v>
      </c>
      <c r="J883" s="24" t="str">
        <f t="shared" si="6"/>
        <v>!=</v>
      </c>
    </row>
    <row r="884">
      <c r="A884" s="22" t="s">
        <v>1463</v>
      </c>
      <c r="B884" s="22">
        <v>31.0</v>
      </c>
      <c r="C884" s="23" t="str">
        <f>HYPERLINK("http://ecotaxoserver.obs-vlfr.fr/browsetaxo/?id=18809","18809")</f>
        <v>18809</v>
      </c>
      <c r="D884" s="23" t="str">
        <f>HYPERLINK("http://www.marinespecies.org/aphia.php?p=taxdetails&amp;id=109413","109413")</f>
        <v>109413</v>
      </c>
      <c r="E884" s="22" t="s">
        <v>938</v>
      </c>
      <c r="F884" s="22" t="s">
        <v>938</v>
      </c>
      <c r="G884" s="22" t="s">
        <v>94</v>
      </c>
      <c r="H884" s="23" t="str">
        <f>HYPERLINK("http://www.marinespecies.org/aphia.php?p=taxdetails&amp;id=109413","109413")</f>
        <v>109413</v>
      </c>
      <c r="I884" s="22" t="s">
        <v>94</v>
      </c>
      <c r="J884" s="24" t="str">
        <f t="shared" si="6"/>
        <v/>
      </c>
    </row>
    <row r="885">
      <c r="A885" s="22" t="s">
        <v>1464</v>
      </c>
      <c r="B885" s="22">
        <v>1.0</v>
      </c>
      <c r="C885" s="23" t="str">
        <f>HYPERLINK("http://ecotaxoserver.obs-vlfr.fr/browsetaxo/?id=31778","31778")</f>
        <v>31778</v>
      </c>
      <c r="D885" s="23" t="str">
        <f>HYPERLINK("http://www.marinespecies.org/aphia.php?p=taxdetails&amp;id=109485","109485")</f>
        <v>109485</v>
      </c>
      <c r="E885" s="22" t="s">
        <v>1463</v>
      </c>
      <c r="F885" s="22" t="s">
        <v>1463</v>
      </c>
      <c r="G885" s="22" t="s">
        <v>94</v>
      </c>
      <c r="H885" s="23" t="str">
        <f>HYPERLINK("http://www.marinespecies.org/aphia.php?p=taxdetails&amp;id=109485","109485")</f>
        <v>109485</v>
      </c>
      <c r="I885" s="22" t="s">
        <v>94</v>
      </c>
      <c r="J885" s="24" t="str">
        <f t="shared" si="6"/>
        <v/>
      </c>
    </row>
    <row r="886">
      <c r="A886" s="22" t="s">
        <v>1465</v>
      </c>
      <c r="B886" s="22">
        <v>5.0</v>
      </c>
      <c r="C886" s="23" t="str">
        <f>HYPERLINK("http://ecotaxoserver.obs-vlfr.fr/browsetaxo/?id=25633","25633")</f>
        <v>25633</v>
      </c>
      <c r="D886" s="23" t="str">
        <f>HYPERLINK("http://www.marinespecies.org/aphia.php?p=taxdetails&amp;id=939","939")</f>
        <v>939</v>
      </c>
      <c r="E886" s="22" t="s">
        <v>239</v>
      </c>
      <c r="F886" s="22" t="s">
        <v>240</v>
      </c>
      <c r="G886" s="22" t="s">
        <v>94</v>
      </c>
      <c r="H886" s="23" t="str">
        <f>HYPERLINK("http://www.marinespecies.org/aphia.php?p=taxdetails&amp;id=939","939")</f>
        <v>939</v>
      </c>
      <c r="I886" s="22" t="s">
        <v>94</v>
      </c>
      <c r="J886" s="24" t="str">
        <f t="shared" si="6"/>
        <v>!=</v>
      </c>
    </row>
    <row r="887">
      <c r="A887" s="22" t="s">
        <v>1466</v>
      </c>
      <c r="B887" s="22">
        <v>210.0</v>
      </c>
      <c r="C887" s="23" t="str">
        <f>HYPERLINK("http://ecotaxoserver.obs-vlfr.fr/browsetaxo/?id=81942","81942")</f>
        <v>81942</v>
      </c>
      <c r="D887" s="23" t="str">
        <f>HYPERLINK("http://www.marinespecies.org/aphia.php?p=taxdetails&amp;id=409913","409913")</f>
        <v>409913</v>
      </c>
      <c r="E887" s="22" t="s">
        <v>853</v>
      </c>
      <c r="F887" s="22" t="s">
        <v>1467</v>
      </c>
      <c r="G887" s="22" t="s">
        <v>94</v>
      </c>
      <c r="H887" s="23" t="str">
        <f>HYPERLINK("http://www.marinespecies.org/aphia.php?p=taxdetails&amp;id=409913","409913")</f>
        <v>409913</v>
      </c>
      <c r="I887" s="22" t="s">
        <v>94</v>
      </c>
      <c r="J887" s="24" t="str">
        <f t="shared" si="6"/>
        <v>!=</v>
      </c>
    </row>
    <row r="888">
      <c r="A888" s="22" t="s">
        <v>1468</v>
      </c>
      <c r="B888" s="22">
        <v>7.0</v>
      </c>
      <c r="C888" s="23" t="str">
        <f>HYPERLINK("http://ecotaxoserver.obs-vlfr.fr/browsetaxo/?id=92921","92921")</f>
        <v>92921</v>
      </c>
      <c r="D888" s="23" t="str">
        <f>HYPERLINK("http://www.marinespecies.org/aphia.php?p=taxdetails&amp;id=151470","151470")</f>
        <v>151470</v>
      </c>
      <c r="E888" s="22" t="s">
        <v>132</v>
      </c>
      <c r="F888" s="22" t="s">
        <v>242</v>
      </c>
      <c r="G888" s="22" t="s">
        <v>94</v>
      </c>
      <c r="H888" s="23" t="str">
        <f>HYPERLINK("http://www.marinespecies.org/aphia.php?p=taxdetails&amp;id=151470","151470")</f>
        <v>151470</v>
      </c>
      <c r="I888" s="22" t="s">
        <v>94</v>
      </c>
      <c r="J888" s="24" t="str">
        <f t="shared" si="6"/>
        <v>!=</v>
      </c>
    </row>
    <row r="889">
      <c r="A889" s="22" t="s">
        <v>1469</v>
      </c>
      <c r="B889" s="22">
        <v>1.0</v>
      </c>
      <c r="C889" s="23" t="str">
        <f>HYPERLINK("http://ecotaxoserver.obs-vlfr.fr/browsetaxo/?id=92920","92920")</f>
        <v>92920</v>
      </c>
      <c r="D889" s="23" t="str">
        <f>HYPERLINK("http://www.marinespecies.org/aphia.php?p=taxdetails&amp;id=125553","125553")</f>
        <v>125553</v>
      </c>
      <c r="E889" s="22" t="s">
        <v>132</v>
      </c>
      <c r="F889" s="22" t="s">
        <v>1470</v>
      </c>
      <c r="G889" s="22" t="s">
        <v>94</v>
      </c>
      <c r="H889" s="23" t="str">
        <f>HYPERLINK("http://www.marinespecies.org/aphia.php?p=taxdetails&amp;id=125553","125553")</f>
        <v>125553</v>
      </c>
      <c r="I889" s="22" t="s">
        <v>94</v>
      </c>
      <c r="J889" s="24" t="str">
        <f t="shared" si="6"/>
        <v>!=</v>
      </c>
    </row>
    <row r="890">
      <c r="A890" s="22" t="s">
        <v>1471</v>
      </c>
      <c r="B890" s="22">
        <v>7.0</v>
      </c>
      <c r="C890" s="23" t="str">
        <f>HYPERLINK("http://ecotaxoserver.obs-vlfr.fr/browsetaxo/?id=92919","92919")</f>
        <v>92919</v>
      </c>
      <c r="D890" s="23" t="str">
        <f>HYPERLINK("http://www.marinespecies.org/aphia.php?p=taxdetails&amp;id=125554","125554")</f>
        <v>125554</v>
      </c>
      <c r="E890" s="22" t="s">
        <v>132</v>
      </c>
      <c r="F890" s="22" t="s">
        <v>242</v>
      </c>
      <c r="G890" s="22" t="s">
        <v>94</v>
      </c>
      <c r="H890" s="23" t="str">
        <f>HYPERLINK("http://www.marinespecies.org/aphia.php?p=taxdetails&amp;id=125554","125554")</f>
        <v>125554</v>
      </c>
      <c r="I890" s="22" t="s">
        <v>94</v>
      </c>
      <c r="J890" s="24" t="str">
        <f t="shared" si="6"/>
        <v>!=</v>
      </c>
    </row>
    <row r="891">
      <c r="A891" s="22" t="s">
        <v>1472</v>
      </c>
      <c r="B891" s="22">
        <v>89.0</v>
      </c>
      <c r="C891" s="23" t="str">
        <f>HYPERLINK("http://ecotaxoserver.obs-vlfr.fr/browsetaxo/?id=80168","80168")</f>
        <v>80168</v>
      </c>
      <c r="D891" s="23" t="str">
        <f>HYPERLINK("http://www.marinespecies.org/aphia.php?p=taxdetails&amp;id=104209","104209")</f>
        <v>104209</v>
      </c>
      <c r="E891" s="22" t="s">
        <v>1052</v>
      </c>
      <c r="F891" s="22" t="s">
        <v>1052</v>
      </c>
      <c r="G891" s="22" t="s">
        <v>94</v>
      </c>
      <c r="H891" s="23" t="str">
        <f>HYPERLINK("http://www.marinespecies.org/aphia.php?p=taxdetails&amp;id=104209","104209")</f>
        <v>104209</v>
      </c>
      <c r="I891" s="22" t="s">
        <v>94</v>
      </c>
      <c r="J891" s="24" t="str">
        <f t="shared" si="6"/>
        <v/>
      </c>
    </row>
    <row r="892">
      <c r="A892" s="22" t="s">
        <v>1052</v>
      </c>
      <c r="B892" s="22">
        <v>23075.0</v>
      </c>
      <c r="C892" s="23" t="str">
        <f>HYPERLINK("http://ecotaxoserver.obs-vlfr.fr/browsetaxo/?id=61980","61980")</f>
        <v>61980</v>
      </c>
      <c r="D892" s="23" t="str">
        <f>HYPERLINK("http://www.marinespecies.org/aphia.php?p=taxdetails&amp;id=104097","104097")</f>
        <v>104097</v>
      </c>
      <c r="E892" s="22" t="s">
        <v>111</v>
      </c>
      <c r="F892" s="22" t="s">
        <v>111</v>
      </c>
      <c r="G892" s="22" t="s">
        <v>94</v>
      </c>
      <c r="H892" s="23" t="str">
        <f>HYPERLINK("http://www.marinespecies.org/aphia.php?p=taxdetails&amp;id=104097","104097")</f>
        <v>104097</v>
      </c>
      <c r="I892" s="22" t="s">
        <v>94</v>
      </c>
      <c r="J892" s="24" t="str">
        <f t="shared" si="6"/>
        <v/>
      </c>
    </row>
    <row r="893">
      <c r="A893" s="22" t="s">
        <v>1473</v>
      </c>
      <c r="B893" s="22">
        <v>3.0</v>
      </c>
      <c r="C893" s="23" t="str">
        <f>HYPERLINK("http://ecotaxoserver.obs-vlfr.fr/browsetaxo/?id=80167","80167")</f>
        <v>80167</v>
      </c>
      <c r="D893" s="23" t="str">
        <f>HYPERLINK("http://www.marinespecies.org/aphia.php?p=taxdetails&amp;id=104210","104210")</f>
        <v>104210</v>
      </c>
      <c r="E893" s="22" t="s">
        <v>1052</v>
      </c>
      <c r="F893" s="22" t="s">
        <v>1052</v>
      </c>
      <c r="G893" s="22" t="s">
        <v>94</v>
      </c>
      <c r="H893" s="23" t="str">
        <f>HYPERLINK("http://www.marinespecies.org/aphia.php?p=taxdetails&amp;id=104210","104210")</f>
        <v>104210</v>
      </c>
      <c r="I893" s="22" t="s">
        <v>94</v>
      </c>
      <c r="J893" s="24" t="str">
        <f t="shared" si="6"/>
        <v/>
      </c>
    </row>
    <row r="894">
      <c r="A894" s="22" t="s">
        <v>1474</v>
      </c>
      <c r="B894" s="22">
        <v>283.0</v>
      </c>
      <c r="C894" s="23" t="str">
        <f>HYPERLINK("http://ecotaxoserver.obs-vlfr.fr/browsetaxo/?id=82530","82530")</f>
        <v>82530</v>
      </c>
      <c r="D894" s="23" t="str">
        <f>HYPERLINK("http://www.marinespecies.org/aphia.php?p=taxdetails&amp;id=104743","104743")</f>
        <v>104743</v>
      </c>
      <c r="E894" s="22" t="s">
        <v>1473</v>
      </c>
      <c r="F894" s="22" t="s">
        <v>1473</v>
      </c>
      <c r="G894" s="22" t="s">
        <v>94</v>
      </c>
      <c r="H894" s="23" t="str">
        <f>HYPERLINK("http://www.marinespecies.org/aphia.php?p=taxdetails&amp;id=104743","104743")</f>
        <v>104743</v>
      </c>
      <c r="I894" s="22" t="s">
        <v>94</v>
      </c>
      <c r="J894" s="24" t="str">
        <f t="shared" si="6"/>
        <v/>
      </c>
    </row>
    <row r="895">
      <c r="A895" s="22" t="s">
        <v>1475</v>
      </c>
      <c r="B895" s="22">
        <v>520.0</v>
      </c>
      <c r="C895" s="23" t="str">
        <f>HYPERLINK("http://ecotaxoserver.obs-vlfr.fr/browsetaxo/?id=83501","83501")</f>
        <v>83501</v>
      </c>
      <c r="D895" s="23" t="str">
        <f>HYPERLINK("http://www.marinespecies.org/aphia.php?p=taxdetails&amp;id=106734","106734")</f>
        <v>106734</v>
      </c>
      <c r="E895" s="22" t="s">
        <v>225</v>
      </c>
      <c r="F895" s="22" t="s">
        <v>888</v>
      </c>
      <c r="G895" s="22" t="s">
        <v>94</v>
      </c>
      <c r="H895" s="23" t="str">
        <f>HYPERLINK("http://www.marinespecies.org/aphia.php?p=taxdetails&amp;id=106734","106734")</f>
        <v>106734</v>
      </c>
      <c r="I895" s="22" t="s">
        <v>94</v>
      </c>
      <c r="J895" s="24" t="str">
        <f t="shared" si="6"/>
        <v>!=</v>
      </c>
    </row>
    <row r="896">
      <c r="A896" s="22" t="s">
        <v>1476</v>
      </c>
      <c r="B896" s="22">
        <v>3.0</v>
      </c>
      <c r="C896" s="23" t="str">
        <f>HYPERLINK("http://ecotaxoserver.obs-vlfr.fr/browsetaxo/?id=11488","11488")</f>
        <v>11488</v>
      </c>
      <c r="D896" s="23" t="str">
        <f>HYPERLINK("http://www.marinespecies.org/aphia.php?p=taxdetails&amp;id=558","558")</f>
        <v>558</v>
      </c>
      <c r="E896" s="22" t="s">
        <v>223</v>
      </c>
      <c r="F896" s="22" t="s">
        <v>224</v>
      </c>
      <c r="G896" s="22" t="s">
        <v>94</v>
      </c>
      <c r="H896" s="23" t="str">
        <f>HYPERLINK("http://www.marinespecies.org/aphia.php?p=taxdetails&amp;id=558","558")</f>
        <v>558</v>
      </c>
      <c r="I896" s="22" t="s">
        <v>94</v>
      </c>
      <c r="J896" s="24" t="str">
        <f t="shared" si="6"/>
        <v>!=</v>
      </c>
    </row>
    <row r="897">
      <c r="A897" s="22" t="s">
        <v>1477</v>
      </c>
      <c r="B897" s="22">
        <v>7.0</v>
      </c>
      <c r="C897" s="23" t="str">
        <f>HYPERLINK("http://ecotaxoserver.obs-vlfr.fr/browsetaxo/?id=81444","81444")</f>
        <v>81444</v>
      </c>
      <c r="D897" s="23" t="str">
        <f>HYPERLINK("http://www.marinespecies.org/aphia.php?p=taxdetails&amp;id=206485","206485")</f>
        <v>206485</v>
      </c>
      <c r="E897" s="22" t="s">
        <v>1478</v>
      </c>
      <c r="F897" s="22" t="s">
        <v>1478</v>
      </c>
      <c r="G897" s="22" t="s">
        <v>94</v>
      </c>
      <c r="H897" s="23" t="str">
        <f>HYPERLINK("http://www.marinespecies.org/aphia.php?p=taxdetails&amp;id=206485","206485")</f>
        <v>206485</v>
      </c>
      <c r="I897" s="22" t="s">
        <v>94</v>
      </c>
      <c r="J897" s="24" t="str">
        <f t="shared" si="6"/>
        <v/>
      </c>
    </row>
    <row r="898">
      <c r="A898" s="22" t="s">
        <v>1479</v>
      </c>
      <c r="B898" s="22">
        <v>453.0</v>
      </c>
      <c r="C898" s="23" t="str">
        <f>HYPERLINK("http://ecotaxoserver.obs-vlfr.fr/browsetaxo/?id=92706","92706")</f>
        <v>92706</v>
      </c>
      <c r="D898" s="23" t="str">
        <f>HYPERLINK("http://www.marinespecies.org/aphia.php?p=taxdetails&amp;id=415852","415852")</f>
        <v>415852</v>
      </c>
      <c r="E898" s="22" t="s">
        <v>1480</v>
      </c>
      <c r="F898" s="22" t="s">
        <v>566</v>
      </c>
      <c r="G898" s="22" t="s">
        <v>94</v>
      </c>
      <c r="H898" s="23" t="str">
        <f>HYPERLINK("http://www.marinespecies.org/aphia.php?p=taxdetails&amp;id=415852","415852")</f>
        <v>415852</v>
      </c>
      <c r="I898" s="22" t="s">
        <v>94</v>
      </c>
      <c r="J898" s="24" t="str">
        <f t="shared" si="6"/>
        <v>!=</v>
      </c>
    </row>
    <row r="899">
      <c r="A899" s="22" t="s">
        <v>1481</v>
      </c>
      <c r="B899" s="22">
        <v>17.0</v>
      </c>
      <c r="C899" s="23" t="str">
        <f>HYPERLINK("http://ecotaxoserver.obs-vlfr.fr/browsetaxo/?id=72303","72303")</f>
        <v>72303</v>
      </c>
      <c r="D899" s="23" t="str">
        <f>HYPERLINK("http://www.marinespecies.org/aphia.php?p=taxdetails&amp;id=117199","117199")</f>
        <v>117199</v>
      </c>
      <c r="E899" s="22" t="s">
        <v>1482</v>
      </c>
      <c r="F899" s="22" t="s">
        <v>1482</v>
      </c>
      <c r="G899" s="22" t="s">
        <v>94</v>
      </c>
      <c r="H899" s="23" t="str">
        <f>HYPERLINK("http://www.marinespecies.org/aphia.php?p=taxdetails&amp;id=117199","117199")</f>
        <v>117199</v>
      </c>
      <c r="I899" s="22" t="s">
        <v>94</v>
      </c>
      <c r="J899" s="24" t="str">
        <f t="shared" si="6"/>
        <v/>
      </c>
    </row>
    <row r="900">
      <c r="A900" s="22" t="s">
        <v>1483</v>
      </c>
      <c r="B900" s="22">
        <v>262.0</v>
      </c>
      <c r="C900" s="23" t="str">
        <f>HYPERLINK("http://ecotaxoserver.obs-vlfr.fr/browsetaxo/?id=81608","81608")</f>
        <v>81608</v>
      </c>
      <c r="D900" s="23" t="str">
        <f>HYPERLINK("http://www.marinespecies.org/aphia.php?p=taxdetails&amp;id=117831","117831")</f>
        <v>117831</v>
      </c>
      <c r="E900" s="22" t="s">
        <v>1481</v>
      </c>
      <c r="F900" s="22" t="s">
        <v>1481</v>
      </c>
      <c r="G900" s="22" t="s">
        <v>94</v>
      </c>
      <c r="H900" s="23" t="str">
        <f>HYPERLINK("http://www.marinespecies.org/aphia.php?p=taxdetails&amp;id=117831","117831")</f>
        <v>117831</v>
      </c>
      <c r="I900" s="22" t="s">
        <v>94</v>
      </c>
      <c r="J900" s="24" t="str">
        <f t="shared" si="6"/>
        <v/>
      </c>
    </row>
    <row r="901">
      <c r="A901" s="22" t="s">
        <v>1482</v>
      </c>
      <c r="B901" s="22">
        <v>611.0</v>
      </c>
      <c r="C901" s="23" t="str">
        <f>HYPERLINK("http://ecotaxoserver.obs-vlfr.fr/browsetaxo/?id=51338","51338")</f>
        <v>51338</v>
      </c>
      <c r="D901" s="23" t="str">
        <f>HYPERLINK("http://www.marinespecies.org/aphia.php?p=taxdetails&amp;id=20790","20790")</f>
        <v>20790</v>
      </c>
      <c r="E901" s="22" t="s">
        <v>226</v>
      </c>
      <c r="F901" s="22" t="s">
        <v>607</v>
      </c>
      <c r="G901" s="22" t="s">
        <v>94</v>
      </c>
      <c r="H901" s="23" t="str">
        <f>HYPERLINK("http://www.marinespecies.org/aphia.php?p=taxdetails&amp;id=20790","20790")</f>
        <v>20790</v>
      </c>
      <c r="I901" s="22" t="s">
        <v>94</v>
      </c>
      <c r="J901" s="24" t="str">
        <f t="shared" si="6"/>
        <v>!=</v>
      </c>
    </row>
    <row r="902">
      <c r="A902" s="22" t="s">
        <v>1484</v>
      </c>
      <c r="B902" s="22">
        <v>1.0</v>
      </c>
      <c r="C902" s="23" t="str">
        <f>HYPERLINK("http://ecotaxoserver.obs-vlfr.fr/browsetaxo/?id=93221","93221")</f>
        <v>93221</v>
      </c>
      <c r="D902" s="23" t="str">
        <f>HYPERLINK("http://www.marinespecies.org/aphia.php?p=taxdetails&amp;id=1061759","1061759")</f>
        <v>1061759</v>
      </c>
      <c r="E902" s="22" t="s">
        <v>1485</v>
      </c>
      <c r="F902" s="22" t="s">
        <v>1485</v>
      </c>
      <c r="G902" s="22" t="s">
        <v>94</v>
      </c>
      <c r="H902" s="23" t="str">
        <f>HYPERLINK("http://www.marinespecies.org/aphia.php?p=taxdetails&amp;id=1061759","1061759")</f>
        <v>1061759</v>
      </c>
      <c r="I902" s="22" t="s">
        <v>94</v>
      </c>
      <c r="J902" s="24" t="str">
        <f t="shared" si="6"/>
        <v/>
      </c>
    </row>
    <row r="903">
      <c r="A903" s="22" t="s">
        <v>1486</v>
      </c>
      <c r="B903" s="22">
        <v>65.0</v>
      </c>
      <c r="C903" s="23" t="str">
        <f>HYPERLINK("http://ecotaxoserver.obs-vlfr.fr/browsetaxo/?id=72394","72394")</f>
        <v>72394</v>
      </c>
      <c r="D903" s="23" t="str">
        <f>HYPERLINK("http://www.marinespecies.org/aphia.php?p=taxdetails&amp;id=135340","135340")</f>
        <v>135340</v>
      </c>
      <c r="E903" s="22" t="s">
        <v>96</v>
      </c>
      <c r="F903" s="22" t="s">
        <v>96</v>
      </c>
      <c r="G903" s="22" t="s">
        <v>94</v>
      </c>
      <c r="H903" s="23" t="str">
        <f>HYPERLINK("http://www.marinespecies.org/aphia.php?p=taxdetails&amp;id=135340","135340")</f>
        <v>135340</v>
      </c>
      <c r="I903" s="22" t="s">
        <v>94</v>
      </c>
      <c r="J903" s="24" t="str">
        <f t="shared" si="6"/>
        <v/>
      </c>
    </row>
    <row r="904">
      <c r="A904" s="22" t="s">
        <v>1487</v>
      </c>
      <c r="B904" s="22">
        <v>1.0</v>
      </c>
      <c r="C904" s="23" t="str">
        <f>HYPERLINK("http://ecotaxoserver.obs-vlfr.fr/browsetaxo/?id=93243","93243")</f>
        <v>93243</v>
      </c>
      <c r="D904" s="23" t="str">
        <f>HYPERLINK("http://www.marinespecies.org/aphia.php?p=taxdetails&amp;id=125555","125555")</f>
        <v>125555</v>
      </c>
      <c r="E904" s="22" t="s">
        <v>242</v>
      </c>
      <c r="F904" s="22" t="s">
        <v>242</v>
      </c>
      <c r="G904" s="22" t="s">
        <v>94</v>
      </c>
      <c r="H904" s="23" t="str">
        <f>HYPERLINK("http://www.marinespecies.org/aphia.php?p=taxdetails&amp;id=125555","125555")</f>
        <v>125555</v>
      </c>
      <c r="I904" s="22" t="s">
        <v>94</v>
      </c>
      <c r="J904" s="24" t="str">
        <f t="shared" si="6"/>
        <v/>
      </c>
    </row>
    <row r="905">
      <c r="A905" s="22" t="s">
        <v>1488</v>
      </c>
      <c r="B905" s="22">
        <v>2.0</v>
      </c>
      <c r="C905" s="23" t="str">
        <f>HYPERLINK("http://ecotaxoserver.obs-vlfr.fr/browsetaxo/?id=83683","83683")</f>
        <v>83683</v>
      </c>
      <c r="D905" s="23" t="str">
        <f>HYPERLINK("http://www.marinespecies.org/aphia.php?p=taxdetails&amp;id=101806","101806")</f>
        <v>101806</v>
      </c>
      <c r="E905" s="22" t="s">
        <v>1420</v>
      </c>
      <c r="F905" s="22" t="s">
        <v>1420</v>
      </c>
      <c r="G905" s="22" t="s">
        <v>94</v>
      </c>
      <c r="H905" s="23" t="str">
        <f>HYPERLINK("http://www.marinespecies.org/aphia.php?p=taxdetails&amp;id=101806","101806")</f>
        <v>101806</v>
      </c>
      <c r="I905" s="22" t="s">
        <v>94</v>
      </c>
      <c r="J905" s="24" t="str">
        <f t="shared" si="6"/>
        <v/>
      </c>
    </row>
    <row r="906">
      <c r="A906" s="22" t="s">
        <v>1489</v>
      </c>
      <c r="B906" s="22">
        <v>1.0</v>
      </c>
      <c r="C906" s="23" t="str">
        <f>HYPERLINK("http://ecotaxoserver.obs-vlfr.fr/browsetaxo/?id=93232","93232")</f>
        <v>93232</v>
      </c>
      <c r="D906" s="23" t="str">
        <f>HYPERLINK("http://www.marinespecies.org/aphia.php?p=taxdetails&amp;id=276769","276769")</f>
        <v>276769</v>
      </c>
      <c r="E906" s="22" t="s">
        <v>1490</v>
      </c>
      <c r="F906" s="22" t="s">
        <v>1490</v>
      </c>
      <c r="G906" s="22" t="s">
        <v>94</v>
      </c>
      <c r="H906" s="23" t="str">
        <f>HYPERLINK("http://www.marinespecies.org/aphia.php?p=taxdetails&amp;id=276769","276769")</f>
        <v>276769</v>
      </c>
      <c r="I906" s="22" t="s">
        <v>94</v>
      </c>
      <c r="J906" s="24" t="str">
        <f t="shared" si="6"/>
        <v/>
      </c>
    </row>
    <row r="907">
      <c r="A907" s="22" t="s">
        <v>1491</v>
      </c>
      <c r="B907" s="22">
        <v>2.0</v>
      </c>
      <c r="C907" s="23" t="str">
        <f>HYPERLINK("http://ecotaxoserver.obs-vlfr.fr/browsetaxo/?id=93155","93155")</f>
        <v>93155</v>
      </c>
      <c r="D907" s="23" t="str">
        <f>HYPERLINK("http://www.marinespecies.org/aphia.php?p=taxdetails&amp;id=159569","159569")</f>
        <v>159569</v>
      </c>
      <c r="E907" s="22" t="s">
        <v>1492</v>
      </c>
      <c r="F907" s="22" t="s">
        <v>1492</v>
      </c>
      <c r="G907" s="22" t="s">
        <v>94</v>
      </c>
      <c r="H907" s="23" t="str">
        <f>HYPERLINK("http://www.marinespecies.org/aphia.php?p=taxdetails&amp;id=159569","159569")</f>
        <v>159569</v>
      </c>
      <c r="I907" s="22" t="s">
        <v>94</v>
      </c>
      <c r="J907" s="24" t="str">
        <f t="shared" si="6"/>
        <v/>
      </c>
    </row>
    <row r="908">
      <c r="A908" s="22" t="s">
        <v>1493</v>
      </c>
      <c r="B908" s="22">
        <v>1.0</v>
      </c>
      <c r="C908" s="23" t="str">
        <f>HYPERLINK("http://ecotaxoserver.obs-vlfr.fr/browsetaxo/?id=93245","93245")</f>
        <v>93245</v>
      </c>
      <c r="D908" s="23" t="str">
        <f>HYPERLINK("http://www.marinespecies.org/aphia.php?p=taxdetails&amp;id=159295","159295")</f>
        <v>159295</v>
      </c>
      <c r="E908" s="22" t="s">
        <v>1494</v>
      </c>
      <c r="F908" s="22" t="s">
        <v>1494</v>
      </c>
      <c r="G908" s="22" t="s">
        <v>94</v>
      </c>
      <c r="H908" s="23" t="str">
        <f>HYPERLINK("http://www.marinespecies.org/aphia.php?p=taxdetails&amp;id=159295","159295")</f>
        <v>159295</v>
      </c>
      <c r="I908" s="22" t="s">
        <v>94</v>
      </c>
      <c r="J908" s="24" t="str">
        <f t="shared" si="6"/>
        <v/>
      </c>
    </row>
    <row r="909">
      <c r="A909" s="22" t="s">
        <v>1495</v>
      </c>
      <c r="B909" s="22">
        <v>1.0</v>
      </c>
      <c r="C909" s="23" t="str">
        <f>HYPERLINK("http://ecotaxoserver.obs-vlfr.fr/browsetaxo/?id=93275","93275")</f>
        <v>93275</v>
      </c>
      <c r="D909" s="23" t="str">
        <f>HYPERLINK("http://www.marinespecies.org/aphia.php?p=taxdetails&amp;id=159804","159804")</f>
        <v>159804</v>
      </c>
      <c r="E909" s="22" t="s">
        <v>1139</v>
      </c>
      <c r="F909" s="22" t="s">
        <v>1139</v>
      </c>
      <c r="G909" s="22" t="s">
        <v>94</v>
      </c>
      <c r="H909" s="23" t="str">
        <f>HYPERLINK("http://www.marinespecies.org/aphia.php?p=taxdetails&amp;id=159804","159804")</f>
        <v>159804</v>
      </c>
      <c r="I909" s="22" t="s">
        <v>94</v>
      </c>
      <c r="J909" s="24" t="str">
        <f t="shared" si="6"/>
        <v/>
      </c>
    </row>
    <row r="910">
      <c r="A910" s="22" t="s">
        <v>1496</v>
      </c>
      <c r="B910" s="22">
        <v>1446.0</v>
      </c>
      <c r="C910" s="23" t="str">
        <f>HYPERLINK("http://ecotaxoserver.obs-vlfr.fr/browsetaxo/?id=28284","28284")</f>
        <v>28284</v>
      </c>
      <c r="D910" s="23" t="str">
        <f>HYPERLINK("http://www.marinespecies.org/aphia.php?p=taxdetails&amp;id=149167","149167")</f>
        <v>149167</v>
      </c>
      <c r="E910" s="22" t="s">
        <v>1497</v>
      </c>
      <c r="F910" s="22" t="s">
        <v>689</v>
      </c>
      <c r="G910" s="22" t="s">
        <v>94</v>
      </c>
      <c r="H910" s="23" t="str">
        <f>HYPERLINK("http://www.marinespecies.org/aphia.php?p=taxdetails&amp;id=149167","149167")</f>
        <v>149167</v>
      </c>
      <c r="I910" s="22" t="s">
        <v>94</v>
      </c>
      <c r="J910" s="24" t="str">
        <f t="shared" si="6"/>
        <v>!=</v>
      </c>
    </row>
    <row r="911">
      <c r="A911" s="22" t="s">
        <v>1498</v>
      </c>
      <c r="B911" s="22">
        <v>1.0</v>
      </c>
      <c r="C911" s="23" t="str">
        <f>HYPERLINK("http://ecotaxoserver.obs-vlfr.fr/browsetaxo/?id=72304","72304")</f>
        <v>72304</v>
      </c>
      <c r="D911" s="23" t="str">
        <f>HYPERLINK("http://www.marinespecies.org/aphia.php?p=taxdetails&amp;id=117202","117202")</f>
        <v>117202</v>
      </c>
      <c r="E911" s="22" t="s">
        <v>1499</v>
      </c>
      <c r="F911" s="22" t="s">
        <v>1499</v>
      </c>
      <c r="G911" s="22" t="s">
        <v>94</v>
      </c>
      <c r="H911" s="23" t="str">
        <f>HYPERLINK("http://www.marinespecies.org/aphia.php?p=taxdetails&amp;id=117202","117202")</f>
        <v>117202</v>
      </c>
      <c r="I911" s="22" t="s">
        <v>94</v>
      </c>
      <c r="J911" s="24" t="str">
        <f t="shared" si="6"/>
        <v/>
      </c>
    </row>
    <row r="912">
      <c r="A912" s="22" t="s">
        <v>1500</v>
      </c>
      <c r="B912" s="22">
        <v>2.0</v>
      </c>
      <c r="C912" s="23" t="str">
        <f>HYPERLINK("http://ecotaxoserver.obs-vlfr.fr/browsetaxo/?id=85714","85714")</f>
        <v>85714</v>
      </c>
      <c r="D912" s="23" t="str">
        <f>HYPERLINK("http://www.marinespecies.org/aphia.php?p=taxdetails&amp;id=109487","109487")</f>
        <v>109487</v>
      </c>
      <c r="E912" s="22" t="s">
        <v>1501</v>
      </c>
      <c r="F912" s="22" t="s">
        <v>1502</v>
      </c>
      <c r="G912" s="22" t="s">
        <v>94</v>
      </c>
      <c r="H912" s="23" t="str">
        <f>HYPERLINK("http://www.marinespecies.org/aphia.php?p=taxdetails&amp;id=109487","109487")</f>
        <v>109487</v>
      </c>
      <c r="I912" s="22" t="s">
        <v>94</v>
      </c>
      <c r="J912" s="24" t="str">
        <f t="shared" si="6"/>
        <v>!=</v>
      </c>
    </row>
    <row r="913">
      <c r="A913" s="22" t="s">
        <v>1503</v>
      </c>
      <c r="B913" s="22">
        <v>1.0</v>
      </c>
      <c r="C913" s="23" t="str">
        <f>HYPERLINK("http://ecotaxoserver.obs-vlfr.fr/browsetaxo/?id=89193","89193")</f>
        <v>89193</v>
      </c>
      <c r="D913" s="23" t="str">
        <f>HYPERLINK("http://www.marinespecies.org/aphia.php?p=taxdetails&amp;id=109903","109903")</f>
        <v>109903</v>
      </c>
      <c r="E913" s="22" t="s">
        <v>1500</v>
      </c>
      <c r="F913" s="22" t="s">
        <v>1500</v>
      </c>
      <c r="G913" s="22" t="s">
        <v>94</v>
      </c>
      <c r="H913" s="23" t="str">
        <f>HYPERLINK("http://www.marinespecies.org/aphia.php?p=taxdetails&amp;id=109903","109903")</f>
        <v>109903</v>
      </c>
      <c r="I913" s="22" t="s">
        <v>94</v>
      </c>
      <c r="J913" s="24" t="str">
        <f t="shared" si="6"/>
        <v/>
      </c>
    </row>
    <row r="914">
      <c r="A914" s="22" t="s">
        <v>1504</v>
      </c>
      <c r="B914" s="22">
        <v>3.0</v>
      </c>
      <c r="C914" s="23" t="str">
        <f>HYPERLINK("http://ecotaxoserver.obs-vlfr.fr/browsetaxo/?id=82135","82135")</f>
        <v>82135</v>
      </c>
      <c r="D914" s="23" t="str">
        <f>HYPERLINK("http://www.marinespecies.org/aphia.php?p=taxdetails&amp;id=101423","101423")</f>
        <v>101423</v>
      </c>
      <c r="E914" s="22" t="s">
        <v>1026</v>
      </c>
      <c r="F914" s="22" t="s">
        <v>1342</v>
      </c>
      <c r="G914" s="22" t="s">
        <v>94</v>
      </c>
      <c r="H914" s="23" t="str">
        <f>HYPERLINK("http://www.marinespecies.org/aphia.php?p=taxdetails&amp;id=101423","101423")</f>
        <v>101423</v>
      </c>
      <c r="I914" s="22" t="s">
        <v>94</v>
      </c>
      <c r="J914" s="24" t="str">
        <f t="shared" si="6"/>
        <v>!=</v>
      </c>
    </row>
    <row r="915">
      <c r="A915" s="22" t="s">
        <v>1505</v>
      </c>
      <c r="B915" s="22">
        <v>6.0</v>
      </c>
      <c r="C915" s="23" t="str">
        <f>HYPERLINK("http://ecotaxoserver.obs-vlfr.fr/browsetaxo/?id=18934","18934")</f>
        <v>18934</v>
      </c>
      <c r="D915" s="23" t="str">
        <f>HYPERLINK("http://www.marinespecies.org/aphia.php?p=taxdetails&amp;id=109442","109442")</f>
        <v>109442</v>
      </c>
      <c r="E915" s="22" t="s">
        <v>1506</v>
      </c>
      <c r="F915" s="22" t="s">
        <v>1506</v>
      </c>
      <c r="G915" s="22" t="s">
        <v>94</v>
      </c>
      <c r="H915" s="23" t="str">
        <f>HYPERLINK("http://www.marinespecies.org/aphia.php?p=taxdetails&amp;id=109442","109442")</f>
        <v>109442</v>
      </c>
      <c r="I915" s="22" t="s">
        <v>94</v>
      </c>
      <c r="J915" s="24" t="str">
        <f t="shared" si="6"/>
        <v/>
      </c>
    </row>
    <row r="916">
      <c r="A916" s="22" t="s">
        <v>1506</v>
      </c>
      <c r="B916" s="22">
        <v>728.0</v>
      </c>
      <c r="C916" s="23" t="str">
        <f>HYPERLINK("http://ecotaxoserver.obs-vlfr.fr/browsetaxo/?id=13942","13942")</f>
        <v>13942</v>
      </c>
      <c r="D916" s="23" t="str">
        <f>HYPERLINK("http://www.marinespecies.org/aphia.php?p=taxdetails&amp;id=109396","109396")</f>
        <v>109396</v>
      </c>
      <c r="E916" s="22" t="s">
        <v>740</v>
      </c>
      <c r="F916" s="22" t="s">
        <v>740</v>
      </c>
      <c r="G916" s="22" t="s">
        <v>94</v>
      </c>
      <c r="H916" s="23" t="str">
        <f>HYPERLINK("http://www.marinespecies.org/aphia.php?p=taxdetails&amp;id=109396","109396")</f>
        <v>109396</v>
      </c>
      <c r="I916" s="22" t="s">
        <v>94</v>
      </c>
      <c r="J916" s="24" t="str">
        <f t="shared" si="6"/>
        <v/>
      </c>
    </row>
    <row r="917">
      <c r="A917" s="22" t="s">
        <v>1507</v>
      </c>
      <c r="B917" s="22">
        <v>14.0</v>
      </c>
      <c r="C917" s="23" t="str">
        <f>HYPERLINK("http://ecotaxoserver.obs-vlfr.fr/browsetaxo/?id=92534","92534")</f>
        <v>92534</v>
      </c>
      <c r="D917" s="23" t="str">
        <f>HYPERLINK("http://www.marinespecies.org/aphia.php?p=taxdetails&amp;id=110293","110293")</f>
        <v>110293</v>
      </c>
      <c r="E917" s="22" t="s">
        <v>128</v>
      </c>
      <c r="F917" s="22" t="s">
        <v>1508</v>
      </c>
      <c r="G917" s="22" t="s">
        <v>94</v>
      </c>
      <c r="H917" s="23" t="str">
        <f>HYPERLINK("http://www.marinespecies.org/aphia.php?p=taxdetails&amp;id=110293","110293")</f>
        <v>110293</v>
      </c>
      <c r="I917" s="22" t="s">
        <v>94</v>
      </c>
      <c r="J917" s="24" t="str">
        <f t="shared" si="6"/>
        <v>!=</v>
      </c>
    </row>
    <row r="918">
      <c r="A918" s="22" t="s">
        <v>1509</v>
      </c>
      <c r="B918" s="22">
        <v>26.0</v>
      </c>
      <c r="C918" s="23" t="str">
        <f>HYPERLINK("http://ecotaxoserver.obs-vlfr.fr/browsetaxo/?id=58540","58540")</f>
        <v>58540</v>
      </c>
      <c r="D918" s="23" t="str">
        <f>HYPERLINK("http://www.marinespecies.org/aphia.php?p=taxdetails&amp;id=110303","110303")</f>
        <v>110303</v>
      </c>
      <c r="E918" s="22" t="s">
        <v>1508</v>
      </c>
      <c r="F918" s="22" t="s">
        <v>1508</v>
      </c>
      <c r="G918" s="22" t="s">
        <v>94</v>
      </c>
      <c r="H918" s="23" t="str">
        <f>HYPERLINK("http://www.marinespecies.org/aphia.php?p=taxdetails&amp;id=110303","110303")</f>
        <v>110303</v>
      </c>
      <c r="I918" s="22" t="s">
        <v>94</v>
      </c>
      <c r="J918" s="24" t="str">
        <f t="shared" si="6"/>
        <v/>
      </c>
    </row>
    <row r="919">
      <c r="A919" s="22" t="s">
        <v>1510</v>
      </c>
      <c r="B919" s="22">
        <v>4.0</v>
      </c>
      <c r="C919" s="23" t="str">
        <f>HYPERLINK("http://ecotaxoserver.obs-vlfr.fr/browsetaxo/?id=92537","92537")</f>
        <v>92537</v>
      </c>
      <c r="D919" s="23" t="str">
        <f>HYPERLINK("http://www.marinespecies.org/aphia.php?p=taxdetails&amp;id=232365","232365")</f>
        <v>232365</v>
      </c>
      <c r="E919" s="22" t="s">
        <v>128</v>
      </c>
      <c r="F919" s="22" t="s">
        <v>1508</v>
      </c>
      <c r="G919" s="22" t="s">
        <v>94</v>
      </c>
      <c r="H919" s="23" t="str">
        <f>HYPERLINK("http://www.marinespecies.org/aphia.php?p=taxdetails&amp;id=232365","232365")</f>
        <v>232365</v>
      </c>
      <c r="I919" s="22" t="s">
        <v>94</v>
      </c>
      <c r="J919" s="24" t="str">
        <f t="shared" si="6"/>
        <v>!=</v>
      </c>
    </row>
    <row r="920">
      <c r="A920" s="22" t="s">
        <v>1511</v>
      </c>
      <c r="B920" s="22">
        <v>18.0</v>
      </c>
      <c r="C920" s="23" t="str">
        <f>HYPERLINK("http://ecotaxoserver.obs-vlfr.fr/browsetaxo/?id=92538","92538")</f>
        <v>92538</v>
      </c>
      <c r="D920" s="23" t="str">
        <f>HYPERLINK("http://www.marinespecies.org/aphia.php?p=taxdetails&amp;id=110311","110311")</f>
        <v>110311</v>
      </c>
      <c r="E920" s="22" t="s">
        <v>128</v>
      </c>
      <c r="F920" s="22" t="s">
        <v>1508</v>
      </c>
      <c r="G920" s="22" t="s">
        <v>94</v>
      </c>
      <c r="H920" s="23" t="str">
        <f>HYPERLINK("http://www.marinespecies.org/aphia.php?p=taxdetails&amp;id=110311","110311")</f>
        <v>110311</v>
      </c>
      <c r="I920" s="22" t="s">
        <v>94</v>
      </c>
      <c r="J920" s="24" t="str">
        <f t="shared" si="6"/>
        <v>!=</v>
      </c>
    </row>
    <row r="921">
      <c r="A921" s="22" t="s">
        <v>1512</v>
      </c>
      <c r="B921" s="22">
        <v>12.0</v>
      </c>
      <c r="C921" s="23" t="str">
        <f>HYPERLINK("http://ecotaxoserver.obs-vlfr.fr/browsetaxo/?id=58534","58534")</f>
        <v>58534</v>
      </c>
      <c r="D921" s="23" t="str">
        <f>HYPERLINK("http://www.marinespecies.org/aphia.php?p=taxdetails&amp;id=838471","838471")</f>
        <v>838471</v>
      </c>
      <c r="E921" s="22" t="s">
        <v>1508</v>
      </c>
      <c r="F921" s="22" t="s">
        <v>1508</v>
      </c>
      <c r="G921" s="22" t="s">
        <v>94</v>
      </c>
      <c r="H921" s="23" t="str">
        <f>HYPERLINK("http://www.marinespecies.org/aphia.php?p=taxdetails&amp;id=838471","838471")</f>
        <v>838471</v>
      </c>
      <c r="I921" s="22" t="s">
        <v>94</v>
      </c>
      <c r="J921" s="24" t="str">
        <f t="shared" si="6"/>
        <v/>
      </c>
    </row>
    <row r="922">
      <c r="A922" s="22" t="s">
        <v>1513</v>
      </c>
      <c r="B922" s="22">
        <v>3.0</v>
      </c>
      <c r="C922" s="23" t="str">
        <f>HYPERLINK("http://ecotaxoserver.obs-vlfr.fr/browsetaxo/?id=79062","79062")</f>
        <v>79062</v>
      </c>
      <c r="D922" s="23" t="str">
        <f>HYPERLINK("http://www.marinespecies.org/aphia.php?p=taxdetails&amp;id=110316","110316")</f>
        <v>110316</v>
      </c>
      <c r="E922" s="22" t="s">
        <v>1508</v>
      </c>
      <c r="F922" s="22" t="s">
        <v>1508</v>
      </c>
      <c r="G922" s="22" t="s">
        <v>94</v>
      </c>
      <c r="H922" s="23" t="str">
        <f>HYPERLINK("http://www.marinespecies.org/aphia.php?p=taxdetails&amp;id=110316","110316")</f>
        <v>110316</v>
      </c>
      <c r="I922" s="22" t="s">
        <v>94</v>
      </c>
      <c r="J922" s="24" t="str">
        <f t="shared" si="6"/>
        <v/>
      </c>
    </row>
    <row r="923">
      <c r="A923" s="22" t="s">
        <v>1514</v>
      </c>
      <c r="B923" s="22">
        <v>1.0</v>
      </c>
      <c r="C923" s="23" t="str">
        <f>HYPERLINK("http://ecotaxoserver.obs-vlfr.fr/browsetaxo/?id=93097","93097")</f>
        <v>93097</v>
      </c>
      <c r="D923" s="23" t="str">
        <f>HYPERLINK("http://www.marinespecies.org/aphia.php?p=taxdetails&amp;id=221207","221207")</f>
        <v>221207</v>
      </c>
      <c r="E923" s="22" t="s">
        <v>1515</v>
      </c>
      <c r="F923" s="22" t="s">
        <v>1515</v>
      </c>
      <c r="G923" s="22" t="s">
        <v>94</v>
      </c>
      <c r="H923" s="23" t="str">
        <f>HYPERLINK("http://www.marinespecies.org/aphia.php?p=taxdetails&amp;id=221207","221207")</f>
        <v>221207</v>
      </c>
      <c r="I923" s="22" t="s">
        <v>94</v>
      </c>
      <c r="J923" s="24" t="str">
        <f t="shared" si="6"/>
        <v/>
      </c>
    </row>
    <row r="924">
      <c r="A924" s="22" t="s">
        <v>1516</v>
      </c>
      <c r="B924" s="22">
        <v>23.0</v>
      </c>
      <c r="C924" s="23" t="str">
        <f>HYPERLINK("http://ecotaxoserver.obs-vlfr.fr/browsetaxo/?id=18745","18745")</f>
        <v>18745</v>
      </c>
      <c r="D924" s="23" t="str">
        <f>HYPERLINK("http://www.marinespecies.org/aphia.php?p=taxdetails&amp;id=109567","109567")</f>
        <v>109567</v>
      </c>
      <c r="E924" s="22" t="s">
        <v>452</v>
      </c>
      <c r="F924" s="22" t="s">
        <v>168</v>
      </c>
      <c r="G924" s="22" t="s">
        <v>94</v>
      </c>
      <c r="H924" s="23" t="str">
        <f>HYPERLINK("http://www.marinespecies.org/aphia.php?p=taxdetails&amp;id=109567","109567")</f>
        <v>109567</v>
      </c>
      <c r="I924" s="22" t="s">
        <v>94</v>
      </c>
      <c r="J924" s="24" t="str">
        <f t="shared" si="6"/>
        <v>!=</v>
      </c>
    </row>
    <row r="925">
      <c r="A925" s="22" t="s">
        <v>1517</v>
      </c>
      <c r="B925" s="22">
        <v>1.0</v>
      </c>
      <c r="C925" s="23" t="str">
        <f>HYPERLINK("http://ecotaxoserver.obs-vlfr.fr/browsetaxo/?id=92540","92540")</f>
        <v>92540</v>
      </c>
      <c r="D925" s="23" t="str">
        <f>HYPERLINK("http://www.marinespecies.org/aphia.php?p=taxdetails&amp;id=110319","110319")</f>
        <v>110319</v>
      </c>
      <c r="E925" s="22" t="s">
        <v>128</v>
      </c>
      <c r="F925" s="22" t="s">
        <v>1516</v>
      </c>
      <c r="G925" s="22" t="s">
        <v>94</v>
      </c>
      <c r="H925" s="23" t="str">
        <f>HYPERLINK("http://www.marinespecies.org/aphia.php?p=taxdetails&amp;id=110319","110319")</f>
        <v>110319</v>
      </c>
      <c r="I925" s="22" t="s">
        <v>94</v>
      </c>
      <c r="J925" s="24" t="str">
        <f t="shared" si="6"/>
        <v>!=</v>
      </c>
    </row>
    <row r="926">
      <c r="A926" s="22" t="s">
        <v>1518</v>
      </c>
      <c r="B926" s="22">
        <v>9.0</v>
      </c>
      <c r="C926" s="23" t="str">
        <f>HYPERLINK("http://ecotaxoserver.obs-vlfr.fr/browsetaxo/?id=58228","58228")</f>
        <v>58228</v>
      </c>
      <c r="D926" s="23" t="str">
        <f>HYPERLINK("http://www.marinespecies.org/aphia.php?p=taxdetails&amp;id=110321","110321")</f>
        <v>110321</v>
      </c>
      <c r="E926" s="22" t="s">
        <v>1519</v>
      </c>
      <c r="F926" s="22" t="s">
        <v>1516</v>
      </c>
      <c r="G926" s="22" t="s">
        <v>94</v>
      </c>
      <c r="H926" s="23" t="str">
        <f>HYPERLINK("http://www.marinespecies.org/aphia.php?p=taxdetails&amp;id=110321","110321")</f>
        <v>110321</v>
      </c>
      <c r="I926" s="22" t="s">
        <v>94</v>
      </c>
      <c r="J926" s="24" t="str">
        <f t="shared" si="6"/>
        <v>!=</v>
      </c>
    </row>
    <row r="927">
      <c r="A927" s="22" t="s">
        <v>1520</v>
      </c>
      <c r="B927" s="22">
        <v>29.0</v>
      </c>
      <c r="C927" s="23" t="str">
        <f>HYPERLINK("http://ecotaxoserver.obs-vlfr.fr/browsetaxo/?id=92541","92541")</f>
        <v>92541</v>
      </c>
      <c r="D927" s="23" t="str">
        <f>HYPERLINK("http://www.marinespecies.org/aphia.php?p=taxdetails&amp;id=110322","110322")</f>
        <v>110322</v>
      </c>
      <c r="E927" s="22" t="s">
        <v>128</v>
      </c>
      <c r="F927" s="22" t="s">
        <v>1516</v>
      </c>
      <c r="G927" s="22" t="s">
        <v>94</v>
      </c>
      <c r="H927" s="23" t="str">
        <f>HYPERLINK("http://www.marinespecies.org/aphia.php?p=taxdetails&amp;id=110322","110322")</f>
        <v>110322</v>
      </c>
      <c r="I927" s="22" t="s">
        <v>94</v>
      </c>
      <c r="J927" s="24" t="str">
        <f t="shared" si="6"/>
        <v>!=</v>
      </c>
    </row>
    <row r="928">
      <c r="A928" s="22" t="s">
        <v>1521</v>
      </c>
      <c r="B928" s="22">
        <v>23.0</v>
      </c>
      <c r="C928" s="23" t="str">
        <f>HYPERLINK("http://ecotaxoserver.obs-vlfr.fr/browsetaxo/?id=54881","54881")</f>
        <v>54881</v>
      </c>
      <c r="D928" s="23" t="str">
        <f>HYPERLINK("http://www.marinespecies.org/aphia.php?p=taxdetails&amp;id=345907","345907")</f>
        <v>345907</v>
      </c>
      <c r="E928" s="22" t="s">
        <v>491</v>
      </c>
      <c r="F928" s="22" t="s">
        <v>491</v>
      </c>
      <c r="G928" s="22" t="s">
        <v>94</v>
      </c>
      <c r="H928" s="23" t="str">
        <f>HYPERLINK("http://www.marinespecies.org/aphia.php?p=taxdetails&amp;id=345907","345907")</f>
        <v>345907</v>
      </c>
      <c r="I928" s="22" t="s">
        <v>94</v>
      </c>
      <c r="J928" s="24" t="str">
        <f t="shared" si="6"/>
        <v/>
      </c>
    </row>
    <row r="929">
      <c r="A929" s="22" t="s">
        <v>760</v>
      </c>
      <c r="B929" s="22">
        <v>71.0</v>
      </c>
      <c r="C929" s="23" t="str">
        <f>HYPERLINK("http://ecotaxoserver.obs-vlfr.fr/browsetaxo/?id=18872","18872")</f>
        <v>18872</v>
      </c>
      <c r="D929" s="23" t="str">
        <f>HYPERLINK("http://www.marinespecies.org/aphia.php?p=taxdetails&amp;id=109435","109435")</f>
        <v>109435</v>
      </c>
      <c r="E929" s="22" t="s">
        <v>1399</v>
      </c>
      <c r="F929" s="22" t="s">
        <v>1399</v>
      </c>
      <c r="G929" s="22" t="s">
        <v>94</v>
      </c>
      <c r="H929" s="23" t="str">
        <f>HYPERLINK("http://www.marinespecies.org/aphia.php?p=taxdetails&amp;id=109435","109435")</f>
        <v>109435</v>
      </c>
      <c r="I929" s="22" t="s">
        <v>94</v>
      </c>
      <c r="J929" s="24" t="str">
        <f t="shared" si="6"/>
        <v/>
      </c>
    </row>
    <row r="930">
      <c r="A930" s="22" t="s">
        <v>1522</v>
      </c>
      <c r="B930" s="22">
        <v>8154.0</v>
      </c>
      <c r="C930" s="23" t="str">
        <f>HYPERLINK("http://ecotaxoserver.obs-vlfr.fr/browsetaxo/?id=31853","31853")</f>
        <v>31853</v>
      </c>
      <c r="D930" s="23" t="str">
        <f>HYPERLINK("http://www.marinespecies.org/aphia.php?p=taxdetails&amp;id=109553","109553")</f>
        <v>109553</v>
      </c>
      <c r="E930" s="22" t="s">
        <v>760</v>
      </c>
      <c r="F930" s="22" t="s">
        <v>760</v>
      </c>
      <c r="G930" s="22" t="s">
        <v>94</v>
      </c>
      <c r="H930" s="23" t="str">
        <f>HYPERLINK("http://www.marinespecies.org/aphia.php?p=taxdetails&amp;id=109553","109553")</f>
        <v>109553</v>
      </c>
      <c r="I930" s="22" t="s">
        <v>94</v>
      </c>
      <c r="J930" s="24" t="str">
        <f t="shared" si="6"/>
        <v/>
      </c>
    </row>
    <row r="931">
      <c r="A931" s="22" t="s">
        <v>1523</v>
      </c>
      <c r="B931" s="22">
        <v>2.0</v>
      </c>
      <c r="C931" s="23" t="str">
        <f>HYPERLINK("http://ecotaxoserver.obs-vlfr.fr/browsetaxo/?id=78927","78927")</f>
        <v>78927</v>
      </c>
      <c r="D931" s="23" t="str">
        <f>HYPERLINK("http://www.marinespecies.org/aphia.php?p=taxdetails&amp;id=110208","110208")</f>
        <v>110208</v>
      </c>
      <c r="E931" s="22" t="s">
        <v>1522</v>
      </c>
      <c r="F931" s="22" t="s">
        <v>1522</v>
      </c>
      <c r="G931" s="22" t="s">
        <v>94</v>
      </c>
      <c r="H931" s="23" t="str">
        <f>HYPERLINK("http://www.marinespecies.org/aphia.php?p=taxdetails&amp;id=110208","110208")</f>
        <v>110208</v>
      </c>
      <c r="I931" s="22" t="s">
        <v>94</v>
      </c>
      <c r="J931" s="24" t="str">
        <f t="shared" si="6"/>
        <v/>
      </c>
    </row>
    <row r="932">
      <c r="A932" s="22" t="s">
        <v>1524</v>
      </c>
      <c r="B932" s="22">
        <v>11.0</v>
      </c>
      <c r="C932" s="23" t="str">
        <f>HYPERLINK("http://ecotaxoserver.obs-vlfr.fr/browsetaxo/?id=92544","92544")</f>
        <v>92544</v>
      </c>
      <c r="D932" s="23" t="str">
        <f>HYPERLINK("http://www.marinespecies.org/aphia.php?p=taxdetails&amp;id=110210","110210")</f>
        <v>110210</v>
      </c>
      <c r="E932" s="22" t="s">
        <v>128</v>
      </c>
      <c r="F932" s="22" t="s">
        <v>1522</v>
      </c>
      <c r="G932" s="22" t="s">
        <v>94</v>
      </c>
      <c r="H932" s="23" t="str">
        <f>HYPERLINK("http://www.marinespecies.org/aphia.php?p=taxdetails&amp;id=110210","110210")</f>
        <v>110210</v>
      </c>
      <c r="I932" s="22" t="s">
        <v>94</v>
      </c>
      <c r="J932" s="24" t="str">
        <f t="shared" si="6"/>
        <v>!=</v>
      </c>
    </row>
    <row r="933">
      <c r="A933" s="22" t="s">
        <v>1525</v>
      </c>
      <c r="B933" s="22">
        <v>1.0</v>
      </c>
      <c r="C933" s="23" t="str">
        <f>HYPERLINK("http://ecotaxoserver.obs-vlfr.fr/browsetaxo/?id=92547","92547")</f>
        <v>92547</v>
      </c>
      <c r="D933" s="23" t="str">
        <f>HYPERLINK("http://www.marinespecies.org/aphia.php?p=taxdetails&amp;id=110214","110214")</f>
        <v>110214</v>
      </c>
      <c r="E933" s="22" t="s">
        <v>128</v>
      </c>
      <c r="F933" s="22" t="s">
        <v>1522</v>
      </c>
      <c r="G933" s="22" t="s">
        <v>94</v>
      </c>
      <c r="H933" s="23" t="str">
        <f>HYPERLINK("http://www.marinespecies.org/aphia.php?p=taxdetails&amp;id=110214","110214")</f>
        <v>110214</v>
      </c>
      <c r="I933" s="22" t="s">
        <v>94</v>
      </c>
      <c r="J933" s="24" t="str">
        <f t="shared" si="6"/>
        <v>!=</v>
      </c>
    </row>
    <row r="934">
      <c r="A934" s="22" t="s">
        <v>1526</v>
      </c>
      <c r="B934" s="22">
        <v>3.0</v>
      </c>
      <c r="C934" s="23" t="str">
        <f>HYPERLINK("http://ecotaxoserver.obs-vlfr.fr/browsetaxo/?id=92545","92545")</f>
        <v>92545</v>
      </c>
      <c r="D934" s="23" t="str">
        <f>HYPERLINK("http://www.marinespecies.org/aphia.php?p=taxdetails&amp;id=233405","233405")</f>
        <v>233405</v>
      </c>
      <c r="E934" s="22" t="s">
        <v>128</v>
      </c>
      <c r="F934" s="22" t="s">
        <v>1522</v>
      </c>
      <c r="G934" s="22" t="s">
        <v>94</v>
      </c>
      <c r="H934" s="23" t="str">
        <f>HYPERLINK("http://www.marinespecies.org/aphia.php?p=taxdetails&amp;id=233405","233405")</f>
        <v>233405</v>
      </c>
      <c r="I934" s="22" t="s">
        <v>94</v>
      </c>
      <c r="J934" s="24" t="str">
        <f t="shared" si="6"/>
        <v>!=</v>
      </c>
    </row>
    <row r="935">
      <c r="A935" s="22" t="s">
        <v>1527</v>
      </c>
      <c r="B935" s="22">
        <v>4.0</v>
      </c>
      <c r="C935" s="23" t="str">
        <f>HYPERLINK("http://ecotaxoserver.obs-vlfr.fr/browsetaxo/?id=78913","78913")</f>
        <v>78913</v>
      </c>
      <c r="D935" s="23" t="str">
        <f>HYPERLINK("http://www.marinespecies.org/aphia.php?p=taxdetails&amp;id=110216","110216")</f>
        <v>110216</v>
      </c>
      <c r="E935" s="22" t="s">
        <v>1522</v>
      </c>
      <c r="F935" s="22" t="s">
        <v>1522</v>
      </c>
      <c r="G935" s="22" t="s">
        <v>94</v>
      </c>
      <c r="H935" s="23" t="str">
        <f>HYPERLINK("http://www.marinespecies.org/aphia.php?p=taxdetails&amp;id=110216","110216")</f>
        <v>110216</v>
      </c>
      <c r="I935" s="22" t="s">
        <v>94</v>
      </c>
      <c r="J935" s="24" t="str">
        <f t="shared" si="6"/>
        <v/>
      </c>
    </row>
    <row r="936">
      <c r="A936" s="22" t="s">
        <v>1528</v>
      </c>
      <c r="B936" s="22">
        <v>1.0</v>
      </c>
      <c r="C936" s="23" t="str">
        <f>HYPERLINK("http://ecotaxoserver.obs-vlfr.fr/browsetaxo/?id=78932","78932")</f>
        <v>78932</v>
      </c>
      <c r="D936" s="23" t="str">
        <f>HYPERLINK("http://www.marinespecies.org/aphia.php?p=taxdetails&amp;id=110217","110217")</f>
        <v>110217</v>
      </c>
      <c r="E936" s="22" t="s">
        <v>1529</v>
      </c>
      <c r="F936" s="22" t="s">
        <v>1522</v>
      </c>
      <c r="G936" s="22" t="s">
        <v>94</v>
      </c>
      <c r="H936" s="23" t="str">
        <f>HYPERLINK("http://www.marinespecies.org/aphia.php?p=taxdetails&amp;id=110217","110217")</f>
        <v>110217</v>
      </c>
      <c r="I936" s="22" t="s">
        <v>94</v>
      </c>
      <c r="J936" s="24" t="str">
        <f t="shared" si="6"/>
        <v>!=</v>
      </c>
    </row>
    <row r="937">
      <c r="A937" s="22" t="s">
        <v>1530</v>
      </c>
      <c r="B937" s="22">
        <v>2.0</v>
      </c>
      <c r="C937" s="23" t="str">
        <f>HYPERLINK("http://ecotaxoserver.obs-vlfr.fr/browsetaxo/?id=78924","78924")</f>
        <v>78924</v>
      </c>
      <c r="D937" s="23" t="str">
        <f>HYPERLINK("http://www.marinespecies.org/aphia.php?p=taxdetails&amp;id=110219","110219")</f>
        <v>110219</v>
      </c>
      <c r="E937" s="22" t="s">
        <v>1522</v>
      </c>
      <c r="F937" s="22" t="s">
        <v>1522</v>
      </c>
      <c r="G937" s="22" t="s">
        <v>94</v>
      </c>
      <c r="H937" s="23" t="str">
        <f>HYPERLINK("http://www.marinespecies.org/aphia.php?p=taxdetails&amp;id=110219","110219")</f>
        <v>110219</v>
      </c>
      <c r="I937" s="22" t="s">
        <v>94</v>
      </c>
      <c r="J937" s="24" t="str">
        <f t="shared" si="6"/>
        <v/>
      </c>
    </row>
    <row r="938">
      <c r="A938" s="22" t="s">
        <v>1531</v>
      </c>
      <c r="B938" s="22">
        <v>6.0</v>
      </c>
      <c r="C938" s="23" t="str">
        <f>HYPERLINK("http://ecotaxoserver.obs-vlfr.fr/browsetaxo/?id=92551","92551")</f>
        <v>92551</v>
      </c>
      <c r="D938" s="23" t="str">
        <f>HYPERLINK("http://www.marinespecies.org/aphia.php?p=taxdetails&amp;id=110223","110223")</f>
        <v>110223</v>
      </c>
      <c r="E938" s="22" t="s">
        <v>128</v>
      </c>
      <c r="F938" s="22" t="s">
        <v>1522</v>
      </c>
      <c r="G938" s="22" t="s">
        <v>94</v>
      </c>
      <c r="H938" s="23" t="str">
        <f>HYPERLINK("http://www.marinespecies.org/aphia.php?p=taxdetails&amp;id=110223","110223")</f>
        <v>110223</v>
      </c>
      <c r="I938" s="22" t="s">
        <v>94</v>
      </c>
      <c r="J938" s="24" t="str">
        <f t="shared" si="6"/>
        <v>!=</v>
      </c>
    </row>
    <row r="939">
      <c r="A939" s="22" t="s">
        <v>1532</v>
      </c>
      <c r="B939" s="22">
        <v>15.0</v>
      </c>
      <c r="C939" s="23" t="str">
        <f>HYPERLINK("http://ecotaxoserver.obs-vlfr.fr/browsetaxo/?id=92552","92552")</f>
        <v>92552</v>
      </c>
      <c r="D939" s="23" t="str">
        <f>HYPERLINK("http://www.marinespecies.org/aphia.php?p=taxdetails&amp;id=233259","233259")</f>
        <v>233259</v>
      </c>
      <c r="E939" s="22" t="s">
        <v>128</v>
      </c>
      <c r="F939" s="22" t="s">
        <v>1522</v>
      </c>
      <c r="G939" s="22" t="s">
        <v>94</v>
      </c>
      <c r="H939" s="23" t="str">
        <f>HYPERLINK("http://www.marinespecies.org/aphia.php?p=taxdetails&amp;id=233259","233259")</f>
        <v>233259</v>
      </c>
      <c r="I939" s="22" t="s">
        <v>94</v>
      </c>
      <c r="J939" s="24" t="str">
        <f t="shared" si="6"/>
        <v>!=</v>
      </c>
    </row>
    <row r="940">
      <c r="A940" s="22" t="s">
        <v>1533</v>
      </c>
      <c r="B940" s="22">
        <v>9.0</v>
      </c>
      <c r="C940" s="23" t="str">
        <f>HYPERLINK("http://ecotaxoserver.obs-vlfr.fr/browsetaxo/?id=92555","92555")</f>
        <v>92555</v>
      </c>
      <c r="D940" s="23" t="str">
        <f>HYPERLINK("http://www.marinespecies.org/aphia.php?p=taxdetails&amp;id=233175","233175")</f>
        <v>233175</v>
      </c>
      <c r="E940" s="22" t="s">
        <v>128</v>
      </c>
      <c r="F940" s="22" t="s">
        <v>1522</v>
      </c>
      <c r="G940" s="22" t="s">
        <v>94</v>
      </c>
      <c r="H940" s="23" t="str">
        <f>HYPERLINK("http://www.marinespecies.org/aphia.php?p=taxdetails&amp;id=233175","233175")</f>
        <v>233175</v>
      </c>
      <c r="I940" s="22" t="s">
        <v>94</v>
      </c>
      <c r="J940" s="24" t="str">
        <f t="shared" si="6"/>
        <v>!=</v>
      </c>
    </row>
    <row r="941">
      <c r="A941" s="22" t="s">
        <v>1534</v>
      </c>
      <c r="B941" s="22">
        <v>6.0</v>
      </c>
      <c r="C941" s="23" t="str">
        <f>HYPERLINK("http://ecotaxoserver.obs-vlfr.fr/browsetaxo/?id=78920","78920")</f>
        <v>78920</v>
      </c>
      <c r="D941" s="23" t="str">
        <f>HYPERLINK("http://www.marinespecies.org/aphia.php?p=taxdetails&amp;id=110244","110244")</f>
        <v>110244</v>
      </c>
      <c r="E941" s="22" t="s">
        <v>1522</v>
      </c>
      <c r="F941" s="22" t="s">
        <v>1522</v>
      </c>
      <c r="G941" s="22" t="s">
        <v>94</v>
      </c>
      <c r="H941" s="23" t="str">
        <f>HYPERLINK("http://www.marinespecies.org/aphia.php?p=taxdetails&amp;id=110244","110244")</f>
        <v>110244</v>
      </c>
      <c r="I941" s="22" t="s">
        <v>94</v>
      </c>
      <c r="J941" s="24" t="str">
        <f t="shared" si="6"/>
        <v/>
      </c>
    </row>
    <row r="942">
      <c r="A942" s="22" t="s">
        <v>1535</v>
      </c>
      <c r="B942" s="22">
        <v>3.0</v>
      </c>
      <c r="C942" s="23" t="str">
        <f>HYPERLINK("http://ecotaxoserver.obs-vlfr.fr/browsetaxo/?id=78919","78919")</f>
        <v>78919</v>
      </c>
      <c r="D942" s="23" t="str">
        <f>HYPERLINK("http://www.marinespecies.org/aphia.php?p=taxdetails&amp;id=110245","110245")</f>
        <v>110245</v>
      </c>
      <c r="E942" s="22" t="s">
        <v>1536</v>
      </c>
      <c r="F942" s="22" t="s">
        <v>1522</v>
      </c>
      <c r="G942" s="22" t="s">
        <v>94</v>
      </c>
      <c r="H942" s="23" t="str">
        <f>HYPERLINK("http://www.marinespecies.org/aphia.php?p=taxdetails&amp;id=110245","110245")</f>
        <v>110245</v>
      </c>
      <c r="I942" s="22" t="s">
        <v>94</v>
      </c>
      <c r="J942" s="24" t="str">
        <f t="shared" si="6"/>
        <v>!=</v>
      </c>
    </row>
    <row r="943">
      <c r="A943" s="22" t="s">
        <v>1537</v>
      </c>
      <c r="B943" s="22">
        <v>27.0</v>
      </c>
      <c r="C943" s="23" t="str">
        <f>HYPERLINK("http://ecotaxoserver.obs-vlfr.fr/browsetaxo/?id=92566","92566")</f>
        <v>92566</v>
      </c>
      <c r="D943" s="23" t="str">
        <f>HYPERLINK("http://www.marinespecies.org/aphia.php?p=taxdetails&amp;id=110257","110257")</f>
        <v>110257</v>
      </c>
      <c r="E943" s="22" t="s">
        <v>128</v>
      </c>
      <c r="F943" s="22" t="s">
        <v>1522</v>
      </c>
      <c r="G943" s="22" t="s">
        <v>94</v>
      </c>
      <c r="H943" s="23" t="str">
        <f>HYPERLINK("http://www.marinespecies.org/aphia.php?p=taxdetails&amp;id=110257","110257")</f>
        <v>110257</v>
      </c>
      <c r="I943" s="22" t="s">
        <v>94</v>
      </c>
      <c r="J943" s="24" t="str">
        <f t="shared" si="6"/>
        <v>!=</v>
      </c>
    </row>
    <row r="944">
      <c r="A944" s="22" t="s">
        <v>1538</v>
      </c>
      <c r="B944" s="22">
        <v>1.0</v>
      </c>
      <c r="C944" s="23" t="str">
        <f>HYPERLINK("http://ecotaxoserver.obs-vlfr.fr/browsetaxo/?id=92568","92568")</f>
        <v>92568</v>
      </c>
      <c r="D944" s="23" t="str">
        <f>HYPERLINK("http://www.marinespecies.org/aphia.php?p=taxdetails&amp;id=232893","232893")</f>
        <v>232893</v>
      </c>
      <c r="E944" s="22" t="s">
        <v>128</v>
      </c>
      <c r="F944" s="22" t="s">
        <v>1522</v>
      </c>
      <c r="G944" s="22" t="s">
        <v>94</v>
      </c>
      <c r="H944" s="23" t="str">
        <f>HYPERLINK("http://www.marinespecies.org/aphia.php?p=taxdetails&amp;id=232893","232893")</f>
        <v>232893</v>
      </c>
      <c r="I944" s="22" t="s">
        <v>94</v>
      </c>
      <c r="J944" s="24" t="str">
        <f t="shared" si="6"/>
        <v>!=</v>
      </c>
    </row>
    <row r="945">
      <c r="A945" s="22" t="s">
        <v>1539</v>
      </c>
      <c r="B945" s="22">
        <v>3.0</v>
      </c>
      <c r="C945" s="23" t="str">
        <f>HYPERLINK("http://ecotaxoserver.obs-vlfr.fr/browsetaxo/?id=31204","31204")</f>
        <v>31204</v>
      </c>
      <c r="D945" s="23" t="str">
        <f>HYPERLINK("http://www.marinespecies.org/aphia.php?p=taxdetails&amp;id=183552","183552")</f>
        <v>183552</v>
      </c>
      <c r="E945" s="22" t="s">
        <v>1540</v>
      </c>
      <c r="F945" s="22" t="s">
        <v>1540</v>
      </c>
      <c r="G945" s="22" t="s">
        <v>94</v>
      </c>
      <c r="H945" s="23" t="str">
        <f>HYPERLINK("http://www.marinespecies.org/aphia.php?p=taxdetails&amp;id=183552","183552")</f>
        <v>183552</v>
      </c>
      <c r="I945" s="22" t="s">
        <v>94</v>
      </c>
      <c r="J945" s="24" t="str">
        <f t="shared" si="6"/>
        <v/>
      </c>
    </row>
    <row r="946">
      <c r="A946" s="22" t="s">
        <v>1541</v>
      </c>
      <c r="B946" s="22">
        <v>5229.0</v>
      </c>
      <c r="C946" s="23" t="str">
        <f>HYPERLINK("http://ecotaxoserver.obs-vlfr.fr/browsetaxo/?id=13199","13199")</f>
        <v>13199</v>
      </c>
      <c r="D946" s="23" t="str">
        <f>HYPERLINK("http://www.marinespecies.org/aphia.php?p=taxdetails&amp;id=115073","115073")</f>
        <v>115073</v>
      </c>
      <c r="E946" s="22" t="s">
        <v>1542</v>
      </c>
      <c r="F946" s="22" t="s">
        <v>1542</v>
      </c>
      <c r="G946" s="22" t="s">
        <v>94</v>
      </c>
      <c r="H946" s="23" t="str">
        <f>HYPERLINK("http://www.marinespecies.org/aphia.php?p=taxdetails&amp;id=115073","115073")</f>
        <v>115073</v>
      </c>
      <c r="I946" s="22" t="s">
        <v>94</v>
      </c>
      <c r="J946" s="24" t="str">
        <f t="shared" si="6"/>
        <v/>
      </c>
    </row>
    <row r="947">
      <c r="A947" s="22" t="s">
        <v>560</v>
      </c>
      <c r="B947" s="22">
        <v>6182.0</v>
      </c>
      <c r="C947" s="23" t="str">
        <f>HYPERLINK("http://ecotaxoserver.obs-vlfr.fr/browsetaxo/?id=2282","2282")</f>
        <v>2282</v>
      </c>
      <c r="D947" s="23" t="str">
        <f>HYPERLINK("http://www.marinespecies.org/aphia.php?p=taxdetails&amp;id=115057","115057")</f>
        <v>115057</v>
      </c>
      <c r="E947" s="22" t="s">
        <v>960</v>
      </c>
      <c r="F947" s="22" t="s">
        <v>960</v>
      </c>
      <c r="G947" s="22" t="s">
        <v>94</v>
      </c>
      <c r="H947" s="23" t="str">
        <f>HYPERLINK("http://www.marinespecies.org/aphia.php?p=taxdetails&amp;id=115057","115057")</f>
        <v>115057</v>
      </c>
      <c r="I947" s="22" t="s">
        <v>94</v>
      </c>
      <c r="J947" s="24" t="str">
        <f t="shared" si="6"/>
        <v/>
      </c>
    </row>
    <row r="948">
      <c r="A948" s="22" t="s">
        <v>1543</v>
      </c>
      <c r="B948" s="22">
        <v>1.0</v>
      </c>
      <c r="C948" s="23" t="str">
        <f>HYPERLINK("http://ecotaxoserver.obs-vlfr.fr/browsetaxo/?id=27368","27368")</f>
        <v>27368</v>
      </c>
      <c r="D948" s="23" t="str">
        <f>HYPERLINK("http://www.marinespecies.org/aphia.php?p=taxdetails&amp;id=624966","624966")</f>
        <v>624966</v>
      </c>
      <c r="E948" s="22" t="s">
        <v>1544</v>
      </c>
      <c r="F948" s="22" t="s">
        <v>1544</v>
      </c>
      <c r="G948" s="22" t="s">
        <v>94</v>
      </c>
      <c r="H948" s="23" t="str">
        <f>HYPERLINK("http://www.marinespecies.org/aphia.php?p=taxdetails&amp;id=624966","624966")</f>
        <v>624966</v>
      </c>
      <c r="I948" s="22" t="s">
        <v>94</v>
      </c>
      <c r="J948" s="24" t="str">
        <f t="shared" si="6"/>
        <v/>
      </c>
    </row>
    <row r="949">
      <c r="A949" s="22" t="s">
        <v>1545</v>
      </c>
      <c r="B949" s="22">
        <v>1.0</v>
      </c>
      <c r="C949" s="23" t="str">
        <f>HYPERLINK("http://ecotaxoserver.obs-vlfr.fr/browsetaxo/?id=93261","93261")</f>
        <v>93261</v>
      </c>
      <c r="D949" s="23" t="str">
        <f>HYPERLINK("http://www.marinespecies.org/aphia.php?p=taxdetails&amp;id=126039","126039")</f>
        <v>126039</v>
      </c>
      <c r="E949" s="22" t="s">
        <v>1272</v>
      </c>
      <c r="F949" s="22" t="s">
        <v>1272</v>
      </c>
      <c r="G949" s="22" t="s">
        <v>94</v>
      </c>
      <c r="H949" s="23" t="str">
        <f>HYPERLINK("http://www.marinespecies.org/aphia.php?p=taxdetails&amp;id=126039","126039")</f>
        <v>126039</v>
      </c>
      <c r="I949" s="22" t="s">
        <v>94</v>
      </c>
      <c r="J949" s="24" t="str">
        <f t="shared" si="6"/>
        <v/>
      </c>
    </row>
    <row r="950">
      <c r="A950" s="22" t="s">
        <v>1546</v>
      </c>
      <c r="B950" s="22">
        <v>1.0</v>
      </c>
      <c r="C950" s="23" t="str">
        <f>HYPERLINK("http://ecotaxoserver.obs-vlfr.fr/browsetaxo/?id=93305","93305")</f>
        <v>93305</v>
      </c>
      <c r="D950" s="23" t="str">
        <f>HYPERLINK("http://www.marinespecies.org/aphia.php?p=taxdetails&amp;id=219788","219788")</f>
        <v>219788</v>
      </c>
      <c r="E950" s="22" t="s">
        <v>1547</v>
      </c>
      <c r="F950" s="22" t="s">
        <v>1547</v>
      </c>
      <c r="G950" s="22" t="s">
        <v>94</v>
      </c>
      <c r="H950" s="23" t="str">
        <f>HYPERLINK("http://www.marinespecies.org/aphia.php?p=taxdetails&amp;id=219788","219788")</f>
        <v>219788</v>
      </c>
      <c r="I950" s="22" t="s">
        <v>94</v>
      </c>
      <c r="J950" s="24" t="str">
        <f t="shared" si="6"/>
        <v/>
      </c>
    </row>
    <row r="951">
      <c r="A951" s="22" t="s">
        <v>1548</v>
      </c>
      <c r="B951" s="22">
        <v>1.0</v>
      </c>
      <c r="C951" s="23" t="str">
        <f>HYPERLINK("http://ecotaxoserver.obs-vlfr.fr/browsetaxo/?id=93103","93103")</f>
        <v>93103</v>
      </c>
      <c r="D951" s="23" t="str">
        <f>HYPERLINK("http://www.marinespecies.org/aphia.php?p=taxdetails&amp;id=1035173","1035173")</f>
        <v>1035173</v>
      </c>
      <c r="E951" s="22" t="s">
        <v>1549</v>
      </c>
      <c r="F951" s="22" t="s">
        <v>1549</v>
      </c>
      <c r="G951" s="22" t="s">
        <v>94</v>
      </c>
      <c r="H951" s="23" t="str">
        <f>HYPERLINK("http://www.marinespecies.org/aphia.php?p=taxdetails&amp;id=1035173","1035173")</f>
        <v>1035173</v>
      </c>
      <c r="I951" s="22" t="s">
        <v>94</v>
      </c>
      <c r="J951" s="24" t="str">
        <f t="shared" si="6"/>
        <v/>
      </c>
    </row>
    <row r="952">
      <c r="A952" s="22" t="s">
        <v>1550</v>
      </c>
      <c r="B952" s="22">
        <v>15947.0</v>
      </c>
      <c r="C952" s="23" t="str">
        <f>HYPERLINK("http://ecotaxoserver.obs-vlfr.fr/browsetaxo/?id=28138","28138")</f>
        <v>28138</v>
      </c>
      <c r="D952" s="23" t="str">
        <f>HYPERLINK("http://www.marinespecies.org/aphia.php?p=taxdetails&amp;id=149151","149151")</f>
        <v>149151</v>
      </c>
      <c r="E952" s="22" t="s">
        <v>119</v>
      </c>
      <c r="F952" s="22" t="s">
        <v>307</v>
      </c>
      <c r="G952" s="22" t="s">
        <v>94</v>
      </c>
      <c r="H952" s="23" t="str">
        <f>HYPERLINK("http://www.marinespecies.org/aphia.php?p=taxdetails&amp;id=149151","149151")</f>
        <v>149151</v>
      </c>
      <c r="I952" s="22" t="s">
        <v>94</v>
      </c>
      <c r="J952" s="24" t="str">
        <f t="shared" si="6"/>
        <v>!=</v>
      </c>
    </row>
    <row r="953">
      <c r="A953" s="22" t="s">
        <v>1551</v>
      </c>
      <c r="B953" s="22">
        <v>390.0</v>
      </c>
      <c r="C953" s="23" t="str">
        <f>HYPERLINK("http://ecotaxoserver.obs-vlfr.fr/browsetaxo/?id=55731","55731")</f>
        <v>55731</v>
      </c>
      <c r="D953" s="23" t="str">
        <f>HYPERLINK("http://www.marinespecies.org/aphia.php?p=taxdetails&amp;id=149153","149153")</f>
        <v>149153</v>
      </c>
      <c r="E953" s="22" t="s">
        <v>1550</v>
      </c>
      <c r="F953" s="22" t="s">
        <v>1550</v>
      </c>
      <c r="G953" s="22" t="s">
        <v>94</v>
      </c>
      <c r="H953" s="23" t="str">
        <f>HYPERLINK("http://www.marinespecies.org/aphia.php?p=taxdetails&amp;id=149153","149153")</f>
        <v>149153</v>
      </c>
      <c r="I953" s="22" t="s">
        <v>94</v>
      </c>
      <c r="J953" s="24" t="str">
        <f t="shared" si="6"/>
        <v/>
      </c>
    </row>
    <row r="954">
      <c r="A954" s="22" t="s">
        <v>1552</v>
      </c>
      <c r="B954" s="22">
        <v>17.0</v>
      </c>
      <c r="C954" s="23" t="str">
        <f>HYPERLINK("http://ecotaxoserver.obs-vlfr.fr/browsetaxo/?id=55730","55730")</f>
        <v>55730</v>
      </c>
      <c r="D954" s="23" t="str">
        <f>HYPERLINK("http://www.marinespecies.org/aphia.php?p=taxdetails&amp;id=246606","246606")</f>
        <v>246606</v>
      </c>
      <c r="E954" s="22" t="s">
        <v>1550</v>
      </c>
      <c r="F954" s="22" t="s">
        <v>1550</v>
      </c>
      <c r="G954" s="22" t="s">
        <v>94</v>
      </c>
      <c r="H954" s="23" t="str">
        <f>HYPERLINK("http://www.marinespecies.org/aphia.php?p=taxdetails&amp;id=246606","246606")</f>
        <v>246606</v>
      </c>
      <c r="I954" s="22" t="s">
        <v>94</v>
      </c>
      <c r="J954" s="24" t="str">
        <f t="shared" si="6"/>
        <v/>
      </c>
    </row>
    <row r="955">
      <c r="A955" s="22" t="s">
        <v>1553</v>
      </c>
      <c r="B955" s="22">
        <v>14.0</v>
      </c>
      <c r="C955" s="23" t="str">
        <f>HYPERLINK("http://ecotaxoserver.obs-vlfr.fr/browsetaxo/?id=55729","55729")</f>
        <v>55729</v>
      </c>
      <c r="D955" s="23" t="str">
        <f>HYPERLINK("http://www.marinespecies.org/aphia.php?p=taxdetails&amp;id=411764","411764")</f>
        <v>411764</v>
      </c>
      <c r="E955" s="22" t="s">
        <v>1550</v>
      </c>
      <c r="F955" s="22" t="s">
        <v>1550</v>
      </c>
      <c r="G955" s="22" t="s">
        <v>94</v>
      </c>
      <c r="H955" s="23" t="str">
        <f>HYPERLINK("http://www.marinespecies.org/aphia.php?p=taxdetails&amp;id=411764","411764")</f>
        <v>411764</v>
      </c>
      <c r="I955" s="22" t="s">
        <v>94</v>
      </c>
      <c r="J955" s="24" t="str">
        <f t="shared" si="6"/>
        <v/>
      </c>
    </row>
    <row r="956">
      <c r="A956" s="22" t="s">
        <v>1554</v>
      </c>
      <c r="B956" s="22">
        <v>1425.0</v>
      </c>
      <c r="C956" s="23" t="str">
        <f>HYPERLINK("http://ecotaxoserver.obs-vlfr.fr/browsetaxo/?id=55724","55724")</f>
        <v>55724</v>
      </c>
      <c r="D956" s="23" t="str">
        <f>HYPERLINK("http://www.marinespecies.org/aphia.php?p=taxdetails&amp;id=149152","149152")</f>
        <v>149152</v>
      </c>
      <c r="E956" s="22" t="s">
        <v>1550</v>
      </c>
      <c r="F956" s="22" t="s">
        <v>1550</v>
      </c>
      <c r="G956" s="22" t="s">
        <v>94</v>
      </c>
      <c r="H956" s="23" t="str">
        <f>HYPERLINK("http://www.marinespecies.org/aphia.php?p=taxdetails&amp;id=149152","149152")</f>
        <v>149152</v>
      </c>
      <c r="I956" s="22" t="s">
        <v>94</v>
      </c>
      <c r="J956" s="24" t="str">
        <f t="shared" si="6"/>
        <v/>
      </c>
    </row>
    <row r="957">
      <c r="A957" s="22" t="s">
        <v>1555</v>
      </c>
      <c r="B957" s="22">
        <v>4.0</v>
      </c>
      <c r="C957" s="23" t="str">
        <f>HYPERLINK("http://ecotaxoserver.obs-vlfr.fr/browsetaxo/?id=55722","55722")</f>
        <v>55722</v>
      </c>
      <c r="D957" s="23" t="str">
        <f>HYPERLINK("http://www.marinespecies.org/aphia.php?p=taxdetails&amp;id=246609","246609")</f>
        <v>246609</v>
      </c>
      <c r="E957" s="22" t="s">
        <v>1550</v>
      </c>
      <c r="F957" s="22" t="s">
        <v>1550</v>
      </c>
      <c r="G957" s="22" t="s">
        <v>94</v>
      </c>
      <c r="H957" s="23" t="str">
        <f>HYPERLINK("http://www.marinespecies.org/aphia.php?p=taxdetails&amp;id=246609","246609")</f>
        <v>246609</v>
      </c>
      <c r="I957" s="22" t="s">
        <v>94</v>
      </c>
      <c r="J957" s="24" t="str">
        <f t="shared" si="6"/>
        <v/>
      </c>
    </row>
    <row r="958">
      <c r="A958" s="22" t="s">
        <v>1556</v>
      </c>
      <c r="B958" s="22">
        <v>57633.0</v>
      </c>
      <c r="C958" s="23" t="str">
        <f>HYPERLINK("http://ecotaxoserver.obs-vlfr.fr/browsetaxo/?id=80135","80135")</f>
        <v>80135</v>
      </c>
      <c r="D958" s="23" t="str">
        <f>HYPERLINK("http://www.marinespecies.org/aphia.php?p=taxdetails&amp;id=104165","104165")</f>
        <v>104165</v>
      </c>
      <c r="E958" s="22" t="s">
        <v>538</v>
      </c>
      <c r="F958" s="22" t="s">
        <v>538</v>
      </c>
      <c r="G958" s="22" t="s">
        <v>94</v>
      </c>
      <c r="H958" s="23" t="str">
        <f>HYPERLINK("http://www.marinespecies.org/aphia.php?p=taxdetails&amp;id=104165","104165")</f>
        <v>104165</v>
      </c>
      <c r="I958" s="22" t="s">
        <v>94</v>
      </c>
      <c r="J958" s="24" t="str">
        <f t="shared" si="6"/>
        <v/>
      </c>
    </row>
    <row r="959">
      <c r="A959" s="22" t="s">
        <v>1557</v>
      </c>
      <c r="B959" s="22">
        <v>1.0</v>
      </c>
      <c r="C959" s="23" t="str">
        <f>HYPERLINK("http://ecotaxoserver.obs-vlfr.fr/browsetaxo/?id=61978","61978")</f>
        <v>61978</v>
      </c>
      <c r="D959" s="23" t="str">
        <f>HYPERLINK("http://www.marinespecies.org/aphia.php?p=taxdetails&amp;id=104100","104100")</f>
        <v>104100</v>
      </c>
      <c r="E959" s="22" t="s">
        <v>111</v>
      </c>
      <c r="F959" s="22" t="s">
        <v>111</v>
      </c>
      <c r="G959" s="22" t="s">
        <v>94</v>
      </c>
      <c r="H959" s="23" t="str">
        <f>HYPERLINK("http://www.marinespecies.org/aphia.php?p=taxdetails&amp;id=104100","104100")</f>
        <v>104100</v>
      </c>
      <c r="I959" s="22" t="s">
        <v>94</v>
      </c>
      <c r="J959" s="24" t="str">
        <f t="shared" si="6"/>
        <v/>
      </c>
    </row>
    <row r="960">
      <c r="A960" s="22" t="s">
        <v>1558</v>
      </c>
      <c r="B960" s="22">
        <v>1.0</v>
      </c>
      <c r="C960" s="23" t="str">
        <f>HYPERLINK("http://ecotaxoserver.obs-vlfr.fr/browsetaxo/?id=93284","93284")</f>
        <v>93284</v>
      </c>
      <c r="D960" s="23" t="str">
        <f>HYPERLINK("http://www.marinespecies.org/aphia.php?p=taxdetails&amp;id=278293","278293")</f>
        <v>278293</v>
      </c>
      <c r="E960" s="22" t="s">
        <v>1559</v>
      </c>
      <c r="F960" s="22" t="s">
        <v>1559</v>
      </c>
      <c r="G960" s="22" t="s">
        <v>94</v>
      </c>
      <c r="H960" s="23" t="str">
        <f>HYPERLINK("http://www.marinespecies.org/aphia.php?p=taxdetails&amp;id=278293","278293")</f>
        <v>278293</v>
      </c>
      <c r="I960" s="22" t="s">
        <v>94</v>
      </c>
      <c r="J960" s="24" t="str">
        <f t="shared" si="6"/>
        <v/>
      </c>
    </row>
    <row r="961">
      <c r="A961" s="22" t="s">
        <v>1560</v>
      </c>
      <c r="B961" s="22">
        <v>1.0</v>
      </c>
      <c r="C961" s="23" t="str">
        <f>HYPERLINK("http://ecotaxoserver.obs-vlfr.fr/browsetaxo/?id=93376","93376")</f>
        <v>93376</v>
      </c>
      <c r="D961" s="23" t="str">
        <f>HYPERLINK("http://www.marinespecies.org/aphia.php?p=taxdetails&amp;id=220051","220051")</f>
        <v>220051</v>
      </c>
      <c r="E961" s="22" t="s">
        <v>1561</v>
      </c>
      <c r="F961" s="22" t="s">
        <v>1561</v>
      </c>
      <c r="G961" s="22" t="s">
        <v>94</v>
      </c>
      <c r="H961" s="23" t="str">
        <f>HYPERLINK("http://www.marinespecies.org/aphia.php?p=taxdetails&amp;id=220051","220051")</f>
        <v>220051</v>
      </c>
      <c r="I961" s="22" t="s">
        <v>94</v>
      </c>
      <c r="J961" s="24" t="str">
        <f t="shared" si="6"/>
        <v/>
      </c>
    </row>
    <row r="962">
      <c r="A962" s="22" t="s">
        <v>1562</v>
      </c>
      <c r="B962" s="22">
        <v>27.0</v>
      </c>
      <c r="C962" s="23" t="str">
        <f>HYPERLINK("http://ecotaxoserver.obs-vlfr.fr/browsetaxo/?id=27865","27865")</f>
        <v>27865</v>
      </c>
      <c r="D962" s="23" t="str">
        <f>HYPERLINK("http://www.marinespecies.org/aphia.php?p=taxdetails&amp;id=391967","391967")</f>
        <v>391967</v>
      </c>
      <c r="E962" s="22" t="s">
        <v>1563</v>
      </c>
      <c r="F962" s="22" t="s">
        <v>1563</v>
      </c>
      <c r="G962" s="22" t="s">
        <v>94</v>
      </c>
      <c r="H962" s="23" t="str">
        <f>HYPERLINK("http://www.marinespecies.org/aphia.php?p=taxdetails&amp;id=391967","391967")</f>
        <v>391967</v>
      </c>
      <c r="I962" s="22" t="s">
        <v>94</v>
      </c>
      <c r="J962" s="24" t="str">
        <f t="shared" si="6"/>
        <v/>
      </c>
    </row>
    <row r="963">
      <c r="A963" s="22" t="s">
        <v>1564</v>
      </c>
      <c r="B963" s="22">
        <v>41.0</v>
      </c>
      <c r="C963" s="23" t="str">
        <f>HYPERLINK("http://ecotaxoserver.obs-vlfr.fr/browsetaxo/?id=55186","55186")</f>
        <v>55186</v>
      </c>
      <c r="D963" s="23" t="str">
        <f>HYPERLINK("http://www.marinespecies.org/aphia.php?p=taxdetails&amp;id=413025","413025")</f>
        <v>413025</v>
      </c>
      <c r="E963" s="22" t="s">
        <v>1562</v>
      </c>
      <c r="F963" s="22" t="s">
        <v>1562</v>
      </c>
      <c r="G963" s="22" t="s">
        <v>94</v>
      </c>
      <c r="H963" s="23" t="str">
        <f>HYPERLINK("http://www.marinespecies.org/aphia.php?p=taxdetails&amp;id=413025","413025")</f>
        <v>413025</v>
      </c>
      <c r="I963" s="22" t="s">
        <v>94</v>
      </c>
      <c r="J963" s="24" t="str">
        <f t="shared" si="6"/>
        <v/>
      </c>
    </row>
    <row r="964">
      <c r="A964" s="22" t="s">
        <v>1565</v>
      </c>
      <c r="B964" s="22">
        <v>1.0</v>
      </c>
      <c r="C964" s="23" t="str">
        <f>HYPERLINK("http://ecotaxoserver.obs-vlfr.fr/browsetaxo/?id=93136","93136")</f>
        <v>93136</v>
      </c>
      <c r="D964" s="23" t="str">
        <f>HYPERLINK("http://www.marinespecies.org/aphia.php?p=taxdetails&amp;id=204051","204051")</f>
        <v>204051</v>
      </c>
      <c r="E964" s="22" t="s">
        <v>1566</v>
      </c>
      <c r="F964" s="22" t="s">
        <v>1566</v>
      </c>
      <c r="G964" s="22" t="s">
        <v>94</v>
      </c>
      <c r="H964" s="23" t="str">
        <f>HYPERLINK("http://www.marinespecies.org/aphia.php?p=taxdetails&amp;id=204051","204051")</f>
        <v>204051</v>
      </c>
      <c r="I964" s="22" t="s">
        <v>94</v>
      </c>
      <c r="J964" s="24" t="str">
        <f t="shared" si="6"/>
        <v/>
      </c>
    </row>
    <row r="965">
      <c r="A965" s="22" t="s">
        <v>1567</v>
      </c>
      <c r="B965" s="22">
        <v>1.0</v>
      </c>
      <c r="C965" s="23" t="str">
        <f>HYPERLINK("http://ecotaxoserver.obs-vlfr.fr/browsetaxo/?id=93306","93306")</f>
        <v>93306</v>
      </c>
      <c r="D965" s="23" t="str">
        <f>HYPERLINK("http://www.marinespecies.org/aphia.php?p=taxdetails&amp;id=218081","218081")</f>
        <v>218081</v>
      </c>
      <c r="E965" s="22" t="s">
        <v>1565</v>
      </c>
      <c r="F965" s="22" t="s">
        <v>1565</v>
      </c>
      <c r="G965" s="22" t="s">
        <v>94</v>
      </c>
      <c r="H965" s="23" t="str">
        <f>HYPERLINK("http://www.marinespecies.org/aphia.php?p=taxdetails&amp;id=218081","218081")</f>
        <v>218081</v>
      </c>
      <c r="I965" s="22" t="s">
        <v>94</v>
      </c>
      <c r="J965" s="24" t="str">
        <f t="shared" si="6"/>
        <v/>
      </c>
    </row>
    <row r="966">
      <c r="A966" s="22" t="s">
        <v>846</v>
      </c>
      <c r="B966" s="22">
        <v>804.0</v>
      </c>
      <c r="C966" s="23" t="str">
        <f>HYPERLINK("http://ecotaxoserver.obs-vlfr.fr/browsetaxo/?id=92976","92976")</f>
        <v>92976</v>
      </c>
      <c r="D966" s="23" t="str">
        <f>HYPERLINK("http://www.marinespecies.org/aphia.php?p=taxdetails&amp;id=325345","325345")</f>
        <v>325345</v>
      </c>
      <c r="E966" s="22" t="s">
        <v>181</v>
      </c>
      <c r="F966" s="22" t="s">
        <v>1568</v>
      </c>
      <c r="G966" s="22" t="s">
        <v>94</v>
      </c>
      <c r="H966" s="23" t="str">
        <f>HYPERLINK("http://www.marinespecies.org/aphia.php?p=taxdetails&amp;id=325345","325345")</f>
        <v>325345</v>
      </c>
      <c r="I966" s="22" t="s">
        <v>94</v>
      </c>
      <c r="J966" s="24" t="str">
        <f t="shared" si="6"/>
        <v>!=</v>
      </c>
    </row>
    <row r="967">
      <c r="A967" s="22" t="s">
        <v>1569</v>
      </c>
      <c r="B967" s="22">
        <v>63.0</v>
      </c>
      <c r="C967" s="23" t="str">
        <f>HYPERLINK("http://ecotaxoserver.obs-vlfr.fr/browsetaxo/?id=51157","51157")</f>
        <v>51157</v>
      </c>
      <c r="D967" s="23" t="str">
        <f>HYPERLINK("http://www.marinespecies.org/aphia.php?p=taxdetails&amp;id=105403","105403")</f>
        <v>105403</v>
      </c>
      <c r="E967" s="22" t="s">
        <v>1570</v>
      </c>
      <c r="F967" s="22" t="s">
        <v>1570</v>
      </c>
      <c r="G967" s="22" t="s">
        <v>94</v>
      </c>
      <c r="H967" s="23" t="str">
        <f>HYPERLINK("http://www.marinespecies.org/aphia.php?p=taxdetails&amp;id=105403","105403")</f>
        <v>105403</v>
      </c>
      <c r="I967" s="22" t="s">
        <v>94</v>
      </c>
      <c r="J967" s="24" t="str">
        <f t="shared" si="6"/>
        <v/>
      </c>
    </row>
    <row r="968">
      <c r="A968" s="22" t="s">
        <v>1571</v>
      </c>
      <c r="B968" s="22">
        <v>41.0</v>
      </c>
      <c r="C968" s="23" t="str">
        <f>HYPERLINK("http://ecotaxoserver.obs-vlfr.fr/browsetaxo/?id=71614","71614")</f>
        <v>71614</v>
      </c>
      <c r="D968" s="23" t="str">
        <f>HYPERLINK("http://www.marinespecies.org/aphia.php?p=taxdetails&amp;id=105430","105430")</f>
        <v>105430</v>
      </c>
      <c r="E968" s="22" t="s">
        <v>1569</v>
      </c>
      <c r="F968" s="22" t="s">
        <v>1569</v>
      </c>
      <c r="G968" s="22" t="s">
        <v>94</v>
      </c>
      <c r="H968" s="23" t="str">
        <f>HYPERLINK("http://www.marinespecies.org/aphia.php?p=taxdetails&amp;id=105430","105430")</f>
        <v>105430</v>
      </c>
      <c r="I968" s="22" t="s">
        <v>94</v>
      </c>
      <c r="J968" s="24" t="str">
        <f t="shared" si="6"/>
        <v/>
      </c>
    </row>
    <row r="969">
      <c r="A969" s="22" t="s">
        <v>1572</v>
      </c>
      <c r="B969" s="22">
        <v>4.0</v>
      </c>
      <c r="C969" s="23" t="str">
        <f>HYPERLINK("http://ecotaxoserver.obs-vlfr.fr/browsetaxo/?id=93223","93223")</f>
        <v>93223</v>
      </c>
      <c r="D969" s="23" t="str">
        <f>HYPERLINK("http://www.marinespecies.org/aphia.php?p=taxdetails&amp;id=387338","387338")</f>
        <v>387338</v>
      </c>
      <c r="E969" s="22" t="s">
        <v>1573</v>
      </c>
      <c r="F969" s="22" t="s">
        <v>1573</v>
      </c>
      <c r="G969" s="22" t="s">
        <v>94</v>
      </c>
      <c r="H969" s="23" t="str">
        <f>HYPERLINK("http://www.marinespecies.org/aphia.php?p=taxdetails&amp;id=387338","387338")</f>
        <v>387338</v>
      </c>
      <c r="I969" s="22" t="s">
        <v>94</v>
      </c>
      <c r="J969" s="24" t="str">
        <f t="shared" si="6"/>
        <v/>
      </c>
    </row>
    <row r="970">
      <c r="A970" s="22" t="s">
        <v>1574</v>
      </c>
      <c r="B970" s="22">
        <v>6.0</v>
      </c>
      <c r="C970" s="23" t="str">
        <f>HYPERLINK("http://ecotaxoserver.obs-vlfr.fr/browsetaxo/?id=92571","92571")</f>
        <v>92571</v>
      </c>
      <c r="D970" s="23" t="str">
        <f>HYPERLINK("http://www.marinespecies.org/aphia.php?p=taxdetails&amp;id=109888","109888")</f>
        <v>109888</v>
      </c>
      <c r="E970" s="22" t="s">
        <v>128</v>
      </c>
      <c r="F970" s="22" t="s">
        <v>1575</v>
      </c>
      <c r="G970" s="22" t="s">
        <v>94</v>
      </c>
      <c r="H970" s="23" t="str">
        <f>HYPERLINK("http://www.marinespecies.org/aphia.php?p=taxdetails&amp;id=109888","109888")</f>
        <v>109888</v>
      </c>
      <c r="I970" s="22" t="s">
        <v>94</v>
      </c>
      <c r="J970" s="24" t="str">
        <f t="shared" si="6"/>
        <v>!=</v>
      </c>
    </row>
    <row r="971">
      <c r="A971" s="22" t="s">
        <v>1576</v>
      </c>
      <c r="B971" s="22">
        <v>1.0</v>
      </c>
      <c r="C971" s="23" t="str">
        <f>HYPERLINK("http://ecotaxoserver.obs-vlfr.fr/browsetaxo/?id=93174","93174")</f>
        <v>93174</v>
      </c>
      <c r="D971" s="23" t="str">
        <f>HYPERLINK("http://www.marinespecies.org/aphia.php?p=taxdetails&amp;id=276913","276913")</f>
        <v>276913</v>
      </c>
      <c r="E971" s="22" t="s">
        <v>1577</v>
      </c>
      <c r="F971" s="22" t="s">
        <v>1577</v>
      </c>
      <c r="G971" s="22" t="s">
        <v>94</v>
      </c>
      <c r="H971" s="23" t="str">
        <f>HYPERLINK("http://www.marinespecies.org/aphia.php?p=taxdetails&amp;id=276913","276913")</f>
        <v>276913</v>
      </c>
      <c r="I971" s="22" t="s">
        <v>94</v>
      </c>
      <c r="J971" s="24" t="str">
        <f t="shared" si="6"/>
        <v/>
      </c>
    </row>
    <row r="972">
      <c r="A972" s="22" t="s">
        <v>1361</v>
      </c>
      <c r="B972" s="22">
        <v>25.0</v>
      </c>
      <c r="C972" s="23" t="str">
        <f>HYPERLINK("http://ecotaxoserver.obs-vlfr.fr/browsetaxo/?id=16615","16615")</f>
        <v>16615</v>
      </c>
      <c r="D972" s="23" t="str">
        <f>HYPERLINK("http://www.marinespecies.org/aphia.php?p=taxdetails&amp;id=1302","1302")</f>
        <v>1302</v>
      </c>
      <c r="E972" s="22" t="s">
        <v>247</v>
      </c>
      <c r="F972" s="22" t="s">
        <v>247</v>
      </c>
      <c r="G972" s="22" t="s">
        <v>94</v>
      </c>
      <c r="H972" s="23" t="str">
        <f>HYPERLINK("http://www.marinespecies.org/aphia.php?p=taxdetails&amp;id=1302","1302")</f>
        <v>1302</v>
      </c>
      <c r="I972" s="22" t="s">
        <v>94</v>
      </c>
      <c r="J972" s="24" t="str">
        <f t="shared" si="6"/>
        <v/>
      </c>
    </row>
    <row r="973">
      <c r="A973" s="22" t="s">
        <v>957</v>
      </c>
      <c r="B973" s="22">
        <v>1.0</v>
      </c>
      <c r="C973" s="23" t="str">
        <f>HYPERLINK("http://ecotaxoserver.obs-vlfr.fr/browsetaxo/?id=11341","11341")</f>
        <v>11341</v>
      </c>
      <c r="D973" s="23" t="str">
        <f>HYPERLINK("http://www.marinespecies.org/aphia.php?p=taxdetails&amp;id=17330","17330")</f>
        <v>17330</v>
      </c>
      <c r="E973" s="22" t="s">
        <v>502</v>
      </c>
      <c r="F973" s="22" t="s">
        <v>1578</v>
      </c>
      <c r="G973" s="22" t="s">
        <v>94</v>
      </c>
      <c r="H973" s="23" t="str">
        <f>HYPERLINK("http://www.marinespecies.org/aphia.php?p=taxdetails&amp;id=17330","17330")</f>
        <v>17330</v>
      </c>
      <c r="I973" s="22" t="s">
        <v>94</v>
      </c>
      <c r="J973" s="24" t="str">
        <f t="shared" si="6"/>
        <v>!=</v>
      </c>
    </row>
    <row r="974">
      <c r="A974" s="22" t="s">
        <v>1579</v>
      </c>
      <c r="B974" s="22">
        <v>5851.0</v>
      </c>
      <c r="C974" s="23" t="str">
        <f>HYPERLINK("http://ecotaxoserver.obs-vlfr.fr/browsetaxo/?id=12400","12400")</f>
        <v>12400</v>
      </c>
      <c r="D974" s="23" t="str">
        <f>HYPERLINK("http://www.marinespecies.org/aphia.php?p=taxdetails&amp;id=134529","134529")</f>
        <v>134529</v>
      </c>
      <c r="E974" s="22" t="s">
        <v>957</v>
      </c>
      <c r="F974" s="22" t="s">
        <v>958</v>
      </c>
      <c r="G974" s="22" t="s">
        <v>94</v>
      </c>
      <c r="H974" s="23" t="str">
        <f>HYPERLINK("http://www.marinespecies.org/aphia.php?p=taxdetails&amp;id=134529","134529")</f>
        <v>134529</v>
      </c>
      <c r="I974" s="22" t="s">
        <v>94</v>
      </c>
      <c r="J974" s="24" t="str">
        <f t="shared" si="6"/>
        <v>!=</v>
      </c>
    </row>
    <row r="975">
      <c r="A975" s="22" t="s">
        <v>1580</v>
      </c>
      <c r="B975" s="22">
        <v>8283.0</v>
      </c>
      <c r="C975" s="23" t="str">
        <f>HYPERLINK("http://ecotaxoserver.obs-vlfr.fr/browsetaxo/?id=31874","31874")</f>
        <v>31874</v>
      </c>
      <c r="D975" s="23" t="str">
        <f>HYPERLINK("http://www.marinespecies.org/aphia.php?p=taxdetails&amp;id=109444","109444")</f>
        <v>109444</v>
      </c>
      <c r="E975" s="22" t="s">
        <v>453</v>
      </c>
      <c r="F975" s="22" t="s">
        <v>1581</v>
      </c>
      <c r="G975" s="22" t="s">
        <v>94</v>
      </c>
      <c r="H975" s="23" t="str">
        <f>HYPERLINK("http://www.marinespecies.org/aphia.php?p=taxdetails&amp;id=109444","109444")</f>
        <v>109444</v>
      </c>
      <c r="I975" s="22" t="s">
        <v>94</v>
      </c>
      <c r="J975" s="24" t="str">
        <f t="shared" si="6"/>
        <v>!=</v>
      </c>
    </row>
    <row r="976">
      <c r="A976" s="22" t="s">
        <v>1581</v>
      </c>
      <c r="B976" s="22">
        <v>47.0</v>
      </c>
      <c r="C976" s="23" t="str">
        <f>HYPERLINK("http://ecotaxoserver.obs-vlfr.fr/browsetaxo/?id=13941","13941")</f>
        <v>13941</v>
      </c>
      <c r="D976" s="23" t="str">
        <f>HYPERLINK("http://www.marinespecies.org/aphia.php?p=taxdetails&amp;id=109398","109398")</f>
        <v>109398</v>
      </c>
      <c r="E976" s="22" t="s">
        <v>740</v>
      </c>
      <c r="F976" s="22" t="s">
        <v>740</v>
      </c>
      <c r="G976" s="22" t="s">
        <v>94</v>
      </c>
      <c r="H976" s="23" t="str">
        <f>HYPERLINK("http://www.marinespecies.org/aphia.php?p=taxdetails&amp;id=109398","109398")</f>
        <v>109398</v>
      </c>
      <c r="I976" s="22" t="s">
        <v>94</v>
      </c>
      <c r="J976" s="24" t="str">
        <f t="shared" si="6"/>
        <v/>
      </c>
    </row>
    <row r="977">
      <c r="A977" s="22" t="s">
        <v>1582</v>
      </c>
      <c r="B977" s="22">
        <v>274.0</v>
      </c>
      <c r="C977" s="23" t="str">
        <f>HYPERLINK("http://ecotaxoserver.obs-vlfr.fr/browsetaxo/?id=58550","58550")</f>
        <v>58550</v>
      </c>
      <c r="D977" s="23" t="str">
        <f>HYPERLINK("http://www.marinespecies.org/aphia.php?p=taxdetails&amp;id=109571","109571")</f>
        <v>109571</v>
      </c>
      <c r="E977" s="22" t="s">
        <v>1580</v>
      </c>
      <c r="F977" s="22" t="s">
        <v>1580</v>
      </c>
      <c r="G977" s="22" t="s">
        <v>94</v>
      </c>
      <c r="H977" s="23" t="str">
        <f>HYPERLINK("http://www.marinespecies.org/aphia.php?p=taxdetails&amp;id=109571","109571")</f>
        <v>109571</v>
      </c>
      <c r="I977" s="22" t="s">
        <v>94</v>
      </c>
      <c r="J977" s="24" t="str">
        <f t="shared" si="6"/>
        <v/>
      </c>
    </row>
    <row r="978">
      <c r="A978" s="22" t="s">
        <v>1583</v>
      </c>
      <c r="B978" s="22">
        <v>3.0</v>
      </c>
      <c r="C978" s="23" t="str">
        <f>HYPERLINK("http://ecotaxoserver.obs-vlfr.fr/browsetaxo/?id=92572","92572")</f>
        <v>92572</v>
      </c>
      <c r="D978" s="23" t="str">
        <f>HYPERLINK("http://www.marinespecies.org/aphia.php?p=taxdetails&amp;id=110327","110327")</f>
        <v>110327</v>
      </c>
      <c r="E978" s="22" t="s">
        <v>128</v>
      </c>
      <c r="F978" s="22" t="s">
        <v>1582</v>
      </c>
      <c r="G978" s="22" t="s">
        <v>94</v>
      </c>
      <c r="H978" s="23" t="str">
        <f>HYPERLINK("http://www.marinespecies.org/aphia.php?p=taxdetails&amp;id=110327","110327")</f>
        <v>110327</v>
      </c>
      <c r="I978" s="22" t="s">
        <v>94</v>
      </c>
      <c r="J978" s="24" t="str">
        <f t="shared" si="6"/>
        <v>!=</v>
      </c>
    </row>
    <row r="979">
      <c r="A979" s="22" t="s">
        <v>1584</v>
      </c>
      <c r="B979" s="22">
        <v>17.0</v>
      </c>
      <c r="C979" s="23" t="str">
        <f>HYPERLINK("http://ecotaxoserver.obs-vlfr.fr/browsetaxo/?id=79074","79074")</f>
        <v>79074</v>
      </c>
      <c r="D979" s="23" t="str">
        <f>HYPERLINK("http://www.marinespecies.org/aphia.php?p=taxdetails&amp;id=164053","164053")</f>
        <v>164053</v>
      </c>
      <c r="E979" s="22" t="s">
        <v>1582</v>
      </c>
      <c r="F979" s="22" t="s">
        <v>1582</v>
      </c>
      <c r="G979" s="22" t="s">
        <v>94</v>
      </c>
      <c r="H979" s="23" t="str">
        <f>HYPERLINK("http://www.marinespecies.org/aphia.php?p=taxdetails&amp;id=164053","164053")</f>
        <v>164053</v>
      </c>
      <c r="I979" s="22" t="s">
        <v>94</v>
      </c>
      <c r="J979" s="24" t="str">
        <f t="shared" si="6"/>
        <v/>
      </c>
    </row>
    <row r="980">
      <c r="A980" s="22" t="s">
        <v>1585</v>
      </c>
      <c r="B980" s="22">
        <v>419.0</v>
      </c>
      <c r="C980" s="23" t="str">
        <f>HYPERLINK("http://ecotaxoserver.obs-vlfr.fr/browsetaxo/?id=31699","31699")</f>
        <v>31699</v>
      </c>
      <c r="D980" s="23" t="str">
        <f>HYPERLINK("http://www.marinespecies.org/aphia.php?p=taxdetails&amp;id=109555","109555")</f>
        <v>109555</v>
      </c>
      <c r="E980" s="22" t="s">
        <v>1586</v>
      </c>
      <c r="F980" s="22" t="s">
        <v>1586</v>
      </c>
      <c r="G980" s="22" t="s">
        <v>94</v>
      </c>
      <c r="H980" s="23" t="str">
        <f>HYPERLINK("http://www.marinespecies.org/aphia.php?p=taxdetails&amp;id=109555","109555")</f>
        <v>109555</v>
      </c>
      <c r="I980" s="22" t="s">
        <v>94</v>
      </c>
      <c r="J980" s="24" t="str">
        <f t="shared" si="6"/>
        <v/>
      </c>
    </row>
    <row r="981">
      <c r="A981" s="22" t="s">
        <v>1587</v>
      </c>
      <c r="B981" s="22">
        <v>4.0</v>
      </c>
      <c r="C981" s="23" t="str">
        <f>HYPERLINK("http://ecotaxoserver.obs-vlfr.fr/browsetaxo/?id=58304","58304")</f>
        <v>58304</v>
      </c>
      <c r="D981" s="23" t="str">
        <f>HYPERLINK("http://www.marinespecies.org/aphia.php?p=taxdetails&amp;id=110267","110267")</f>
        <v>110267</v>
      </c>
      <c r="E981" s="22" t="s">
        <v>1585</v>
      </c>
      <c r="F981" s="22" t="s">
        <v>1585</v>
      </c>
      <c r="G981" s="22" t="s">
        <v>94</v>
      </c>
      <c r="H981" s="23" t="str">
        <f>HYPERLINK("http://www.marinespecies.org/aphia.php?p=taxdetails&amp;id=110267","110267")</f>
        <v>110267</v>
      </c>
      <c r="I981" s="22" t="s">
        <v>94</v>
      </c>
      <c r="J981" s="24" t="str">
        <f t="shared" si="6"/>
        <v/>
      </c>
    </row>
    <row r="982">
      <c r="A982" s="22" t="s">
        <v>1588</v>
      </c>
      <c r="B982" s="22">
        <v>1087.0</v>
      </c>
      <c r="C982" s="23" t="str">
        <f>HYPERLINK("http://ecotaxoserver.obs-vlfr.fr/browsetaxo/?id=51232","51232")</f>
        <v>51232</v>
      </c>
      <c r="D982" s="23" t="str">
        <f>HYPERLINK("http://www.marinespecies.org/aphia.php?p=taxdetails&amp;id=137224","137224")</f>
        <v>137224</v>
      </c>
      <c r="E982" s="22" t="s">
        <v>1589</v>
      </c>
      <c r="F982" s="22" t="s">
        <v>1590</v>
      </c>
      <c r="G982" s="22" t="s">
        <v>94</v>
      </c>
      <c r="H982" s="23" t="str">
        <f>HYPERLINK("http://www.marinespecies.org/aphia.php?p=taxdetails&amp;id=137224","137224")</f>
        <v>137224</v>
      </c>
      <c r="I982" s="22" t="s">
        <v>94</v>
      </c>
      <c r="J982" s="24" t="str">
        <f t="shared" si="6"/>
        <v>!=</v>
      </c>
    </row>
    <row r="983">
      <c r="A983" s="22" t="s">
        <v>1591</v>
      </c>
      <c r="B983" s="22">
        <v>41.0</v>
      </c>
      <c r="C983" s="23" t="str">
        <f>HYPERLINK("http://ecotaxoserver.obs-vlfr.fr/browsetaxo/?id=72054","72054")</f>
        <v>72054</v>
      </c>
      <c r="D983" s="23" t="str">
        <f>HYPERLINK("http://www.marinespecies.org/aphia.php?p=taxdetails&amp;id=137250","137250")</f>
        <v>137250</v>
      </c>
      <c r="E983" s="22" t="s">
        <v>1588</v>
      </c>
      <c r="F983" s="22" t="s">
        <v>1588</v>
      </c>
      <c r="G983" s="22" t="s">
        <v>94</v>
      </c>
      <c r="H983" s="23" t="str">
        <f>HYPERLINK("http://www.marinespecies.org/aphia.php?p=taxdetails&amp;id=137250","137250")</f>
        <v>137250</v>
      </c>
      <c r="I983" s="22" t="s">
        <v>94</v>
      </c>
      <c r="J983" s="24" t="str">
        <f t="shared" si="6"/>
        <v/>
      </c>
    </row>
    <row r="984">
      <c r="A984" s="22" t="s">
        <v>1589</v>
      </c>
      <c r="B984" s="22">
        <v>1632.0</v>
      </c>
      <c r="C984" s="23" t="str">
        <f>HYPERLINK("http://ecotaxoserver.obs-vlfr.fr/browsetaxo/?id=25943","25943")</f>
        <v>25943</v>
      </c>
      <c r="D984" s="23" t="str">
        <f>HYPERLINK("http://www.marinespecies.org/aphia.php?p=taxdetails&amp;id=137213","137213")</f>
        <v>137213</v>
      </c>
      <c r="E984" s="22" t="s">
        <v>767</v>
      </c>
      <c r="F984" s="22" t="s">
        <v>767</v>
      </c>
      <c r="G984" s="22" t="s">
        <v>94</v>
      </c>
      <c r="H984" s="23" t="str">
        <f>HYPERLINK("http://www.marinespecies.org/aphia.php?p=taxdetails&amp;id=137213","137213")</f>
        <v>137213</v>
      </c>
      <c r="I984" s="22" t="s">
        <v>94</v>
      </c>
      <c r="J984" s="24" t="str">
        <f t="shared" si="6"/>
        <v/>
      </c>
    </row>
    <row r="985">
      <c r="A985" s="22" t="s">
        <v>1592</v>
      </c>
      <c r="B985" s="22">
        <v>2.0</v>
      </c>
      <c r="C985" s="23" t="str">
        <f>HYPERLINK("http://ecotaxoserver.obs-vlfr.fr/browsetaxo/?id=51231","51231")</f>
        <v>51231</v>
      </c>
      <c r="D985" s="23" t="str">
        <f>HYPERLINK("http://www.marinespecies.org/aphia.php?p=taxdetails&amp;id=264934","264934")</f>
        <v>264934</v>
      </c>
      <c r="E985" s="22" t="s">
        <v>1589</v>
      </c>
      <c r="F985" s="22" t="s">
        <v>1590</v>
      </c>
      <c r="G985" s="22" t="s">
        <v>94</v>
      </c>
      <c r="H985" s="23" t="str">
        <f>HYPERLINK("http://www.marinespecies.org/aphia.php?p=taxdetails&amp;id=264934","264934")</f>
        <v>264934</v>
      </c>
      <c r="I985" s="22" t="s">
        <v>94</v>
      </c>
      <c r="J985" s="24" t="str">
        <f t="shared" si="6"/>
        <v>!=</v>
      </c>
    </row>
    <row r="986">
      <c r="A986" s="22" t="s">
        <v>101</v>
      </c>
      <c r="B986" s="22">
        <v>3267.0</v>
      </c>
      <c r="C986" s="23" t="str">
        <f>HYPERLINK("http://ecotaxoserver.obs-vlfr.fr/browsetaxo/?id=92677","92677")</f>
        <v>92677</v>
      </c>
      <c r="D986" s="23" t="str">
        <f>HYPERLINK("http://www.marinespecies.org/aphia.php?p=taxdetails&amp;id=582421","582421")</f>
        <v>582421</v>
      </c>
      <c r="E986" s="22" t="s">
        <v>128</v>
      </c>
      <c r="F986" s="22" t="s">
        <v>100</v>
      </c>
      <c r="G986" s="22" t="s">
        <v>94</v>
      </c>
      <c r="H986" s="23" t="str">
        <f>HYPERLINK("http://www.marinespecies.org/aphia.php?p=taxdetails&amp;id=582421","582421")</f>
        <v>582421</v>
      </c>
      <c r="I986" s="22" t="s">
        <v>94</v>
      </c>
      <c r="J986" s="24" t="str">
        <f t="shared" si="6"/>
        <v>!=</v>
      </c>
    </row>
    <row r="987">
      <c r="A987" s="22" t="s">
        <v>1593</v>
      </c>
      <c r="B987" s="22">
        <v>2.0</v>
      </c>
      <c r="C987" s="23" t="str">
        <f>HYPERLINK("http://ecotaxoserver.obs-vlfr.fr/browsetaxo/?id=12934","12934")</f>
        <v>12934</v>
      </c>
      <c r="D987" s="23" t="str">
        <f>HYPERLINK("http://www.marinespecies.org/aphia.php?p=taxdetails&amp;id=479175","479175")</f>
        <v>479175</v>
      </c>
      <c r="E987" s="22" t="s">
        <v>1439</v>
      </c>
      <c r="F987" s="22" t="s">
        <v>1439</v>
      </c>
      <c r="G987" s="22" t="s">
        <v>94</v>
      </c>
      <c r="H987" s="23" t="str">
        <f>HYPERLINK("http://www.marinespecies.org/aphia.php?p=taxdetails&amp;id=479175","479175")</f>
        <v>479175</v>
      </c>
      <c r="I987" s="22" t="s">
        <v>94</v>
      </c>
      <c r="J987" s="24" t="str">
        <f t="shared" si="6"/>
        <v/>
      </c>
    </row>
    <row r="988">
      <c r="A988" s="22" t="s">
        <v>1594</v>
      </c>
      <c r="B988" s="22">
        <v>2656.0</v>
      </c>
      <c r="C988" s="23" t="str">
        <f>HYPERLINK("http://ecotaxoserver.obs-vlfr.fr/browsetaxo/?id=31203","31203")</f>
        <v>31203</v>
      </c>
      <c r="D988" s="23" t="str">
        <f>HYPERLINK("http://www.marinespecies.org/aphia.php?p=taxdetails&amp;id=183576","183576")</f>
        <v>183576</v>
      </c>
      <c r="E988" s="22" t="s">
        <v>1540</v>
      </c>
      <c r="F988" s="22" t="s">
        <v>1540</v>
      </c>
      <c r="G988" s="22" t="s">
        <v>94</v>
      </c>
      <c r="H988" s="23" t="str">
        <f>HYPERLINK("http://www.marinespecies.org/aphia.php?p=taxdetails&amp;id=183576","183576")</f>
        <v>183576</v>
      </c>
      <c r="I988" s="22" t="s">
        <v>94</v>
      </c>
      <c r="J988" s="24" t="str">
        <f t="shared" si="6"/>
        <v/>
      </c>
    </row>
    <row r="989">
      <c r="A989" s="22" t="s">
        <v>1540</v>
      </c>
      <c r="B989" s="22">
        <v>13.0</v>
      </c>
      <c r="C989" s="23" t="str">
        <f>HYPERLINK("http://ecotaxoserver.obs-vlfr.fr/browsetaxo/?id=18604","18604")</f>
        <v>18604</v>
      </c>
      <c r="D989" s="23" t="str">
        <f>HYPERLINK("http://www.marinespecies.org/aphia.php?p=taxdetails&amp;id=183549","183549")</f>
        <v>183549</v>
      </c>
      <c r="E989" s="22" t="s">
        <v>508</v>
      </c>
      <c r="F989" s="22" t="s">
        <v>568</v>
      </c>
      <c r="G989" s="22" t="s">
        <v>94</v>
      </c>
      <c r="H989" s="23" t="str">
        <f>HYPERLINK("http://www.marinespecies.org/aphia.php?p=taxdetails&amp;id=183549","183549")</f>
        <v>183549</v>
      </c>
      <c r="I989" s="22" t="s">
        <v>94</v>
      </c>
      <c r="J989" s="24" t="str">
        <f t="shared" si="6"/>
        <v>!=</v>
      </c>
    </row>
    <row r="990">
      <c r="A990" s="22" t="s">
        <v>1595</v>
      </c>
      <c r="B990" s="22">
        <v>103.0</v>
      </c>
      <c r="C990" s="23" t="str">
        <f>HYPERLINK("http://ecotaxoserver.obs-vlfr.fr/browsetaxo/?id=92773","92773")</f>
        <v>92773</v>
      </c>
      <c r="D990" s="23" t="str">
        <f>HYPERLINK("http://www.marinespecies.org/aphia.php?p=taxdetails&amp;id=183550","183550")</f>
        <v>183550</v>
      </c>
      <c r="E990" s="22" t="s">
        <v>1540</v>
      </c>
      <c r="F990" s="22" t="s">
        <v>1540</v>
      </c>
      <c r="G990" s="22" t="s">
        <v>94</v>
      </c>
      <c r="H990" s="23" t="str">
        <f>HYPERLINK("http://www.marinespecies.org/aphia.php?p=taxdetails&amp;id=183550","183550")</f>
        <v>183550</v>
      </c>
      <c r="I990" s="22" t="s">
        <v>94</v>
      </c>
      <c r="J990" s="24" t="str">
        <f t="shared" si="6"/>
        <v/>
      </c>
    </row>
    <row r="991">
      <c r="A991" s="22" t="s">
        <v>1596</v>
      </c>
      <c r="B991" s="22">
        <v>3.0</v>
      </c>
      <c r="C991" s="23" t="str">
        <f>HYPERLINK("http://ecotaxoserver.obs-vlfr.fr/browsetaxo/?id=83775","83775")</f>
        <v>83775</v>
      </c>
      <c r="D991" s="23" t="str">
        <f>HYPERLINK("http://www.marinespecies.org/aphia.php?p=taxdetails&amp;id=205957","205957")</f>
        <v>205957</v>
      </c>
      <c r="E991" s="22" t="s">
        <v>1341</v>
      </c>
      <c r="F991" s="22" t="s">
        <v>1341</v>
      </c>
      <c r="G991" s="22" t="s">
        <v>94</v>
      </c>
      <c r="H991" s="23" t="str">
        <f>HYPERLINK("http://www.marinespecies.org/aphia.php?p=taxdetails&amp;id=205957","205957")</f>
        <v>205957</v>
      </c>
      <c r="I991" s="22" t="s">
        <v>94</v>
      </c>
      <c r="J991" s="24" t="str">
        <f t="shared" si="6"/>
        <v/>
      </c>
    </row>
    <row r="992">
      <c r="A992" s="22" t="s">
        <v>1597</v>
      </c>
      <c r="B992" s="22">
        <v>1045.0</v>
      </c>
      <c r="C992" s="23" t="str">
        <f>HYPERLINK("http://ecotaxoserver.obs-vlfr.fr/browsetaxo/?id=13206","13206")</f>
        <v>13206</v>
      </c>
      <c r="D992" s="23" t="str">
        <f>HYPERLINK("http://www.marinespecies.org/aphia.php?p=taxdetails&amp;id=115068","115068")</f>
        <v>115068</v>
      </c>
      <c r="E992" s="22" t="s">
        <v>1598</v>
      </c>
      <c r="F992" s="22" t="s">
        <v>1599</v>
      </c>
      <c r="G992" s="22" t="s">
        <v>94</v>
      </c>
      <c r="H992" s="23" t="str">
        <f>HYPERLINK("http://www.marinespecies.org/aphia.php?p=taxdetails&amp;id=115068","115068")</f>
        <v>115068</v>
      </c>
      <c r="I992" s="22" t="s">
        <v>94</v>
      </c>
      <c r="J992" s="24" t="str">
        <f t="shared" si="6"/>
        <v>!=</v>
      </c>
    </row>
    <row r="993">
      <c r="A993" s="22" t="s">
        <v>1600</v>
      </c>
      <c r="B993" s="22">
        <v>2412.0</v>
      </c>
      <c r="C993" s="23" t="str">
        <f>HYPERLINK("http://ecotaxoserver.obs-vlfr.fr/browsetaxo/?id=61977","61977")</f>
        <v>61977</v>
      </c>
      <c r="D993" s="23" t="str">
        <f>HYPERLINK("http://www.marinespecies.org/aphia.php?p=taxdetails&amp;id=345271","345271")</f>
        <v>345271</v>
      </c>
      <c r="E993" s="22" t="s">
        <v>111</v>
      </c>
      <c r="F993" s="22" t="s">
        <v>111</v>
      </c>
      <c r="G993" s="22" t="s">
        <v>94</v>
      </c>
      <c r="H993" s="23" t="str">
        <f>HYPERLINK("http://www.marinespecies.org/aphia.php?p=taxdetails&amp;id=345271","345271")</f>
        <v>345271</v>
      </c>
      <c r="I993" s="22" t="s">
        <v>94</v>
      </c>
      <c r="J993" s="24" t="str">
        <f t="shared" si="6"/>
        <v/>
      </c>
    </row>
    <row r="994">
      <c r="A994" s="22" t="s">
        <v>1601</v>
      </c>
      <c r="B994" s="22">
        <v>104.0</v>
      </c>
      <c r="C994" s="23" t="str">
        <f>HYPERLINK("http://ecotaxoserver.obs-vlfr.fr/browsetaxo/?id=80173","80173")</f>
        <v>80173</v>
      </c>
      <c r="D994" s="23" t="str">
        <f>HYPERLINK("http://www.marinespecies.org/aphia.php?p=taxdetails&amp;id=104172","104172")</f>
        <v>104172</v>
      </c>
      <c r="E994" s="22" t="s">
        <v>1600</v>
      </c>
      <c r="F994" s="22" t="s">
        <v>1600</v>
      </c>
      <c r="G994" s="22" t="s">
        <v>94</v>
      </c>
      <c r="H994" s="23" t="str">
        <f>HYPERLINK("http://www.marinespecies.org/aphia.php?p=taxdetails&amp;id=104172","104172")</f>
        <v>104172</v>
      </c>
      <c r="I994" s="22" t="s">
        <v>94</v>
      </c>
      <c r="J994" s="24" t="str">
        <f t="shared" si="6"/>
        <v/>
      </c>
    </row>
    <row r="995">
      <c r="A995" s="22" t="s">
        <v>1602</v>
      </c>
      <c r="B995" s="22">
        <v>207.0</v>
      </c>
      <c r="C995" s="23" t="str">
        <f>HYPERLINK("http://ecotaxoserver.obs-vlfr.fr/browsetaxo/?id=82541","82541")</f>
        <v>82541</v>
      </c>
      <c r="D995" s="23" t="str">
        <f>HYPERLINK("http://www.marinespecies.org/aphia.php?p=taxdetails&amp;id=104542","104542")</f>
        <v>104542</v>
      </c>
      <c r="E995" s="22" t="s">
        <v>1601</v>
      </c>
      <c r="F995" s="22" t="s">
        <v>1601</v>
      </c>
      <c r="G995" s="22" t="s">
        <v>94</v>
      </c>
      <c r="H995" s="23" t="str">
        <f>HYPERLINK("http://www.marinespecies.org/aphia.php?p=taxdetails&amp;id=104542","104542")</f>
        <v>104542</v>
      </c>
      <c r="I995" s="22" t="s">
        <v>94</v>
      </c>
      <c r="J995" s="24" t="str">
        <f t="shared" si="6"/>
        <v/>
      </c>
    </row>
    <row r="996">
      <c r="A996" s="22" t="s">
        <v>1603</v>
      </c>
      <c r="B996" s="22">
        <v>345.0</v>
      </c>
      <c r="C996" s="23" t="str">
        <f>HYPERLINK("http://ecotaxoserver.obs-vlfr.fr/browsetaxo/?id=82540","82540")</f>
        <v>82540</v>
      </c>
      <c r="D996" s="23" t="str">
        <f>HYPERLINK("http://www.marinespecies.org/aphia.php?p=taxdetails&amp;id=220837","220837")</f>
        <v>220837</v>
      </c>
      <c r="E996" s="22" t="s">
        <v>1601</v>
      </c>
      <c r="F996" s="22" t="s">
        <v>1601</v>
      </c>
      <c r="G996" s="22" t="s">
        <v>94</v>
      </c>
      <c r="H996" s="23" t="str">
        <f>HYPERLINK("http://www.marinespecies.org/aphia.php?p=taxdetails&amp;id=220837","220837")</f>
        <v>220837</v>
      </c>
      <c r="I996" s="22" t="s">
        <v>94</v>
      </c>
      <c r="J996" s="24" t="str">
        <f t="shared" si="6"/>
        <v/>
      </c>
    </row>
    <row r="997">
      <c r="A997" s="22" t="s">
        <v>1604</v>
      </c>
      <c r="B997" s="22">
        <v>1.0</v>
      </c>
      <c r="C997" s="23" t="str">
        <f>HYPERLINK("http://ecotaxoserver.obs-vlfr.fr/browsetaxo/?id=82539","82539")</f>
        <v>82539</v>
      </c>
      <c r="D997" s="23" t="str">
        <f>HYPERLINK("http://www.marinespecies.org/aphia.php?p=taxdetails&amp;id=104543","104543")</f>
        <v>104543</v>
      </c>
      <c r="E997" s="22" t="s">
        <v>1601</v>
      </c>
      <c r="F997" s="22" t="s">
        <v>1601</v>
      </c>
      <c r="G997" s="22" t="s">
        <v>94</v>
      </c>
      <c r="H997" s="23" t="str">
        <f>HYPERLINK("http://www.marinespecies.org/aphia.php?p=taxdetails&amp;id=104543","104543")</f>
        <v>104543</v>
      </c>
      <c r="I997" s="22" t="s">
        <v>94</v>
      </c>
      <c r="J997" s="24" t="str">
        <f t="shared" si="6"/>
        <v/>
      </c>
    </row>
    <row r="998">
      <c r="A998" s="22" t="s">
        <v>100</v>
      </c>
      <c r="B998" s="22">
        <v>181015.0</v>
      </c>
      <c r="C998" s="23" t="str">
        <f>HYPERLINK("http://ecotaxoserver.obs-vlfr.fr/browsetaxo/?id=342","342")</f>
        <v>342</v>
      </c>
      <c r="D998" s="23" t="str">
        <f>HYPERLINK("http://www.marinespecies.org/aphia.php?p=taxdetails&amp;id=582420","582420")</f>
        <v>582420</v>
      </c>
      <c r="E998" s="22" t="s">
        <v>961</v>
      </c>
      <c r="F998" s="22" t="s">
        <v>961</v>
      </c>
      <c r="G998" s="22" t="s">
        <v>94</v>
      </c>
      <c r="H998" s="23" t="str">
        <f>HYPERLINK("http://www.marinespecies.org/aphia.php?p=taxdetails&amp;id=582420","582420")</f>
        <v>582420</v>
      </c>
      <c r="I998" s="22" t="s">
        <v>94</v>
      </c>
      <c r="J998" s="24" t="str">
        <f t="shared" si="6"/>
        <v/>
      </c>
    </row>
    <row r="999">
      <c r="A999" s="22" t="s">
        <v>1605</v>
      </c>
      <c r="B999" s="22">
        <v>12162.0</v>
      </c>
      <c r="C999" s="23" t="str">
        <f>HYPERLINK("http://ecotaxoserver.obs-vlfr.fr/browsetaxo/?id=28296","28296")</f>
        <v>28296</v>
      </c>
      <c r="D999" s="23" t="str">
        <f>HYPERLINK("http://www.marinespecies.org/aphia.php?p=taxdetails&amp;id=149069","149069")</f>
        <v>149069</v>
      </c>
      <c r="E999" s="22" t="s">
        <v>688</v>
      </c>
      <c r="F999" s="22" t="s">
        <v>689</v>
      </c>
      <c r="G999" s="22" t="s">
        <v>94</v>
      </c>
      <c r="H999" s="23" t="str">
        <f>HYPERLINK("http://www.marinespecies.org/aphia.php?p=taxdetails&amp;id=149069","149069")</f>
        <v>149069</v>
      </c>
      <c r="I999" s="22" t="s">
        <v>94</v>
      </c>
      <c r="J999" s="24" t="str">
        <f t="shared" si="6"/>
        <v>!=</v>
      </c>
    </row>
    <row r="1000">
      <c r="A1000" s="22" t="s">
        <v>1606</v>
      </c>
      <c r="B1000" s="22">
        <v>1.0</v>
      </c>
      <c r="C1000" s="23" t="str">
        <f>HYPERLINK("http://ecotaxoserver.obs-vlfr.fr/browsetaxo/?id=92367","92367")</f>
        <v>92367</v>
      </c>
      <c r="D1000" s="23" t="str">
        <f>HYPERLINK("http://www.marinespecies.org/aphia.php?p=taxdetails&amp;id=196811","196811")</f>
        <v>196811</v>
      </c>
      <c r="E1000" s="22" t="s">
        <v>128</v>
      </c>
      <c r="F1000" s="22" t="s">
        <v>1605</v>
      </c>
      <c r="G1000" s="22" t="s">
        <v>94</v>
      </c>
      <c r="H1000" s="23" t="str">
        <f>HYPERLINK("http://www.marinespecies.org/aphia.php?p=taxdetails&amp;id=196811","196811")</f>
        <v>196811</v>
      </c>
      <c r="I1000" s="22" t="s">
        <v>94</v>
      </c>
      <c r="J1000" s="24" t="str">
        <f t="shared" si="6"/>
        <v>!=</v>
      </c>
    </row>
    <row r="1001">
      <c r="A1001" s="22" t="s">
        <v>1607</v>
      </c>
      <c r="B1001" s="22">
        <v>51.0</v>
      </c>
      <c r="C1001" s="23" t="str">
        <f>HYPERLINK("http://ecotaxoserver.obs-vlfr.fr/browsetaxo/?id=72815","72815")</f>
        <v>72815</v>
      </c>
      <c r="D1001" s="23" t="str">
        <f>HYPERLINK("http://www.marinespecies.org/aphia.php?p=taxdetails&amp;id=135299","135299")</f>
        <v>135299</v>
      </c>
      <c r="E1001" s="22" t="s">
        <v>1608</v>
      </c>
      <c r="F1001" s="22" t="s">
        <v>1608</v>
      </c>
      <c r="G1001" s="22" t="s">
        <v>94</v>
      </c>
      <c r="H1001" s="23" t="str">
        <f>HYPERLINK("http://www.marinespecies.org/aphia.php?p=taxdetails&amp;id=135299","135299")</f>
        <v>135299</v>
      </c>
      <c r="I1001" s="22" t="s">
        <v>94</v>
      </c>
      <c r="J1001" s="24" t="str">
        <f t="shared" si="6"/>
        <v/>
      </c>
    </row>
    <row r="1002">
      <c r="A1002" s="22" t="s">
        <v>1609</v>
      </c>
      <c r="B1002" s="22">
        <v>371.0</v>
      </c>
      <c r="C1002" s="23" t="str">
        <f>HYPERLINK("http://ecotaxoserver.obs-vlfr.fr/browsetaxo/?id=11617","11617")</f>
        <v>11617</v>
      </c>
      <c r="D1002" s="23" t="str">
        <f>HYPERLINK("http://www.marinespecies.org/aphia.php?p=taxdetails&amp;id=106289","106289")</f>
        <v>106289</v>
      </c>
      <c r="E1002" s="22" t="s">
        <v>514</v>
      </c>
      <c r="F1002" s="22" t="s">
        <v>1610</v>
      </c>
      <c r="G1002" s="22" t="s">
        <v>94</v>
      </c>
      <c r="H1002" s="23" t="str">
        <f>HYPERLINK("http://www.marinespecies.org/aphia.php?p=taxdetails&amp;id=106289","106289")</f>
        <v>106289</v>
      </c>
      <c r="I1002" s="22" t="s">
        <v>94</v>
      </c>
      <c r="J1002" s="24" t="str">
        <f t="shared" si="6"/>
        <v>!=</v>
      </c>
    </row>
    <row r="1003">
      <c r="A1003" s="22" t="s">
        <v>1611</v>
      </c>
      <c r="B1003" s="22">
        <v>288.0</v>
      </c>
      <c r="C1003" s="23" t="str">
        <f>HYPERLINK("http://ecotaxoserver.obs-vlfr.fr/browsetaxo/?id=72428","72428")</f>
        <v>72428</v>
      </c>
      <c r="D1003" s="23" t="str">
        <f>HYPERLINK("http://www.marinespecies.org/aphia.php?p=taxdetails&amp;id=117221","117221")</f>
        <v>117221</v>
      </c>
      <c r="E1003" s="22" t="s">
        <v>155</v>
      </c>
      <c r="F1003" s="22" t="s">
        <v>155</v>
      </c>
      <c r="G1003" s="22" t="s">
        <v>94</v>
      </c>
      <c r="H1003" s="23" t="str">
        <f>HYPERLINK("http://www.marinespecies.org/aphia.php?p=taxdetails&amp;id=117221","117221")</f>
        <v>117221</v>
      </c>
      <c r="I1003" s="22" t="s">
        <v>94</v>
      </c>
      <c r="J1003" s="24" t="str">
        <f t="shared" si="6"/>
        <v/>
      </c>
    </row>
    <row r="1004">
      <c r="A1004" s="22" t="s">
        <v>1612</v>
      </c>
      <c r="B1004" s="22">
        <v>5957.0</v>
      </c>
      <c r="C1004" s="23" t="str">
        <f>HYPERLINK("http://ecotaxoserver.obs-vlfr.fr/browsetaxo/?id=81871","81871")</f>
        <v>81871</v>
      </c>
      <c r="D1004" s="23" t="str">
        <f>HYPERLINK("http://www.marinespecies.org/aphia.php?p=taxdetails&amp;id=117865","117865")</f>
        <v>117865</v>
      </c>
      <c r="E1004" s="22" t="s">
        <v>1611</v>
      </c>
      <c r="F1004" s="22" t="s">
        <v>1611</v>
      </c>
      <c r="G1004" s="22" t="s">
        <v>94</v>
      </c>
      <c r="H1004" s="23" t="str">
        <f>HYPERLINK("http://www.marinespecies.org/aphia.php?p=taxdetails&amp;id=117865","117865")</f>
        <v>117865</v>
      </c>
      <c r="I1004" s="22" t="s">
        <v>94</v>
      </c>
      <c r="J1004" s="24" t="str">
        <f t="shared" si="6"/>
        <v/>
      </c>
    </row>
    <row r="1005">
      <c r="A1005" s="22" t="s">
        <v>155</v>
      </c>
      <c r="B1005" s="22">
        <v>2172.0</v>
      </c>
      <c r="C1005" s="23" t="str">
        <f>HYPERLINK("http://ecotaxoserver.obs-vlfr.fr/browsetaxo/?id=51390","51390")</f>
        <v>51390</v>
      </c>
      <c r="D1005" s="23" t="str">
        <f>HYPERLINK("http://www.marinespecies.org/aphia.php?p=taxdetails&amp;id=16842","16842")</f>
        <v>16842</v>
      </c>
      <c r="E1005" s="22" t="s">
        <v>249</v>
      </c>
      <c r="F1005" s="22" t="s">
        <v>249</v>
      </c>
      <c r="G1005" s="22" t="s">
        <v>94</v>
      </c>
      <c r="H1005" s="23" t="str">
        <f>HYPERLINK("http://www.marinespecies.org/aphia.php?p=taxdetails&amp;id=16842","16842")</f>
        <v>16842</v>
      </c>
      <c r="I1005" s="22" t="s">
        <v>94</v>
      </c>
      <c r="J1005" s="24" t="str">
        <f t="shared" si="6"/>
        <v/>
      </c>
    </row>
    <row r="1006">
      <c r="A1006" s="22" t="s">
        <v>1613</v>
      </c>
      <c r="B1006" s="22">
        <v>1892.0</v>
      </c>
      <c r="C1006" s="23" t="str">
        <f>HYPERLINK("http://ecotaxoserver.obs-vlfr.fr/browsetaxo/?id=92769","92769")</f>
        <v>92769</v>
      </c>
      <c r="D1006" s="23" t="str">
        <f>HYPERLINK("http://www.marinespecies.org/aphia.php?p=taxdetails&amp;id=370179","370179")</f>
        <v>370179</v>
      </c>
      <c r="E1006" s="22" t="s">
        <v>216</v>
      </c>
      <c r="F1006" s="22" t="s">
        <v>216</v>
      </c>
      <c r="G1006" s="22" t="s">
        <v>94</v>
      </c>
      <c r="H1006" s="23" t="str">
        <f>HYPERLINK("http://www.marinespecies.org/aphia.php?p=taxdetails&amp;id=370179","370179")</f>
        <v>370179</v>
      </c>
      <c r="I1006" s="22" t="s">
        <v>94</v>
      </c>
      <c r="J1006" s="24" t="str">
        <f t="shared" si="6"/>
        <v/>
      </c>
    </row>
    <row r="1007">
      <c r="A1007" s="22" t="s">
        <v>1614</v>
      </c>
      <c r="B1007" s="22">
        <v>1.0</v>
      </c>
      <c r="C1007" s="23" t="str">
        <f>HYPERLINK("http://ecotaxoserver.obs-vlfr.fr/browsetaxo/?id=92136","92136")</f>
        <v>92136</v>
      </c>
      <c r="D1007" s="23" t="str">
        <f>HYPERLINK("http://www.marinespecies.org/aphia.php?p=taxdetails&amp;id=135470","135470")</f>
        <v>135470</v>
      </c>
      <c r="E1007" s="22" t="s">
        <v>1615</v>
      </c>
      <c r="F1007" s="22" t="s">
        <v>1615</v>
      </c>
      <c r="G1007" s="22" t="s">
        <v>94</v>
      </c>
      <c r="H1007" s="23" t="str">
        <f>HYPERLINK("http://www.marinespecies.org/aphia.php?p=taxdetails&amp;id=135470","135470")</f>
        <v>135470</v>
      </c>
      <c r="I1007" s="22" t="s">
        <v>94</v>
      </c>
      <c r="J1007" s="24" t="str">
        <f t="shared" si="6"/>
        <v/>
      </c>
    </row>
    <row r="1008">
      <c r="A1008" s="22" t="s">
        <v>1616</v>
      </c>
      <c r="B1008" s="22">
        <v>29.0</v>
      </c>
      <c r="C1008" s="23" t="str">
        <f>HYPERLINK("http://ecotaxoserver.obs-vlfr.fr/browsetaxo/?id=54972","54972")</f>
        <v>54972</v>
      </c>
      <c r="D1008" s="23" t="str">
        <f>HYPERLINK("http://www.marinespecies.org/aphia.php?p=taxdetails&amp;id=112148","112148")</f>
        <v>112148</v>
      </c>
      <c r="E1008" s="22" t="s">
        <v>1617</v>
      </c>
      <c r="F1008" s="22" t="s">
        <v>1618</v>
      </c>
      <c r="G1008" s="22" t="s">
        <v>94</v>
      </c>
      <c r="H1008" s="23" t="str">
        <f>HYPERLINK("http://www.marinespecies.org/aphia.php?p=taxdetails&amp;id=112148","112148")</f>
        <v>112148</v>
      </c>
      <c r="I1008" s="22" t="s">
        <v>94</v>
      </c>
      <c r="J1008" s="24" t="str">
        <f t="shared" si="6"/>
        <v>!=</v>
      </c>
    </row>
    <row r="1009">
      <c r="A1009" s="22" t="s">
        <v>1619</v>
      </c>
      <c r="B1009" s="22">
        <v>28793.0</v>
      </c>
      <c r="C1009" s="23" t="str">
        <f>HYPERLINK("http://ecotaxoserver.obs-vlfr.fr/browsetaxo/?id=11486","11486")</f>
        <v>11486</v>
      </c>
      <c r="D1009" s="23" t="str">
        <f>HYPERLINK("http://www.marinespecies.org/aphia.php?p=taxdetails&amp;id=14260","14260")</f>
        <v>14260</v>
      </c>
      <c r="E1009" s="22" t="s">
        <v>223</v>
      </c>
      <c r="F1009" s="22" t="s">
        <v>224</v>
      </c>
      <c r="G1009" s="22" t="s">
        <v>94</v>
      </c>
      <c r="H1009" s="23" t="str">
        <f>HYPERLINK("http://www.marinespecies.org/aphia.php?p=taxdetails&amp;id=14260","14260")</f>
        <v>14260</v>
      </c>
      <c r="I1009" s="22" t="s">
        <v>94</v>
      </c>
      <c r="J1009" s="24" t="str">
        <f t="shared" si="6"/>
        <v>!=</v>
      </c>
    </row>
    <row r="1010">
      <c r="A1010" s="22" t="s">
        <v>1620</v>
      </c>
      <c r="B1010" s="22">
        <v>9.0</v>
      </c>
      <c r="C1010" s="23" t="str">
        <f>HYPERLINK("http://ecotaxoserver.obs-vlfr.fr/browsetaxo/?id=93540","93540")</f>
        <v>93540</v>
      </c>
      <c r="D1010" s="23" t="str">
        <f>HYPERLINK("http://www.marinespecies.org/aphia.php?p=taxdetails&amp;id=290999","290999")</f>
        <v>290999</v>
      </c>
      <c r="E1010" s="22" t="s">
        <v>1621</v>
      </c>
      <c r="F1010" s="22" t="s">
        <v>1621</v>
      </c>
      <c r="G1010" s="22" t="s">
        <v>94</v>
      </c>
      <c r="H1010" s="23" t="str">
        <f>HYPERLINK("http://www.marinespecies.org/aphia.php?p=taxdetails&amp;id=290999","290999")</f>
        <v>290999</v>
      </c>
      <c r="I1010" s="22" t="s">
        <v>94</v>
      </c>
      <c r="J1010" s="24" t="str">
        <f t="shared" si="6"/>
        <v/>
      </c>
    </row>
    <row r="1011">
      <c r="A1011" s="22" t="s">
        <v>1622</v>
      </c>
      <c r="B1011" s="22">
        <v>34.0</v>
      </c>
      <c r="C1011" s="23" t="str">
        <f>HYPERLINK("http://ecotaxoserver.obs-vlfr.fr/browsetaxo/?id=71624","71624")</f>
        <v>71624</v>
      </c>
      <c r="D1011" s="23" t="str">
        <f>HYPERLINK("http://www.marinespecies.org/aphia.php?p=taxdetails&amp;id=105448","105448")</f>
        <v>105448</v>
      </c>
      <c r="E1011" s="22" t="s">
        <v>1623</v>
      </c>
      <c r="F1011" s="22" t="s">
        <v>1623</v>
      </c>
      <c r="G1011" s="22" t="s">
        <v>94</v>
      </c>
      <c r="H1011" s="23" t="str">
        <f>HYPERLINK("http://www.marinespecies.org/aphia.php?p=taxdetails&amp;id=105448","105448")</f>
        <v>105448</v>
      </c>
      <c r="I1011" s="22" t="s">
        <v>94</v>
      </c>
      <c r="J1011" s="24" t="str">
        <f t="shared" si="6"/>
        <v/>
      </c>
    </row>
    <row r="1012">
      <c r="A1012" s="22" t="s">
        <v>863</v>
      </c>
      <c r="B1012" s="22">
        <v>3.0</v>
      </c>
      <c r="C1012" s="23" t="str">
        <f>HYPERLINK("http://ecotaxoserver.obs-vlfr.fr/browsetaxo/?id=25918","25918")</f>
        <v>25918</v>
      </c>
      <c r="D1012" s="23" t="str">
        <f>HYPERLINK("http://www.marinespecies.org/aphia.php?p=taxdetails&amp;id=5953","5953")</f>
        <v>5953</v>
      </c>
      <c r="E1012" s="22" t="s">
        <v>1624</v>
      </c>
      <c r="F1012" s="22" t="s">
        <v>1624</v>
      </c>
      <c r="G1012" s="22" t="s">
        <v>94</v>
      </c>
      <c r="H1012" s="23" t="str">
        <f>HYPERLINK("http://www.marinespecies.org/aphia.php?p=taxdetails&amp;id=5953","5953")</f>
        <v>5953</v>
      </c>
      <c r="I1012" s="22" t="s">
        <v>94</v>
      </c>
      <c r="J1012" s="24" t="str">
        <f t="shared" si="6"/>
        <v/>
      </c>
    </row>
    <row r="1013">
      <c r="A1013" s="22" t="s">
        <v>1625</v>
      </c>
      <c r="B1013" s="22">
        <v>4.0</v>
      </c>
      <c r="C1013" s="23" t="str">
        <f>HYPERLINK("http://ecotaxoserver.obs-vlfr.fr/browsetaxo/?id=72070","72070")</f>
        <v>72070</v>
      </c>
      <c r="D1013" s="23" t="str">
        <f>HYPERLINK("http://www.marinespecies.org/aphia.php?p=taxdetails&amp;id=137272","137272")</f>
        <v>137272</v>
      </c>
      <c r="E1013" s="22" t="s">
        <v>1626</v>
      </c>
      <c r="F1013" s="22" t="s">
        <v>1626</v>
      </c>
      <c r="G1013" s="22" t="s">
        <v>94</v>
      </c>
      <c r="H1013" s="23" t="str">
        <f>HYPERLINK("http://www.marinespecies.org/aphia.php?p=taxdetails&amp;id=137272","137272")</f>
        <v>137272</v>
      </c>
      <c r="I1013" s="22" t="s">
        <v>94</v>
      </c>
      <c r="J1013" s="24" t="str">
        <f t="shared" si="6"/>
        <v/>
      </c>
    </row>
    <row r="1014">
      <c r="A1014" s="22" t="s">
        <v>1627</v>
      </c>
      <c r="B1014" s="22">
        <v>47.0</v>
      </c>
      <c r="C1014" s="23" t="str">
        <f>HYPERLINK("http://ecotaxoserver.obs-vlfr.fr/browsetaxo/?id=72069","72069")</f>
        <v>72069</v>
      </c>
      <c r="D1014" s="23" t="str">
        <f>HYPERLINK("http://www.marinespecies.org/aphia.php?p=taxdetails&amp;id=137273","137273")</f>
        <v>137273</v>
      </c>
      <c r="E1014" s="22" t="s">
        <v>1626</v>
      </c>
      <c r="F1014" s="22" t="s">
        <v>1626</v>
      </c>
      <c r="G1014" s="22" t="s">
        <v>94</v>
      </c>
      <c r="H1014" s="23" t="str">
        <f>HYPERLINK("http://www.marinespecies.org/aphia.php?p=taxdetails&amp;id=137273","137273")</f>
        <v>137273</v>
      </c>
      <c r="I1014" s="22" t="s">
        <v>94</v>
      </c>
      <c r="J1014" s="24" t="str">
        <f t="shared" si="6"/>
        <v/>
      </c>
    </row>
    <row r="1015">
      <c r="A1015" s="22" t="s">
        <v>660</v>
      </c>
      <c r="B1015" s="22">
        <v>59691.0</v>
      </c>
      <c r="C1015" s="23" t="str">
        <f>HYPERLINK("http://ecotaxoserver.obs-vlfr.fr/browsetaxo/?id=25942","25942")</f>
        <v>25942</v>
      </c>
      <c r="D1015" s="23" t="str">
        <f>HYPERLINK("http://www.marinespecies.org/aphia.php?p=taxdetails&amp;id=137214","137214")</f>
        <v>137214</v>
      </c>
      <c r="E1015" s="22" t="s">
        <v>767</v>
      </c>
      <c r="F1015" s="22" t="s">
        <v>767</v>
      </c>
      <c r="G1015" s="22" t="s">
        <v>94</v>
      </c>
      <c r="H1015" s="23" t="str">
        <f>HYPERLINK("http://www.marinespecies.org/aphia.php?p=taxdetails&amp;id=137214","137214")</f>
        <v>137214</v>
      </c>
      <c r="I1015" s="22" t="s">
        <v>94</v>
      </c>
      <c r="J1015" s="24" t="str">
        <f t="shared" si="6"/>
        <v/>
      </c>
    </row>
    <row r="1016">
      <c r="A1016" s="22" t="s">
        <v>1628</v>
      </c>
      <c r="B1016" s="22">
        <v>1051.0</v>
      </c>
      <c r="C1016" s="23" t="str">
        <f>HYPERLINK("http://ecotaxoserver.obs-vlfr.fr/browsetaxo/?id=51236","51236")</f>
        <v>51236</v>
      </c>
      <c r="D1016" s="23" t="str">
        <f>HYPERLINK("http://www.marinespecies.org/aphia.php?p=taxdetails&amp;id=137217","137217")</f>
        <v>137217</v>
      </c>
      <c r="E1016" s="22" t="s">
        <v>660</v>
      </c>
      <c r="F1016" s="22" t="s">
        <v>660</v>
      </c>
      <c r="G1016" s="22" t="s">
        <v>94</v>
      </c>
      <c r="H1016" s="23" t="str">
        <f>HYPERLINK("http://www.marinespecies.org/aphia.php?p=taxdetails&amp;id=137217","137217")</f>
        <v>137217</v>
      </c>
      <c r="I1016" s="22" t="s">
        <v>94</v>
      </c>
      <c r="J1016" s="24" t="str">
        <f t="shared" si="6"/>
        <v/>
      </c>
    </row>
    <row r="1017">
      <c r="A1017" s="24" t="s">
        <v>1629</v>
      </c>
      <c r="C1017" s="23" t="str">
        <f>HYPERLINK("http://ecotaxoserver.obs-vlfr.fr/browsetaxo/?id=17193","17193")</f>
        <v>17193</v>
      </c>
      <c r="D1017" s="23" t="str">
        <f>HYPERLINK("http://www.marinespecies.org/aphia.php?p=taxdetails&amp;id=590940","590940")</f>
        <v>590940</v>
      </c>
      <c r="H1017" s="23" t="str">
        <f>HYPERLINK("http://www.marinespecies.org/aphia.php?p=taxdetails&amp;id=590940","590940")</f>
        <v>590940</v>
      </c>
      <c r="J1017" s="24"/>
    </row>
    <row r="1018">
      <c r="A1018" s="22" t="s">
        <v>1630</v>
      </c>
      <c r="B1018" s="22">
        <v>2492.0</v>
      </c>
      <c r="C1018" s="23" t="str">
        <f>HYPERLINK("http://ecotaxoserver.obs-vlfr.fr/browsetaxo/?id=81976","81976")</f>
        <v>81976</v>
      </c>
      <c r="D1018" s="23" t="str">
        <f>HYPERLINK("http://www.marinespecies.org/aphia.php?p=taxdetails&amp;id=128722","128722")</f>
        <v>128722</v>
      </c>
      <c r="E1018" s="22" t="s">
        <v>583</v>
      </c>
      <c r="F1018" s="22" t="s">
        <v>583</v>
      </c>
      <c r="G1018" s="22" t="s">
        <v>94</v>
      </c>
      <c r="H1018" s="23" t="str">
        <f>HYPERLINK("http://www.marinespecies.org/aphia.php?p=taxdetails&amp;id=128722","128722")</f>
        <v>128722</v>
      </c>
      <c r="I1018" s="22" t="s">
        <v>94</v>
      </c>
      <c r="J1018" s="24" t="str">
        <f t="shared" ref="J1018:J1234" si="7">IF(E1018&lt;&gt;F1018,"!=","")</f>
        <v/>
      </c>
    </row>
    <row r="1019">
      <c r="A1019" s="22" t="s">
        <v>583</v>
      </c>
      <c r="B1019" s="22">
        <v>4821.0</v>
      </c>
      <c r="C1019" s="23" t="str">
        <f>HYPERLINK("http://ecotaxoserver.obs-vlfr.fr/browsetaxo/?id=78412","78412")</f>
        <v>78412</v>
      </c>
      <c r="D1019" s="23" t="str">
        <f>HYPERLINK("http://www.marinespecies.org/aphia.php?p=taxdetails&amp;id=128595","128595")</f>
        <v>128595</v>
      </c>
      <c r="E1019" s="22" t="s">
        <v>599</v>
      </c>
      <c r="F1019" s="22" t="s">
        <v>600</v>
      </c>
      <c r="G1019" s="22" t="s">
        <v>94</v>
      </c>
      <c r="H1019" s="23" t="str">
        <f>HYPERLINK("http://www.marinespecies.org/aphia.php?p=taxdetails&amp;id=128595","128595")</f>
        <v>128595</v>
      </c>
      <c r="I1019" s="22" t="s">
        <v>94</v>
      </c>
      <c r="J1019" s="24" t="str">
        <f t="shared" si="7"/>
        <v>!=</v>
      </c>
    </row>
    <row r="1020">
      <c r="A1020" s="22" t="s">
        <v>1631</v>
      </c>
      <c r="B1020" s="22">
        <v>2.0</v>
      </c>
      <c r="C1020" s="23" t="str">
        <f>HYPERLINK("http://ecotaxoserver.obs-vlfr.fr/browsetaxo/?id=17728","17728")</f>
        <v>17728</v>
      </c>
      <c r="D1020" s="23" t="str">
        <f>HYPERLINK("http://www.marinespecies.org/aphia.php?p=taxdetails&amp;id=144132","144132")</f>
        <v>144132</v>
      </c>
      <c r="E1020" s="22" t="s">
        <v>1632</v>
      </c>
      <c r="F1020" s="22" t="s">
        <v>1633</v>
      </c>
      <c r="G1020" s="22" t="s">
        <v>94</v>
      </c>
      <c r="H1020" s="23" t="str">
        <f>HYPERLINK("http://www.marinespecies.org/aphia.php?p=taxdetails&amp;id=144132","144132")</f>
        <v>144132</v>
      </c>
      <c r="I1020" s="22" t="s">
        <v>94</v>
      </c>
      <c r="J1020" s="24" t="str">
        <f t="shared" si="7"/>
        <v>!=</v>
      </c>
    </row>
    <row r="1021">
      <c r="A1021" s="22" t="s">
        <v>1634</v>
      </c>
      <c r="B1021" s="22">
        <v>21.0</v>
      </c>
      <c r="C1021" s="23" t="str">
        <f>HYPERLINK("http://ecotaxoserver.obs-vlfr.fr/browsetaxo/?id=72275","72275")</f>
        <v>72275</v>
      </c>
      <c r="D1021" s="23" t="str">
        <f>HYPERLINK("http://www.marinespecies.org/aphia.php?p=taxdetails&amp;id=117070","117070")</f>
        <v>117070</v>
      </c>
      <c r="E1021" s="22" t="s">
        <v>606</v>
      </c>
      <c r="F1021" s="22" t="s">
        <v>606</v>
      </c>
      <c r="G1021" s="22" t="s">
        <v>94</v>
      </c>
      <c r="H1021" s="23" t="str">
        <f>HYPERLINK("http://www.marinespecies.org/aphia.php?p=taxdetails&amp;id=117070","117070")</f>
        <v>117070</v>
      </c>
      <c r="I1021" s="22" t="s">
        <v>94</v>
      </c>
      <c r="J1021" s="24" t="str">
        <f t="shared" si="7"/>
        <v/>
      </c>
    </row>
    <row r="1022">
      <c r="A1022" s="22" t="s">
        <v>1635</v>
      </c>
      <c r="B1022" s="22">
        <v>38.0</v>
      </c>
      <c r="C1022" s="23" t="str">
        <f>HYPERLINK("http://ecotaxoserver.obs-vlfr.fr/browsetaxo/?id=80178","80178")</f>
        <v>80178</v>
      </c>
      <c r="D1022" s="23" t="str">
        <f>HYPERLINK("http://www.marinespecies.org/aphia.php?p=taxdetails&amp;id=104228","104228")</f>
        <v>104228</v>
      </c>
      <c r="E1022" s="22" t="s">
        <v>1636</v>
      </c>
      <c r="F1022" s="22" t="s">
        <v>1636</v>
      </c>
      <c r="G1022" s="22" t="s">
        <v>94</v>
      </c>
      <c r="H1022" s="23" t="str">
        <f>HYPERLINK("http://www.marinespecies.org/aphia.php?p=taxdetails&amp;id=104228","104228")</f>
        <v>104228</v>
      </c>
      <c r="I1022" s="22" t="s">
        <v>94</v>
      </c>
      <c r="J1022" s="24" t="str">
        <f t="shared" si="7"/>
        <v/>
      </c>
    </row>
    <row r="1023">
      <c r="A1023" s="22" t="s">
        <v>1637</v>
      </c>
      <c r="B1023" s="22">
        <v>327.0</v>
      </c>
      <c r="C1023" s="23" t="str">
        <f>HYPERLINK("http://ecotaxoserver.obs-vlfr.fr/browsetaxo/?id=92259","92259")</f>
        <v>92259</v>
      </c>
      <c r="D1023" s="23" t="str">
        <f>HYPERLINK("http://www.marinespecies.org/aphia.php?p=taxdetails&amp;id=104790","104790")</f>
        <v>104790</v>
      </c>
      <c r="E1023" s="22" t="s">
        <v>1635</v>
      </c>
      <c r="F1023" s="22" t="s">
        <v>1635</v>
      </c>
      <c r="G1023" s="22" t="s">
        <v>94</v>
      </c>
      <c r="H1023" s="23" t="str">
        <f>HYPERLINK("http://www.marinespecies.org/aphia.php?p=taxdetails&amp;id=104790","104790")</f>
        <v>104790</v>
      </c>
      <c r="I1023" s="22" t="s">
        <v>94</v>
      </c>
      <c r="J1023" s="24" t="str">
        <f t="shared" si="7"/>
        <v/>
      </c>
    </row>
    <row r="1024">
      <c r="A1024" s="22" t="s">
        <v>1638</v>
      </c>
      <c r="B1024" s="22">
        <v>163.0</v>
      </c>
      <c r="C1024" s="23" t="str">
        <f>HYPERLINK("http://ecotaxoserver.obs-vlfr.fr/browsetaxo/?id=82543","82543")</f>
        <v>82543</v>
      </c>
      <c r="D1024" s="23" t="str">
        <f>HYPERLINK("http://www.marinespecies.org/aphia.php?p=taxdetails&amp;id=104798","104798")</f>
        <v>104798</v>
      </c>
      <c r="E1024" s="22" t="s">
        <v>1635</v>
      </c>
      <c r="F1024" s="22" t="s">
        <v>1635</v>
      </c>
      <c r="G1024" s="22" t="s">
        <v>94</v>
      </c>
      <c r="H1024" s="23" t="str">
        <f>HYPERLINK("http://www.marinespecies.org/aphia.php?p=taxdetails&amp;id=104798","104798")</f>
        <v>104798</v>
      </c>
      <c r="I1024" s="22" t="s">
        <v>94</v>
      </c>
      <c r="J1024" s="24" t="str">
        <f t="shared" si="7"/>
        <v/>
      </c>
    </row>
    <row r="1025">
      <c r="A1025" s="22" t="s">
        <v>1639</v>
      </c>
      <c r="B1025" s="22">
        <v>13.0</v>
      </c>
      <c r="C1025" s="23" t="str">
        <f>HYPERLINK("http://ecotaxoserver.obs-vlfr.fr/browsetaxo/?id=81931","81931")</f>
        <v>81931</v>
      </c>
      <c r="D1025" s="23" t="str">
        <f>HYPERLINK("http://www.marinespecies.org/aphia.php?p=taxdetails&amp;id=148385","148385")</f>
        <v>148385</v>
      </c>
      <c r="E1025" s="22" t="s">
        <v>461</v>
      </c>
      <c r="F1025" s="22" t="s">
        <v>461</v>
      </c>
      <c r="G1025" s="22" t="s">
        <v>94</v>
      </c>
      <c r="H1025" s="23" t="str">
        <f>HYPERLINK("http://www.marinespecies.org/aphia.php?p=taxdetails&amp;id=148385","148385")</f>
        <v>148385</v>
      </c>
      <c r="I1025" s="22" t="s">
        <v>94</v>
      </c>
      <c r="J1025" s="24" t="str">
        <f t="shared" si="7"/>
        <v/>
      </c>
    </row>
    <row r="1026">
      <c r="A1026" s="22" t="s">
        <v>1640</v>
      </c>
      <c r="B1026" s="22">
        <v>3.0</v>
      </c>
      <c r="C1026" s="23" t="str">
        <f>HYPERLINK("http://ecotaxoserver.obs-vlfr.fr/browsetaxo/?id=12902","12902")</f>
        <v>12902</v>
      </c>
      <c r="D1026" s="23" t="str">
        <f>HYPERLINK("http://www.marinespecies.org/aphia.php?p=taxdetails&amp;id=104","104")</f>
        <v>104</v>
      </c>
      <c r="E1026" s="22" t="s">
        <v>445</v>
      </c>
      <c r="F1026" s="22" t="s">
        <v>445</v>
      </c>
      <c r="G1026" s="22" t="s">
        <v>94</v>
      </c>
      <c r="H1026" s="23" t="str">
        <f>HYPERLINK("http://www.marinespecies.org/aphia.php?p=taxdetails&amp;id=104","104")</f>
        <v>104</v>
      </c>
      <c r="I1026" s="22" t="s">
        <v>94</v>
      </c>
      <c r="J1026" s="24" t="str">
        <f t="shared" si="7"/>
        <v/>
      </c>
    </row>
    <row r="1027">
      <c r="A1027" s="22" t="s">
        <v>1641</v>
      </c>
      <c r="B1027" s="22">
        <v>25.0</v>
      </c>
      <c r="C1027" s="23" t="str">
        <f>HYPERLINK("http://ecotaxoserver.obs-vlfr.fr/browsetaxo/?id=92922","92922")</f>
        <v>92922</v>
      </c>
      <c r="D1027" s="23" t="str">
        <f>HYPERLINK("http://www.marinespecies.org/aphia.php?p=taxdetails&amp;id=125557","125557")</f>
        <v>125557</v>
      </c>
      <c r="E1027" s="22" t="s">
        <v>132</v>
      </c>
      <c r="F1027" s="22" t="s">
        <v>1470</v>
      </c>
      <c r="G1027" s="22" t="s">
        <v>94</v>
      </c>
      <c r="H1027" s="23" t="str">
        <f>HYPERLINK("http://www.marinespecies.org/aphia.php?p=taxdetails&amp;id=125557","125557")</f>
        <v>125557</v>
      </c>
      <c r="I1027" s="22" t="s">
        <v>94</v>
      </c>
      <c r="J1027" s="24" t="str">
        <f t="shared" si="7"/>
        <v>!=</v>
      </c>
    </row>
    <row r="1028">
      <c r="A1028" s="22" t="s">
        <v>1642</v>
      </c>
      <c r="B1028" s="22">
        <v>1.0</v>
      </c>
      <c r="C1028" s="23" t="str">
        <f>HYPERLINK("http://ecotaxoserver.obs-vlfr.fr/browsetaxo/?id=93363","93363")</f>
        <v>93363</v>
      </c>
      <c r="D1028" s="23" t="str">
        <f>HYPERLINK("http://www.marinespecies.org/aphia.php?p=taxdetails&amp;id=276970","276970")</f>
        <v>276970</v>
      </c>
      <c r="E1028" s="22" t="s">
        <v>1643</v>
      </c>
      <c r="F1028" s="22" t="s">
        <v>1643</v>
      </c>
      <c r="G1028" s="22" t="s">
        <v>94</v>
      </c>
      <c r="H1028" s="23" t="str">
        <f>HYPERLINK("http://www.marinespecies.org/aphia.php?p=taxdetails&amp;id=276970","276970")</f>
        <v>276970</v>
      </c>
      <c r="I1028" s="22" t="s">
        <v>94</v>
      </c>
      <c r="J1028" s="24" t="str">
        <f t="shared" si="7"/>
        <v/>
      </c>
    </row>
    <row r="1029">
      <c r="A1029" s="22" t="s">
        <v>1644</v>
      </c>
      <c r="B1029" s="22">
        <v>33.0</v>
      </c>
      <c r="C1029" s="23" t="str">
        <f>HYPERLINK("http://ecotaxoserver.obs-vlfr.fr/browsetaxo/?id=92923","92923")</f>
        <v>92923</v>
      </c>
      <c r="D1029" s="23" t="str">
        <f>HYPERLINK("http://www.marinespecies.org/aphia.php?p=taxdetails&amp;id=125558","125558")</f>
        <v>125558</v>
      </c>
      <c r="E1029" s="22" t="s">
        <v>132</v>
      </c>
      <c r="F1029" s="22" t="s">
        <v>242</v>
      </c>
      <c r="G1029" s="22" t="s">
        <v>94</v>
      </c>
      <c r="H1029" s="23" t="str">
        <f>HYPERLINK("http://www.marinespecies.org/aphia.php?p=taxdetails&amp;id=125558","125558")</f>
        <v>125558</v>
      </c>
      <c r="I1029" s="22" t="s">
        <v>94</v>
      </c>
      <c r="J1029" s="24" t="str">
        <f t="shared" si="7"/>
        <v>!=</v>
      </c>
    </row>
    <row r="1030">
      <c r="A1030" s="22" t="s">
        <v>1645</v>
      </c>
      <c r="B1030" s="22">
        <v>14.0</v>
      </c>
      <c r="C1030" s="23" t="str">
        <f>HYPERLINK("http://ecotaxoserver.obs-vlfr.fr/browsetaxo/?id=83684","83684")</f>
        <v>83684</v>
      </c>
      <c r="D1030" s="23" t="str">
        <f>HYPERLINK("http://www.marinespecies.org/aphia.php?p=taxdetails&amp;id=101810","101810")</f>
        <v>101810</v>
      </c>
      <c r="E1030" s="22" t="s">
        <v>1646</v>
      </c>
      <c r="F1030" s="22" t="s">
        <v>1646</v>
      </c>
      <c r="G1030" s="22" t="s">
        <v>94</v>
      </c>
      <c r="H1030" s="23" t="str">
        <f>HYPERLINK("http://www.marinespecies.org/aphia.php?p=taxdetails&amp;id=101810","101810")</f>
        <v>101810</v>
      </c>
      <c r="I1030" s="22" t="s">
        <v>94</v>
      </c>
      <c r="J1030" s="24" t="str">
        <f t="shared" si="7"/>
        <v/>
      </c>
    </row>
    <row r="1031">
      <c r="A1031" s="22" t="s">
        <v>1646</v>
      </c>
      <c r="B1031" s="22">
        <v>33.0</v>
      </c>
      <c r="C1031" s="23" t="str">
        <f>HYPERLINK("http://ecotaxoserver.obs-vlfr.fr/browsetaxo/?id=82145","82145")</f>
        <v>82145</v>
      </c>
      <c r="D1031" s="23" t="str">
        <f>HYPERLINK("http://www.marinespecies.org/aphia.php?p=taxdetails&amp;id=101424","101424")</f>
        <v>101424</v>
      </c>
      <c r="E1031" s="22" t="s">
        <v>1026</v>
      </c>
      <c r="F1031" s="22" t="s">
        <v>1647</v>
      </c>
      <c r="G1031" s="22" t="s">
        <v>94</v>
      </c>
      <c r="H1031" s="23" t="str">
        <f>HYPERLINK("http://www.marinespecies.org/aphia.php?p=taxdetails&amp;id=101424","101424")</f>
        <v>101424</v>
      </c>
      <c r="I1031" s="22" t="s">
        <v>94</v>
      </c>
      <c r="J1031" s="24" t="str">
        <f t="shared" si="7"/>
        <v>!=</v>
      </c>
    </row>
    <row r="1032">
      <c r="A1032" s="22" t="s">
        <v>1648</v>
      </c>
      <c r="B1032" s="22">
        <v>275.0</v>
      </c>
      <c r="C1032" s="23" t="str">
        <f>HYPERLINK("http://ecotaxoserver.obs-vlfr.fr/browsetaxo/?id=80177","80177")</f>
        <v>80177</v>
      </c>
      <c r="D1032" s="23" t="str">
        <f>HYPERLINK("http://www.marinespecies.org/aphia.php?p=taxdetails&amp;id=104229","104229")</f>
        <v>104229</v>
      </c>
      <c r="E1032" s="22" t="s">
        <v>1636</v>
      </c>
      <c r="F1032" s="22" t="s">
        <v>1636</v>
      </c>
      <c r="G1032" s="22" t="s">
        <v>94</v>
      </c>
      <c r="H1032" s="23" t="str">
        <f>HYPERLINK("http://www.marinespecies.org/aphia.php?p=taxdetails&amp;id=104229","104229")</f>
        <v>104229</v>
      </c>
      <c r="I1032" s="22" t="s">
        <v>94</v>
      </c>
      <c r="J1032" s="24" t="str">
        <f t="shared" si="7"/>
        <v/>
      </c>
    </row>
    <row r="1033">
      <c r="A1033" s="22" t="s">
        <v>1649</v>
      </c>
      <c r="B1033" s="22">
        <v>104.0</v>
      </c>
      <c r="C1033" s="23" t="str">
        <f>HYPERLINK("http://ecotaxoserver.obs-vlfr.fr/browsetaxo/?id=92765","92765")</f>
        <v>92765</v>
      </c>
      <c r="D1033" s="23" t="str">
        <f>HYPERLINK("http://www.marinespecies.org/aphia.php?p=taxdetails&amp;id=104811","104811")</f>
        <v>104811</v>
      </c>
      <c r="E1033" s="22" t="s">
        <v>1648</v>
      </c>
      <c r="F1033" s="22" t="s">
        <v>1648</v>
      </c>
      <c r="G1033" s="22" t="s">
        <v>94</v>
      </c>
      <c r="H1033" s="23" t="str">
        <f>HYPERLINK("http://www.marinespecies.org/aphia.php?p=taxdetails&amp;id=104811","104811")</f>
        <v>104811</v>
      </c>
      <c r="I1033" s="22" t="s">
        <v>94</v>
      </c>
      <c r="J1033" s="24" t="str">
        <f t="shared" si="7"/>
        <v/>
      </c>
    </row>
    <row r="1034">
      <c r="A1034" s="22" t="s">
        <v>1650</v>
      </c>
      <c r="B1034" s="22">
        <v>15.0</v>
      </c>
      <c r="C1034" s="23" t="str">
        <f>HYPERLINK("http://ecotaxoserver.obs-vlfr.fr/browsetaxo/?id=80176","80176")</f>
        <v>80176</v>
      </c>
      <c r="D1034" s="23" t="str">
        <f>HYPERLINK("http://www.marinespecies.org/aphia.php?p=taxdetails&amp;id=104230","104230")</f>
        <v>104230</v>
      </c>
      <c r="E1034" s="22" t="s">
        <v>1636</v>
      </c>
      <c r="F1034" s="22" t="s">
        <v>1636</v>
      </c>
      <c r="G1034" s="22" t="s">
        <v>94</v>
      </c>
      <c r="H1034" s="23" t="str">
        <f>HYPERLINK("http://www.marinespecies.org/aphia.php?p=taxdetails&amp;id=104230","104230")</f>
        <v>104230</v>
      </c>
      <c r="I1034" s="22" t="s">
        <v>94</v>
      </c>
      <c r="J1034" s="24" t="str">
        <f t="shared" si="7"/>
        <v/>
      </c>
    </row>
    <row r="1035">
      <c r="A1035" s="22" t="s">
        <v>1636</v>
      </c>
      <c r="B1035" s="22">
        <v>797.0</v>
      </c>
      <c r="C1035" s="23" t="str">
        <f>HYPERLINK("http://ecotaxoserver.obs-vlfr.fr/browsetaxo/?id=61975","61975")</f>
        <v>61975</v>
      </c>
      <c r="D1035" s="23" t="str">
        <f>HYPERLINK("http://www.marinespecies.org/aphia.php?p=taxdetails&amp;id=104103","104103")</f>
        <v>104103</v>
      </c>
      <c r="E1035" s="22" t="s">
        <v>111</v>
      </c>
      <c r="F1035" s="22" t="s">
        <v>111</v>
      </c>
      <c r="G1035" s="22" t="s">
        <v>94</v>
      </c>
      <c r="H1035" s="23" t="str">
        <f>HYPERLINK("http://www.marinespecies.org/aphia.php?p=taxdetails&amp;id=104103","104103")</f>
        <v>104103</v>
      </c>
      <c r="I1035" s="22" t="s">
        <v>94</v>
      </c>
      <c r="J1035" s="24" t="str">
        <f t="shared" si="7"/>
        <v/>
      </c>
    </row>
    <row r="1036">
      <c r="A1036" s="22" t="s">
        <v>1651</v>
      </c>
      <c r="B1036" s="22">
        <v>41.0</v>
      </c>
      <c r="C1036" s="23" t="str">
        <f>HYPERLINK("http://ecotaxoserver.obs-vlfr.fr/browsetaxo/?id=92924","92924")</f>
        <v>92924</v>
      </c>
      <c r="D1036" s="23" t="str">
        <f>HYPERLINK("http://www.marinespecies.org/aphia.php?p=taxdetails&amp;id=125559","125559")</f>
        <v>125559</v>
      </c>
      <c r="E1036" s="22" t="s">
        <v>132</v>
      </c>
      <c r="F1036" s="22" t="s">
        <v>894</v>
      </c>
      <c r="G1036" s="22" t="s">
        <v>94</v>
      </c>
      <c r="H1036" s="23" t="str">
        <f>HYPERLINK("http://www.marinespecies.org/aphia.php?p=taxdetails&amp;id=125559","125559")</f>
        <v>125559</v>
      </c>
      <c r="I1036" s="22" t="s">
        <v>94</v>
      </c>
      <c r="J1036" s="24" t="str">
        <f t="shared" si="7"/>
        <v>!=</v>
      </c>
    </row>
    <row r="1037">
      <c r="A1037" s="22" t="s">
        <v>1652</v>
      </c>
      <c r="B1037" s="22">
        <v>4.0</v>
      </c>
      <c r="C1037" s="23" t="str">
        <f>HYPERLINK("http://ecotaxoserver.obs-vlfr.fr/browsetaxo/?id=93134","93134")</f>
        <v>93134</v>
      </c>
      <c r="D1037" s="23" t="str">
        <f>HYPERLINK("http://www.marinespecies.org/aphia.php?p=taxdetails&amp;id=125595","125595")</f>
        <v>125595</v>
      </c>
      <c r="E1037" s="22" t="s">
        <v>1653</v>
      </c>
      <c r="F1037" s="22" t="s">
        <v>1653</v>
      </c>
      <c r="G1037" s="22" t="s">
        <v>94</v>
      </c>
      <c r="H1037" s="23" t="str">
        <f>HYPERLINK("http://www.marinespecies.org/aphia.php?p=taxdetails&amp;id=125595","125595")</f>
        <v>125595</v>
      </c>
      <c r="I1037" s="22" t="s">
        <v>94</v>
      </c>
      <c r="J1037" s="24" t="str">
        <f t="shared" si="7"/>
        <v/>
      </c>
    </row>
    <row r="1038">
      <c r="A1038" s="22" t="s">
        <v>1654</v>
      </c>
      <c r="B1038" s="22">
        <v>5.0</v>
      </c>
      <c r="C1038" s="23" t="str">
        <f>HYPERLINK("http://ecotaxoserver.obs-vlfr.fr/browsetaxo/?id=93213","93213")</f>
        <v>93213</v>
      </c>
      <c r="D1038" s="23" t="str">
        <f>HYPERLINK("http://www.marinespecies.org/aphia.php?p=taxdetails&amp;id=106795","106795")</f>
        <v>106795</v>
      </c>
      <c r="E1038" s="22" t="s">
        <v>112</v>
      </c>
      <c r="F1038" s="22" t="s">
        <v>112</v>
      </c>
      <c r="G1038" s="22" t="s">
        <v>94</v>
      </c>
      <c r="H1038" s="23" t="str">
        <f>HYPERLINK("http://www.marinespecies.org/aphia.php?p=taxdetails&amp;id=106795","106795")</f>
        <v>106795</v>
      </c>
      <c r="I1038" s="22" t="s">
        <v>94</v>
      </c>
      <c r="J1038" s="24" t="str">
        <f t="shared" si="7"/>
        <v/>
      </c>
    </row>
    <row r="1039">
      <c r="A1039" s="22" t="s">
        <v>1655</v>
      </c>
      <c r="B1039" s="22">
        <v>23.0</v>
      </c>
      <c r="C1039" s="23" t="str">
        <f>HYPERLINK("http://ecotaxoserver.obs-vlfr.fr/browsetaxo/?id=27384","27384")</f>
        <v>27384</v>
      </c>
      <c r="D1039" s="23" t="str">
        <f>HYPERLINK("http://www.marinespecies.org/aphia.php?p=taxdetails&amp;id=235975","235975")</f>
        <v>235975</v>
      </c>
      <c r="E1039" s="22" t="s">
        <v>1656</v>
      </c>
      <c r="F1039" s="22" t="s">
        <v>1656</v>
      </c>
      <c r="G1039" s="22" t="s">
        <v>94</v>
      </c>
      <c r="H1039" s="23" t="str">
        <f>HYPERLINK("http://www.marinespecies.org/aphia.php?p=taxdetails&amp;id=235975","235975")</f>
        <v>235975</v>
      </c>
      <c r="I1039" s="22" t="s">
        <v>94</v>
      </c>
      <c r="J1039" s="24" t="str">
        <f t="shared" si="7"/>
        <v/>
      </c>
    </row>
    <row r="1040">
      <c r="A1040" s="22" t="s">
        <v>594</v>
      </c>
      <c r="B1040" s="22">
        <v>787.0</v>
      </c>
      <c r="C1040" s="23" t="str">
        <f>HYPERLINK("http://ecotaxoserver.obs-vlfr.fr/browsetaxo/?id=12863","12863")</f>
        <v>12863</v>
      </c>
      <c r="D1040" s="23" t="str">
        <f>HYPERLINK("http://www.marinespecies.org/aphia.php?p=taxdetails&amp;id=135220","135220")</f>
        <v>135220</v>
      </c>
      <c r="E1040" s="22" t="s">
        <v>229</v>
      </c>
      <c r="F1040" s="22" t="s">
        <v>229</v>
      </c>
      <c r="G1040" s="22" t="s">
        <v>94</v>
      </c>
      <c r="H1040" s="23" t="str">
        <f>HYPERLINK("http://www.marinespecies.org/aphia.php?p=taxdetails&amp;id=135220","135220")</f>
        <v>135220</v>
      </c>
      <c r="I1040" s="22" t="s">
        <v>94</v>
      </c>
      <c r="J1040" s="24" t="str">
        <f t="shared" si="7"/>
        <v/>
      </c>
    </row>
    <row r="1041">
      <c r="A1041" s="22" t="s">
        <v>1657</v>
      </c>
      <c r="B1041" s="22">
        <v>1.0</v>
      </c>
      <c r="C1041" s="23" t="str">
        <f>HYPERLINK("http://ecotaxoserver.obs-vlfr.fr/browsetaxo/?id=93270","93270")</f>
        <v>93270</v>
      </c>
      <c r="D1041" s="23" t="str">
        <f>HYPERLINK("http://www.marinespecies.org/aphia.php?p=taxdetails&amp;id=159647","159647")</f>
        <v>159647</v>
      </c>
      <c r="E1041" s="22" t="s">
        <v>1658</v>
      </c>
      <c r="F1041" s="22" t="s">
        <v>1658</v>
      </c>
      <c r="G1041" s="22" t="s">
        <v>94</v>
      </c>
      <c r="H1041" s="23" t="str">
        <f>HYPERLINK("http://www.marinespecies.org/aphia.php?p=taxdetails&amp;id=159647","159647")</f>
        <v>159647</v>
      </c>
      <c r="I1041" s="22" t="s">
        <v>94</v>
      </c>
      <c r="J1041" s="24" t="str">
        <f t="shared" si="7"/>
        <v/>
      </c>
    </row>
    <row r="1042">
      <c r="A1042" s="22" t="s">
        <v>1659</v>
      </c>
      <c r="B1042" s="22">
        <v>1.0</v>
      </c>
      <c r="C1042" s="23" t="str">
        <f>HYPERLINK("http://ecotaxoserver.obs-vlfr.fr/browsetaxo/?id=52247","52247")</f>
        <v>52247</v>
      </c>
      <c r="D1042" s="23" t="str">
        <f>HYPERLINK("http://www.marinespecies.org/aphia.php?p=taxdetails&amp;id=138477","138477")</f>
        <v>138477</v>
      </c>
      <c r="E1042" s="22" t="s">
        <v>89</v>
      </c>
      <c r="F1042" s="22" t="s">
        <v>1660</v>
      </c>
      <c r="G1042" s="22" t="s">
        <v>94</v>
      </c>
      <c r="H1042" s="23" t="str">
        <f>HYPERLINK("http://www.marinespecies.org/aphia.php?p=taxdetails&amp;id=138477","138477")</f>
        <v>138477</v>
      </c>
      <c r="I1042" s="22" t="s">
        <v>94</v>
      </c>
      <c r="J1042" s="24" t="str">
        <f t="shared" si="7"/>
        <v>!=</v>
      </c>
    </row>
    <row r="1043">
      <c r="A1043" s="22" t="s">
        <v>1661</v>
      </c>
      <c r="B1043" s="22">
        <v>1.0</v>
      </c>
      <c r="C1043" s="23" t="str">
        <f>HYPERLINK("http://ecotaxoserver.obs-vlfr.fr/browsetaxo/?id=52243","52243")</f>
        <v>52243</v>
      </c>
      <c r="D1043" s="23" t="str">
        <f>HYPERLINK("http://www.marinespecies.org/aphia.php?p=taxdetails&amp;id=204951","204951")</f>
        <v>204951</v>
      </c>
      <c r="E1043" s="22" t="s">
        <v>89</v>
      </c>
      <c r="F1043" s="22" t="s">
        <v>1662</v>
      </c>
      <c r="G1043" s="22" t="s">
        <v>94</v>
      </c>
      <c r="H1043" s="23" t="str">
        <f>HYPERLINK("http://www.marinespecies.org/aphia.php?p=taxdetails&amp;id=204951","204951")</f>
        <v>204951</v>
      </c>
      <c r="I1043" s="22" t="s">
        <v>94</v>
      </c>
      <c r="J1043" s="24" t="str">
        <f t="shared" si="7"/>
        <v>!=</v>
      </c>
    </row>
    <row r="1044">
      <c r="A1044" s="22" t="s">
        <v>1663</v>
      </c>
      <c r="B1044" s="22">
        <v>567.0</v>
      </c>
      <c r="C1044" s="23" t="str">
        <f>HYPERLINK("http://ecotaxoserver.obs-vlfr.fr/browsetaxo/?id=81905","81905")</f>
        <v>81905</v>
      </c>
      <c r="D1044" s="23" t="str">
        <f>HYPERLINK("http://www.marinespecies.org/aphia.php?p=taxdetails&amp;id=106731","106731")</f>
        <v>106731</v>
      </c>
      <c r="E1044" s="22" t="s">
        <v>1135</v>
      </c>
      <c r="F1044" s="22" t="s">
        <v>1135</v>
      </c>
      <c r="G1044" s="22" t="s">
        <v>94</v>
      </c>
      <c r="H1044" s="23" t="str">
        <f>HYPERLINK("http://www.marinespecies.org/aphia.php?p=taxdetails&amp;id=106731","106731")</f>
        <v>106731</v>
      </c>
      <c r="I1044" s="22" t="s">
        <v>94</v>
      </c>
      <c r="J1044" s="24" t="str">
        <f t="shared" si="7"/>
        <v/>
      </c>
    </row>
    <row r="1045">
      <c r="A1045" s="22" t="s">
        <v>1664</v>
      </c>
      <c r="B1045" s="22">
        <v>15.0</v>
      </c>
      <c r="C1045" s="23" t="str">
        <f>HYPERLINK("http://ecotaxoserver.obs-vlfr.fr/browsetaxo/?id=92926","92926")</f>
        <v>92926</v>
      </c>
      <c r="D1045" s="23" t="str">
        <f>HYPERLINK("http://www.marinespecies.org/aphia.php?p=taxdetails&amp;id=125561","125561")</f>
        <v>125561</v>
      </c>
      <c r="E1045" s="22" t="s">
        <v>132</v>
      </c>
      <c r="F1045" s="22" t="s">
        <v>242</v>
      </c>
      <c r="G1045" s="22" t="s">
        <v>94</v>
      </c>
      <c r="H1045" s="23" t="str">
        <f>HYPERLINK("http://www.marinespecies.org/aphia.php?p=taxdetails&amp;id=125561","125561")</f>
        <v>125561</v>
      </c>
      <c r="I1045" s="22" t="s">
        <v>94</v>
      </c>
      <c r="J1045" s="24" t="str">
        <f t="shared" si="7"/>
        <v>!=</v>
      </c>
    </row>
    <row r="1046">
      <c r="A1046" s="22" t="s">
        <v>1665</v>
      </c>
      <c r="B1046" s="22">
        <v>1.0</v>
      </c>
      <c r="C1046" s="23" t="str">
        <f>HYPERLINK("http://ecotaxoserver.obs-vlfr.fr/browsetaxo/?id=93152","93152")</f>
        <v>93152</v>
      </c>
      <c r="D1046" s="23" t="str">
        <f>HYPERLINK("http://www.marinespecies.org/aphia.php?p=taxdetails&amp;id=273909","273909")</f>
        <v>273909</v>
      </c>
      <c r="E1046" s="22" t="s">
        <v>1666</v>
      </c>
      <c r="F1046" s="22" t="s">
        <v>1666</v>
      </c>
      <c r="G1046" s="22" t="s">
        <v>94</v>
      </c>
      <c r="H1046" s="23" t="str">
        <f>HYPERLINK("http://www.marinespecies.org/aphia.php?p=taxdetails&amp;id=273909","273909")</f>
        <v>273909</v>
      </c>
      <c r="I1046" s="22" t="s">
        <v>94</v>
      </c>
      <c r="J1046" s="24" t="str">
        <f t="shared" si="7"/>
        <v/>
      </c>
    </row>
    <row r="1047">
      <c r="A1047" s="22" t="s">
        <v>1667</v>
      </c>
      <c r="B1047" s="22">
        <v>7.0</v>
      </c>
      <c r="C1047" s="23" t="str">
        <f>HYPERLINK("http://ecotaxoserver.obs-vlfr.fr/browsetaxo/?id=92125","92125")</f>
        <v>92125</v>
      </c>
      <c r="D1047" s="23" t="str">
        <f>HYPERLINK("http://www.marinespecies.org/aphia.php?p=taxdetails&amp;id=266268","266268")</f>
        <v>266268</v>
      </c>
      <c r="E1047" s="22" t="s">
        <v>1668</v>
      </c>
      <c r="F1047" s="22" t="s">
        <v>1668</v>
      </c>
      <c r="G1047" s="22" t="s">
        <v>94</v>
      </c>
      <c r="H1047" s="23" t="str">
        <f>HYPERLINK("http://www.marinespecies.org/aphia.php?p=taxdetails&amp;id=266268","266268")</f>
        <v>266268</v>
      </c>
      <c r="I1047" s="22" t="s">
        <v>94</v>
      </c>
      <c r="J1047" s="24" t="str">
        <f t="shared" si="7"/>
        <v/>
      </c>
    </row>
    <row r="1048">
      <c r="A1048" s="22" t="s">
        <v>1669</v>
      </c>
      <c r="B1048" s="22">
        <v>392.0</v>
      </c>
      <c r="C1048" s="23" t="str">
        <f>HYPERLINK("http://ecotaxoserver.obs-vlfr.fr/browsetaxo/?id=51362","51362")</f>
        <v>51362</v>
      </c>
      <c r="D1048" s="23" t="str">
        <f>HYPERLINK("http://www.marinespecies.org/aphia.php?p=taxdetails&amp;id=1614","1614")</f>
        <v>1614</v>
      </c>
      <c r="E1048" s="22" t="s">
        <v>143</v>
      </c>
      <c r="F1048" s="22" t="s">
        <v>1670</v>
      </c>
      <c r="G1048" s="22" t="s">
        <v>94</v>
      </c>
      <c r="H1048" s="23" t="str">
        <f>HYPERLINK("http://www.marinespecies.org/aphia.php?p=taxdetails&amp;id=1614","1614")</f>
        <v>1614</v>
      </c>
      <c r="I1048" s="22" t="s">
        <v>94</v>
      </c>
      <c r="J1048" s="24" t="str">
        <f t="shared" si="7"/>
        <v>!=</v>
      </c>
    </row>
    <row r="1049">
      <c r="A1049" s="22" t="s">
        <v>1671</v>
      </c>
      <c r="B1049" s="22">
        <v>407.0</v>
      </c>
      <c r="C1049" s="23" t="str">
        <f>HYPERLINK("http://ecotaxoserver.obs-vlfr.fr/browsetaxo/?id=81934","81934")</f>
        <v>81934</v>
      </c>
      <c r="D1049" s="23" t="str">
        <f>HYPERLINK("http://www.marinespecies.org/aphia.php?p=taxdetails&amp;id=410028","410028")</f>
        <v>410028</v>
      </c>
      <c r="E1049" s="22" t="s">
        <v>713</v>
      </c>
      <c r="F1049" s="22" t="s">
        <v>713</v>
      </c>
      <c r="G1049" s="22" t="s">
        <v>94</v>
      </c>
      <c r="H1049" s="23" t="str">
        <f>HYPERLINK("http://www.marinespecies.org/aphia.php?p=taxdetails&amp;id=410028","410028")</f>
        <v>410028</v>
      </c>
      <c r="I1049" s="22" t="s">
        <v>94</v>
      </c>
      <c r="J1049" s="24" t="str">
        <f t="shared" si="7"/>
        <v/>
      </c>
    </row>
    <row r="1050">
      <c r="A1050" s="22" t="s">
        <v>1672</v>
      </c>
      <c r="B1050" s="22">
        <v>1.0</v>
      </c>
      <c r="C1050" s="23" t="str">
        <f>HYPERLINK("http://ecotaxoserver.obs-vlfr.fr/browsetaxo/?id=93373","93373")</f>
        <v>93373</v>
      </c>
      <c r="D1050" s="23" t="str">
        <f>HYPERLINK("http://www.marinespecies.org/aphia.php?p=taxdetails&amp;id=125562","125562")</f>
        <v>125562</v>
      </c>
      <c r="E1050" s="22" t="s">
        <v>1673</v>
      </c>
      <c r="F1050" s="22" t="s">
        <v>1673</v>
      </c>
      <c r="G1050" s="22" t="s">
        <v>94</v>
      </c>
      <c r="H1050" s="23" t="str">
        <f>HYPERLINK("http://www.marinespecies.org/aphia.php?p=taxdetails&amp;id=125562","125562")</f>
        <v>125562</v>
      </c>
      <c r="I1050" s="22" t="s">
        <v>94</v>
      </c>
      <c r="J1050" s="24" t="str">
        <f t="shared" si="7"/>
        <v/>
      </c>
    </row>
    <row r="1051">
      <c r="A1051" s="22" t="s">
        <v>1674</v>
      </c>
      <c r="B1051" s="22">
        <v>7.0</v>
      </c>
      <c r="C1051" s="23" t="str">
        <f>HYPERLINK("http://ecotaxoserver.obs-vlfr.fr/browsetaxo/?id=81930","81930")</f>
        <v>81930</v>
      </c>
      <c r="D1051" s="23" t="str">
        <f>HYPERLINK("http://www.marinespecies.org/aphia.php?p=taxdetails&amp;id=148380","148380")</f>
        <v>148380</v>
      </c>
      <c r="E1051" s="22" t="s">
        <v>461</v>
      </c>
      <c r="F1051" s="22" t="s">
        <v>461</v>
      </c>
      <c r="G1051" s="22" t="s">
        <v>94</v>
      </c>
      <c r="H1051" s="23" t="str">
        <f>HYPERLINK("http://www.marinespecies.org/aphia.php?p=taxdetails&amp;id=148380","148380")</f>
        <v>148380</v>
      </c>
      <c r="I1051" s="22" t="s">
        <v>94</v>
      </c>
      <c r="J1051" s="24" t="str">
        <f t="shared" si="7"/>
        <v/>
      </c>
    </row>
    <row r="1052">
      <c r="A1052" s="22" t="s">
        <v>1675</v>
      </c>
      <c r="B1052" s="22">
        <v>10.0</v>
      </c>
      <c r="C1052" s="23" t="str">
        <f>HYPERLINK("http://ecotaxoserver.obs-vlfr.fr/browsetaxo/?id=80132","80132")</f>
        <v>80132</v>
      </c>
      <c r="D1052" s="23" t="str">
        <f>HYPERLINK("http://www.marinespecies.org/aphia.php?p=taxdetails&amp;id=348013","348013")</f>
        <v>348013</v>
      </c>
      <c r="E1052" s="22" t="s">
        <v>435</v>
      </c>
      <c r="F1052" s="22" t="s">
        <v>435</v>
      </c>
      <c r="G1052" s="22" t="s">
        <v>94</v>
      </c>
      <c r="H1052" s="23" t="str">
        <f>HYPERLINK("http://www.marinespecies.org/aphia.php?p=taxdetails&amp;id=348013","348013")</f>
        <v>348013</v>
      </c>
      <c r="I1052" s="22" t="s">
        <v>94</v>
      </c>
      <c r="J1052" s="24" t="str">
        <f t="shared" si="7"/>
        <v/>
      </c>
    </row>
    <row r="1053">
      <c r="A1053" s="22" t="s">
        <v>404</v>
      </c>
      <c r="B1053" s="22">
        <v>17030.0</v>
      </c>
      <c r="C1053" s="23" t="str">
        <f>HYPERLINK("http://ecotaxoserver.obs-vlfr.fr/browsetaxo/?id=25990","25990")</f>
        <v>25990</v>
      </c>
      <c r="D1053" s="23" t="str">
        <f>HYPERLINK("http://www.marinespecies.org/aphia.php?p=taxdetails&amp;id=1371","1371")</f>
        <v>1371</v>
      </c>
      <c r="E1053" s="22" t="s">
        <v>227</v>
      </c>
      <c r="F1053" s="22" t="s">
        <v>227</v>
      </c>
      <c r="G1053" s="22" t="s">
        <v>94</v>
      </c>
      <c r="H1053" s="23" t="str">
        <f>HYPERLINK("http://www.marinespecies.org/aphia.php?p=taxdetails&amp;id=1371","1371")</f>
        <v>1371</v>
      </c>
      <c r="I1053" s="22" t="s">
        <v>94</v>
      </c>
      <c r="J1053" s="24" t="str">
        <f t="shared" si="7"/>
        <v/>
      </c>
    </row>
    <row r="1054">
      <c r="A1054" s="22" t="s">
        <v>1676</v>
      </c>
      <c r="B1054" s="22">
        <v>5.0</v>
      </c>
      <c r="C1054" s="23" t="str">
        <f>HYPERLINK("http://ecotaxoserver.obs-vlfr.fr/browsetaxo/?id=80012","80012")</f>
        <v>80012</v>
      </c>
      <c r="D1054" s="23" t="str">
        <f>HYPERLINK("http://www.marinespecies.org/aphia.php?p=taxdetails&amp;id=120208","120208")</f>
        <v>120208</v>
      </c>
      <c r="E1054" s="22" t="s">
        <v>1677</v>
      </c>
      <c r="F1054" s="22" t="s">
        <v>1677</v>
      </c>
      <c r="G1054" s="22" t="s">
        <v>94</v>
      </c>
      <c r="H1054" s="23" t="str">
        <f>HYPERLINK("http://www.marinespecies.org/aphia.php?p=taxdetails&amp;id=120208","120208")</f>
        <v>120208</v>
      </c>
      <c r="I1054" s="22" t="s">
        <v>94</v>
      </c>
      <c r="J1054" s="24" t="str">
        <f t="shared" si="7"/>
        <v/>
      </c>
    </row>
    <row r="1055">
      <c r="A1055" s="22" t="s">
        <v>1678</v>
      </c>
      <c r="B1055" s="22">
        <v>5425.0</v>
      </c>
      <c r="C1055" s="23" t="str">
        <f>HYPERLINK("http://ecotaxoserver.obs-vlfr.fr/browsetaxo/?id=28223","28223")</f>
        <v>28223</v>
      </c>
      <c r="D1055" s="23" t="str">
        <f>HYPERLINK("http://www.marinespecies.org/aphia.php?p=taxdetails&amp;id=149073","149073")</f>
        <v>149073</v>
      </c>
      <c r="E1055" s="22" t="s">
        <v>281</v>
      </c>
      <c r="F1055" s="22" t="s">
        <v>1679</v>
      </c>
      <c r="G1055" s="22" t="s">
        <v>94</v>
      </c>
      <c r="H1055" s="23" t="str">
        <f>HYPERLINK("http://www.marinespecies.org/aphia.php?p=taxdetails&amp;id=149073","149073")</f>
        <v>149073</v>
      </c>
      <c r="I1055" s="22" t="s">
        <v>94</v>
      </c>
      <c r="J1055" s="24" t="str">
        <f t="shared" si="7"/>
        <v>!=</v>
      </c>
    </row>
    <row r="1056">
      <c r="A1056" s="22" t="s">
        <v>1680</v>
      </c>
      <c r="B1056" s="22">
        <v>681.0</v>
      </c>
      <c r="C1056" s="23" t="str">
        <f>HYPERLINK("http://ecotaxoserver.obs-vlfr.fr/browsetaxo/?id=55954","55954")</f>
        <v>55954</v>
      </c>
      <c r="D1056" s="23" t="str">
        <f>HYPERLINK("http://www.marinespecies.org/aphia.php?p=taxdetails&amp;id=149074","149074")</f>
        <v>149074</v>
      </c>
      <c r="E1056" s="22" t="s">
        <v>1678</v>
      </c>
      <c r="F1056" s="22" t="s">
        <v>1678</v>
      </c>
      <c r="G1056" s="22" t="s">
        <v>94</v>
      </c>
      <c r="H1056" s="23" t="str">
        <f>HYPERLINK("http://www.marinespecies.org/aphia.php?p=taxdetails&amp;id=149074","149074")</f>
        <v>149074</v>
      </c>
      <c r="I1056" s="22" t="s">
        <v>94</v>
      </c>
      <c r="J1056" s="24" t="str">
        <f t="shared" si="7"/>
        <v/>
      </c>
    </row>
    <row r="1057">
      <c r="A1057" s="22" t="s">
        <v>1681</v>
      </c>
      <c r="B1057" s="22">
        <v>9.0</v>
      </c>
      <c r="C1057" s="23" t="str">
        <f>HYPERLINK("http://ecotaxoserver.obs-vlfr.fr/browsetaxo/?id=92763","92763")</f>
        <v>92763</v>
      </c>
      <c r="D1057" s="23" t="str">
        <f>HYPERLINK("http://www.marinespecies.org/aphia.php?p=taxdetails&amp;id=117222","117222")</f>
        <v>117222</v>
      </c>
      <c r="E1057" s="22" t="s">
        <v>155</v>
      </c>
      <c r="F1057" s="22" t="s">
        <v>155</v>
      </c>
      <c r="G1057" s="22" t="s">
        <v>94</v>
      </c>
      <c r="H1057" s="23" t="str">
        <f>HYPERLINK("http://www.marinespecies.org/aphia.php?p=taxdetails&amp;id=117222","117222")</f>
        <v>117222</v>
      </c>
      <c r="I1057" s="22" t="s">
        <v>94</v>
      </c>
      <c r="J1057" s="24" t="str">
        <f t="shared" si="7"/>
        <v/>
      </c>
    </row>
    <row r="1058">
      <c r="A1058" s="22" t="s">
        <v>1682</v>
      </c>
      <c r="B1058" s="22">
        <v>2.0</v>
      </c>
      <c r="C1058" s="23" t="str">
        <f>HYPERLINK("http://ecotaxoserver.obs-vlfr.fr/browsetaxo/?id=93323","93323")</f>
        <v>93323</v>
      </c>
      <c r="D1058" s="23" t="str">
        <f>HYPERLINK("http://www.marinespecies.org/aphia.php?p=taxdetails&amp;id=125581","125581")</f>
        <v>125581</v>
      </c>
      <c r="E1058" s="22" t="s">
        <v>117</v>
      </c>
      <c r="F1058" s="22" t="s">
        <v>117</v>
      </c>
      <c r="G1058" s="22" t="s">
        <v>94</v>
      </c>
      <c r="H1058" s="23" t="str">
        <f>HYPERLINK("http://www.marinespecies.org/aphia.php?p=taxdetails&amp;id=125581","125581")</f>
        <v>125581</v>
      </c>
      <c r="I1058" s="22" t="s">
        <v>94</v>
      </c>
      <c r="J1058" s="24" t="str">
        <f t="shared" si="7"/>
        <v/>
      </c>
    </row>
    <row r="1059">
      <c r="A1059" s="22" t="s">
        <v>1683</v>
      </c>
      <c r="B1059" s="22">
        <v>3.0</v>
      </c>
      <c r="C1059" s="23" t="str">
        <f>HYPERLINK("http://ecotaxoserver.obs-vlfr.fr/browsetaxo/?id=81900","81900")</f>
        <v>81900</v>
      </c>
      <c r="D1059" s="23" t="str">
        <f>HYPERLINK("http://www.marinespecies.org/aphia.php?p=taxdetails&amp;id=106729","106729")</f>
        <v>106729</v>
      </c>
      <c r="E1059" s="22" t="s">
        <v>340</v>
      </c>
      <c r="F1059" s="22" t="s">
        <v>340</v>
      </c>
      <c r="G1059" s="22" t="s">
        <v>94</v>
      </c>
      <c r="H1059" s="23" t="str">
        <f>HYPERLINK("http://www.marinespecies.org/aphia.php?p=taxdetails&amp;id=106729","106729")</f>
        <v>106729</v>
      </c>
      <c r="I1059" s="22" t="s">
        <v>94</v>
      </c>
      <c r="J1059" s="24" t="str">
        <f t="shared" si="7"/>
        <v/>
      </c>
    </row>
    <row r="1060">
      <c r="A1060" s="22" t="s">
        <v>1684</v>
      </c>
      <c r="B1060" s="22">
        <v>225.0</v>
      </c>
      <c r="C1060" s="23" t="str">
        <f>HYPERLINK("http://ecotaxoserver.obs-vlfr.fr/browsetaxo/?id=93080","93080")</f>
        <v>93080</v>
      </c>
      <c r="D1060" s="23" t="str">
        <f>HYPERLINK("http://www.marinespecies.org/aphia.php?p=taxdetails&amp;id=117239","117239")</f>
        <v>117239</v>
      </c>
      <c r="E1060" s="22" t="s">
        <v>137</v>
      </c>
      <c r="F1060" s="22" t="s">
        <v>1685</v>
      </c>
      <c r="G1060" s="22" t="s">
        <v>94</v>
      </c>
      <c r="H1060" s="23" t="str">
        <f>HYPERLINK("http://www.marinespecies.org/aphia.php?p=taxdetails&amp;id=117239","117239")</f>
        <v>117239</v>
      </c>
      <c r="I1060" s="22" t="s">
        <v>94</v>
      </c>
      <c r="J1060" s="24" t="str">
        <f t="shared" si="7"/>
        <v>!=</v>
      </c>
    </row>
    <row r="1061">
      <c r="A1061" s="22" t="s">
        <v>1686</v>
      </c>
      <c r="B1061" s="22">
        <v>2.0</v>
      </c>
      <c r="C1061" s="23" t="str">
        <f>HYPERLINK("http://ecotaxoserver.obs-vlfr.fr/browsetaxo/?id=72419","72419")</f>
        <v>72419</v>
      </c>
      <c r="D1061" s="23" t="str">
        <f>HYPERLINK("http://www.marinespecies.org/aphia.php?p=taxdetails&amp;id=117074","117074")</f>
        <v>117074</v>
      </c>
      <c r="E1061" s="22" t="s">
        <v>646</v>
      </c>
      <c r="F1061" s="22" t="s">
        <v>646</v>
      </c>
      <c r="G1061" s="22" t="s">
        <v>94</v>
      </c>
      <c r="H1061" s="23" t="str">
        <f>HYPERLINK("http://www.marinespecies.org/aphia.php?p=taxdetails&amp;id=117074","117074")</f>
        <v>117074</v>
      </c>
      <c r="I1061" s="22" t="s">
        <v>94</v>
      </c>
      <c r="J1061" s="24" t="str">
        <f t="shared" si="7"/>
        <v/>
      </c>
    </row>
    <row r="1062">
      <c r="A1062" s="22" t="s">
        <v>1687</v>
      </c>
      <c r="B1062" s="22">
        <v>595.0</v>
      </c>
      <c r="C1062" s="23" t="str">
        <f>HYPERLINK("http://ecotaxoserver.obs-vlfr.fr/browsetaxo/?id=72417","72417")</f>
        <v>72417</v>
      </c>
      <c r="D1062" s="23" t="str">
        <f>HYPERLINK("http://www.marinespecies.org/aphia.php?p=taxdetails&amp;id=116997","116997")</f>
        <v>116997</v>
      </c>
      <c r="E1062" s="22" t="s">
        <v>136</v>
      </c>
      <c r="F1062" s="22" t="s">
        <v>1688</v>
      </c>
      <c r="G1062" s="22" t="s">
        <v>94</v>
      </c>
      <c r="H1062" s="23" t="str">
        <f>HYPERLINK("http://www.marinespecies.org/aphia.php?p=taxdetails&amp;id=116997","116997")</f>
        <v>116997</v>
      </c>
      <c r="I1062" s="22" t="s">
        <v>94</v>
      </c>
      <c r="J1062" s="24" t="str">
        <f t="shared" si="7"/>
        <v>!=</v>
      </c>
    </row>
    <row r="1063">
      <c r="A1063" s="22" t="s">
        <v>1689</v>
      </c>
      <c r="B1063" s="22">
        <v>1630.0</v>
      </c>
      <c r="C1063" s="23" t="str">
        <f>HYPERLINK("http://ecotaxoserver.obs-vlfr.fr/browsetaxo/?id=81856","81856")</f>
        <v>81856</v>
      </c>
      <c r="D1063" s="23" t="str">
        <f>HYPERLINK("http://www.marinespecies.org/aphia.php?p=taxdetails&amp;id=117267","117267")</f>
        <v>117267</v>
      </c>
      <c r="E1063" s="22" t="s">
        <v>1687</v>
      </c>
      <c r="F1063" s="22" t="s">
        <v>1687</v>
      </c>
      <c r="G1063" s="22" t="s">
        <v>94</v>
      </c>
      <c r="H1063" s="23" t="str">
        <f>HYPERLINK("http://www.marinespecies.org/aphia.php?p=taxdetails&amp;id=117267","117267")</f>
        <v>117267</v>
      </c>
      <c r="I1063" s="22" t="s">
        <v>94</v>
      </c>
      <c r="J1063" s="24" t="str">
        <f t="shared" si="7"/>
        <v/>
      </c>
    </row>
    <row r="1064">
      <c r="A1064" s="22" t="s">
        <v>1690</v>
      </c>
      <c r="B1064" s="22">
        <v>26.0</v>
      </c>
      <c r="C1064" s="23" t="str">
        <f>HYPERLINK("http://ecotaxoserver.obs-vlfr.fr/browsetaxo/?id=25923","25923")</f>
        <v>25923</v>
      </c>
      <c r="D1064" s="23" t="str">
        <f>HYPERLINK("http://www.marinespecies.org/aphia.php?p=taxdetails&amp;id=105413","105413")</f>
        <v>105413</v>
      </c>
      <c r="E1064" s="22" t="s">
        <v>1691</v>
      </c>
      <c r="F1064" s="22" t="s">
        <v>1691</v>
      </c>
      <c r="G1064" s="22" t="s">
        <v>94</v>
      </c>
      <c r="H1064" s="23" t="str">
        <f>HYPERLINK("http://www.marinespecies.org/aphia.php?p=taxdetails&amp;id=105413","105413")</f>
        <v>105413</v>
      </c>
      <c r="I1064" s="22" t="s">
        <v>94</v>
      </c>
      <c r="J1064" s="24" t="str">
        <f t="shared" si="7"/>
        <v/>
      </c>
    </row>
    <row r="1065">
      <c r="A1065" s="22" t="s">
        <v>1692</v>
      </c>
      <c r="B1065" s="22">
        <v>11.0</v>
      </c>
      <c r="C1065" s="23" t="str">
        <f>HYPERLINK("http://ecotaxoserver.obs-vlfr.fr/browsetaxo/?id=92925","92925")</f>
        <v>92925</v>
      </c>
      <c r="D1065" s="23" t="str">
        <f>HYPERLINK("http://www.marinespecies.org/aphia.php?p=taxdetails&amp;id=125564","125564")</f>
        <v>125564</v>
      </c>
      <c r="E1065" s="22" t="s">
        <v>132</v>
      </c>
      <c r="F1065" s="22" t="s">
        <v>242</v>
      </c>
      <c r="G1065" s="22" t="s">
        <v>94</v>
      </c>
      <c r="H1065" s="23" t="str">
        <f>HYPERLINK("http://www.marinespecies.org/aphia.php?p=taxdetails&amp;id=125564","125564")</f>
        <v>125564</v>
      </c>
      <c r="I1065" s="22" t="s">
        <v>94</v>
      </c>
      <c r="J1065" s="24" t="str">
        <f t="shared" si="7"/>
        <v>!=</v>
      </c>
    </row>
    <row r="1066">
      <c r="A1066" s="22" t="s">
        <v>1693</v>
      </c>
      <c r="B1066" s="22">
        <v>2.0</v>
      </c>
      <c r="C1066" s="23" t="str">
        <f>HYPERLINK("http://ecotaxoserver.obs-vlfr.fr/browsetaxo/?id=14028","14028")</f>
        <v>14028</v>
      </c>
      <c r="D1066" s="23" t="str">
        <f>HYPERLINK("http://www.marinespecies.org/aphia.php?p=taxdetails&amp;id=109502","109502")</f>
        <v>109502</v>
      </c>
      <c r="E1066" s="22" t="s">
        <v>1501</v>
      </c>
      <c r="F1066" s="22" t="s">
        <v>1694</v>
      </c>
      <c r="G1066" s="22" t="s">
        <v>94</v>
      </c>
      <c r="H1066" s="23" t="str">
        <f>HYPERLINK("http://www.marinespecies.org/aphia.php?p=taxdetails&amp;id=109502","109502")</f>
        <v>109502</v>
      </c>
      <c r="I1066" s="22" t="s">
        <v>94</v>
      </c>
      <c r="J1066" s="24" t="str">
        <f t="shared" si="7"/>
        <v>!=</v>
      </c>
    </row>
    <row r="1067">
      <c r="A1067" s="22" t="s">
        <v>1695</v>
      </c>
      <c r="B1067" s="22">
        <v>3.0</v>
      </c>
      <c r="C1067" s="23" t="str">
        <f>HYPERLINK("http://ecotaxoserver.obs-vlfr.fr/browsetaxo/?id=81831","81831")</f>
        <v>81831</v>
      </c>
      <c r="D1067" s="23" t="str">
        <f>HYPERLINK("http://www.marinespecies.org/aphia.php?p=taxdetails&amp;id=135381","135381")</f>
        <v>135381</v>
      </c>
      <c r="E1067" s="22" t="s">
        <v>1696</v>
      </c>
      <c r="F1067" s="22" t="s">
        <v>1696</v>
      </c>
      <c r="G1067" s="22" t="s">
        <v>94</v>
      </c>
      <c r="H1067" s="23" t="str">
        <f>HYPERLINK("http://www.marinespecies.org/aphia.php?p=taxdetails&amp;id=135381","135381")</f>
        <v>135381</v>
      </c>
      <c r="I1067" s="22" t="s">
        <v>94</v>
      </c>
      <c r="J1067" s="24" t="str">
        <f t="shared" si="7"/>
        <v/>
      </c>
    </row>
    <row r="1068">
      <c r="A1068" s="22" t="s">
        <v>1697</v>
      </c>
      <c r="B1068" s="22">
        <v>1.0</v>
      </c>
      <c r="C1068" s="23" t="str">
        <f>HYPERLINK("http://ecotaxoserver.obs-vlfr.fr/browsetaxo/?id=93264","93264")</f>
        <v>93264</v>
      </c>
      <c r="D1068" s="23" t="str">
        <f>HYPERLINK("http://www.marinespecies.org/aphia.php?p=taxdetails&amp;id=126084","126084")</f>
        <v>126084</v>
      </c>
      <c r="E1068" s="22" t="s">
        <v>1698</v>
      </c>
      <c r="F1068" s="22" t="s">
        <v>1698</v>
      </c>
      <c r="G1068" s="22" t="s">
        <v>94</v>
      </c>
      <c r="H1068" s="23" t="str">
        <f>HYPERLINK("http://www.marinespecies.org/aphia.php?p=taxdetails&amp;id=126084","126084")</f>
        <v>126084</v>
      </c>
      <c r="I1068" s="22" t="s">
        <v>94</v>
      </c>
      <c r="J1068" s="24" t="str">
        <f t="shared" si="7"/>
        <v/>
      </c>
    </row>
    <row r="1069">
      <c r="A1069" s="22" t="s">
        <v>1698</v>
      </c>
      <c r="B1069" s="22">
        <v>1.0</v>
      </c>
      <c r="C1069" s="23" t="str">
        <f>HYPERLINK("http://ecotaxoserver.obs-vlfr.fr/browsetaxo/?id=93263","93263")</f>
        <v>93263</v>
      </c>
      <c r="D1069" s="23" t="str">
        <f>HYPERLINK("http://www.marinespecies.org/aphia.php?p=taxdetails&amp;id=125565","125565")</f>
        <v>125565</v>
      </c>
      <c r="E1069" s="22" t="s">
        <v>1699</v>
      </c>
      <c r="F1069" s="22" t="s">
        <v>1699</v>
      </c>
      <c r="G1069" s="22" t="s">
        <v>94</v>
      </c>
      <c r="H1069" s="23" t="str">
        <f>HYPERLINK("http://www.marinespecies.org/aphia.php?p=taxdetails&amp;id=125565","125565")</f>
        <v>125565</v>
      </c>
      <c r="I1069" s="22" t="s">
        <v>94</v>
      </c>
      <c r="J1069" s="24" t="str">
        <f t="shared" si="7"/>
        <v/>
      </c>
    </row>
    <row r="1070">
      <c r="A1070" s="22" t="s">
        <v>1700</v>
      </c>
      <c r="B1070" s="22">
        <v>69.0</v>
      </c>
      <c r="C1070" s="23" t="str">
        <f>HYPERLINK("http://ecotaxoserver.obs-vlfr.fr/browsetaxo/?id=61970","61970")</f>
        <v>61970</v>
      </c>
      <c r="D1070" s="23" t="str">
        <f>HYPERLINK("http://www.marinespecies.org/aphia.php?p=taxdetails&amp;id=104104","104104")</f>
        <v>104104</v>
      </c>
      <c r="E1070" s="22" t="s">
        <v>111</v>
      </c>
      <c r="F1070" s="22" t="s">
        <v>111</v>
      </c>
      <c r="G1070" s="22" t="s">
        <v>94</v>
      </c>
      <c r="H1070" s="23" t="str">
        <f>HYPERLINK("http://www.marinespecies.org/aphia.php?p=taxdetails&amp;id=104104","104104")</f>
        <v>104104</v>
      </c>
      <c r="I1070" s="22" t="s">
        <v>94</v>
      </c>
      <c r="J1070" s="24" t="str">
        <f t="shared" si="7"/>
        <v/>
      </c>
    </row>
    <row r="1071">
      <c r="A1071" s="22" t="s">
        <v>1701</v>
      </c>
      <c r="B1071" s="22">
        <v>26.0</v>
      </c>
      <c r="C1071" s="23" t="str">
        <f>HYPERLINK("http://ecotaxoserver.obs-vlfr.fr/browsetaxo/?id=82095","82095")</f>
        <v>82095</v>
      </c>
      <c r="D1071" s="23" t="str">
        <f>HYPERLINK("http://www.marinespecies.org/aphia.php?p=taxdetails&amp;id=104236","104236")</f>
        <v>104236</v>
      </c>
      <c r="E1071" s="22" t="s">
        <v>1700</v>
      </c>
      <c r="F1071" s="22" t="s">
        <v>1700</v>
      </c>
      <c r="G1071" s="22" t="s">
        <v>94</v>
      </c>
      <c r="H1071" s="23" t="str">
        <f>HYPERLINK("http://www.marinespecies.org/aphia.php?p=taxdetails&amp;id=104236","104236")</f>
        <v>104236</v>
      </c>
      <c r="I1071" s="22" t="s">
        <v>94</v>
      </c>
      <c r="J1071" s="24" t="str">
        <f t="shared" si="7"/>
        <v/>
      </c>
    </row>
    <row r="1072">
      <c r="A1072" s="22" t="s">
        <v>1702</v>
      </c>
      <c r="B1072" s="22">
        <v>16.0</v>
      </c>
      <c r="C1072" s="23" t="str">
        <f>HYPERLINK("http://ecotaxoserver.obs-vlfr.fr/browsetaxo/?id=93002","93002")</f>
        <v>93002</v>
      </c>
      <c r="D1072" s="23" t="str">
        <f>HYPERLINK("http://www.marinespecies.org/aphia.php?p=taxdetails&amp;id=104852","104852")</f>
        <v>104852</v>
      </c>
      <c r="E1072" s="22" t="s">
        <v>1701</v>
      </c>
      <c r="F1072" s="22" t="s">
        <v>1701</v>
      </c>
      <c r="G1072" s="22" t="s">
        <v>94</v>
      </c>
      <c r="H1072" s="23" t="str">
        <f>HYPERLINK("http://www.marinespecies.org/aphia.php?p=taxdetails&amp;id=104852","104852")</f>
        <v>104852</v>
      </c>
      <c r="I1072" s="22" t="s">
        <v>94</v>
      </c>
      <c r="J1072" s="24" t="str">
        <f t="shared" si="7"/>
        <v/>
      </c>
    </row>
    <row r="1073">
      <c r="A1073" s="22" t="s">
        <v>1703</v>
      </c>
      <c r="B1073" s="22">
        <v>64.0</v>
      </c>
      <c r="C1073" s="23" t="str">
        <f>HYPERLINK("http://ecotaxoserver.obs-vlfr.fr/browsetaxo/?id=92262","92262")</f>
        <v>92262</v>
      </c>
      <c r="D1073" s="23" t="str">
        <f>HYPERLINK("http://www.marinespecies.org/aphia.php?p=taxdetails&amp;id=104853","104853")</f>
        <v>104853</v>
      </c>
      <c r="E1073" s="22" t="s">
        <v>1701</v>
      </c>
      <c r="F1073" s="22" t="s">
        <v>1701</v>
      </c>
      <c r="G1073" s="22" t="s">
        <v>94</v>
      </c>
      <c r="H1073" s="23" t="str">
        <f>HYPERLINK("http://www.marinespecies.org/aphia.php?p=taxdetails&amp;id=104853","104853")</f>
        <v>104853</v>
      </c>
      <c r="I1073" s="22" t="s">
        <v>94</v>
      </c>
      <c r="J1073" s="24" t="str">
        <f t="shared" si="7"/>
        <v/>
      </c>
    </row>
    <row r="1074">
      <c r="A1074" s="22" t="s">
        <v>489</v>
      </c>
      <c r="B1074" s="22">
        <v>1.0</v>
      </c>
      <c r="C1074" s="23" t="str">
        <f>HYPERLINK("http://ecotaxoserver.obs-vlfr.fr/browsetaxo/?id=43758","43758")</f>
        <v>43758</v>
      </c>
      <c r="D1074" s="23" t="str">
        <f>HYPERLINK("http://www.marinespecies.org/aphia.php?p=taxdetails&amp;id=889","889")</f>
        <v>889</v>
      </c>
      <c r="E1074" s="22" t="s">
        <v>1704</v>
      </c>
      <c r="F1074" s="22" t="s">
        <v>1704</v>
      </c>
      <c r="G1074" s="22" t="s">
        <v>94</v>
      </c>
      <c r="H1074" s="23" t="str">
        <f>HYPERLINK("http://www.marinespecies.org/aphia.php?p=taxdetails&amp;id=889","889")</f>
        <v>889</v>
      </c>
      <c r="I1074" s="22" t="s">
        <v>94</v>
      </c>
      <c r="J1074" s="24" t="str">
        <f t="shared" si="7"/>
        <v/>
      </c>
    </row>
    <row r="1075">
      <c r="A1075" s="22" t="s">
        <v>1462</v>
      </c>
      <c r="B1075" s="22">
        <v>73.0</v>
      </c>
      <c r="C1075" s="23" t="str">
        <f>HYPERLINK("http://ecotaxoserver.obs-vlfr.fr/browsetaxo/?id=60197","60197")</f>
        <v>60197</v>
      </c>
      <c r="D1075" s="23" t="str">
        <f>HYPERLINK("http://www.marinespecies.org/aphia.php?p=taxdetails&amp;id=913","913")</f>
        <v>913</v>
      </c>
      <c r="E1075" s="22" t="s">
        <v>489</v>
      </c>
      <c r="F1075" s="22" t="s">
        <v>1705</v>
      </c>
      <c r="G1075" s="22" t="s">
        <v>94</v>
      </c>
      <c r="H1075" s="23" t="str">
        <f>HYPERLINK("http://www.marinespecies.org/aphia.php?p=taxdetails&amp;id=913","913")</f>
        <v>913</v>
      </c>
      <c r="I1075" s="22" t="s">
        <v>94</v>
      </c>
      <c r="J1075" s="24" t="str">
        <f t="shared" si="7"/>
        <v>!=</v>
      </c>
    </row>
    <row r="1076">
      <c r="A1076" s="22" t="s">
        <v>1706</v>
      </c>
      <c r="B1076" s="22">
        <v>1.0</v>
      </c>
      <c r="C1076" s="23" t="str">
        <f>HYPERLINK("http://ecotaxoserver.obs-vlfr.fr/browsetaxo/?id=30972","30972")</f>
        <v>30972</v>
      </c>
      <c r="D1076" s="23" t="str">
        <f>HYPERLINK("http://www.marinespecies.org/aphia.php?p=taxdetails&amp;id=391485","391485")</f>
        <v>391485</v>
      </c>
      <c r="E1076" s="22" t="s">
        <v>1707</v>
      </c>
      <c r="F1076" s="22" t="s">
        <v>187</v>
      </c>
      <c r="G1076" s="22" t="s">
        <v>94</v>
      </c>
      <c r="H1076" s="23" t="str">
        <f>HYPERLINK("http://www.marinespecies.org/aphia.php?p=taxdetails&amp;id=391485","391485")</f>
        <v>391485</v>
      </c>
      <c r="I1076" s="22" t="s">
        <v>94</v>
      </c>
      <c r="J1076" s="24" t="str">
        <f t="shared" si="7"/>
        <v>!=</v>
      </c>
    </row>
    <row r="1077">
      <c r="A1077" s="22" t="s">
        <v>1708</v>
      </c>
      <c r="B1077" s="22">
        <v>464.0</v>
      </c>
      <c r="C1077" s="23" t="str">
        <f>HYPERLINK("http://ecotaxoserver.obs-vlfr.fr/browsetaxo/?id=82020","82020")</f>
        <v>82020</v>
      </c>
      <c r="D1077" s="23" t="str">
        <f>HYPERLINK("http://www.marinespecies.org/aphia.php?p=taxdetails&amp;id=129642","129642")</f>
        <v>129642</v>
      </c>
      <c r="E1077" s="22" t="s">
        <v>1709</v>
      </c>
      <c r="F1077" s="22" t="s">
        <v>1710</v>
      </c>
      <c r="G1077" s="22" t="s">
        <v>94</v>
      </c>
      <c r="H1077" s="23" t="str">
        <f>HYPERLINK("http://www.marinespecies.org/aphia.php?p=taxdetails&amp;id=129642","129642")</f>
        <v>129642</v>
      </c>
      <c r="I1077" s="22" t="s">
        <v>94</v>
      </c>
      <c r="J1077" s="24" t="str">
        <f t="shared" si="7"/>
        <v>!=</v>
      </c>
    </row>
    <row r="1078">
      <c r="A1078" s="22" t="s">
        <v>1711</v>
      </c>
      <c r="B1078" s="22">
        <v>1.0</v>
      </c>
      <c r="C1078" s="23" t="str">
        <f>HYPERLINK("http://ecotaxoserver.obs-vlfr.fr/browsetaxo/?id=31369","31369")</f>
        <v>31369</v>
      </c>
      <c r="D1078" s="23" t="str">
        <f>HYPERLINK("http://www.marinespecies.org/aphia.php?p=taxdetails&amp;id=416002","416002")</f>
        <v>416002</v>
      </c>
      <c r="E1078" s="22" t="s">
        <v>1712</v>
      </c>
      <c r="F1078" s="22" t="s">
        <v>1712</v>
      </c>
      <c r="G1078" s="22" t="s">
        <v>94</v>
      </c>
      <c r="H1078" s="23" t="str">
        <f>HYPERLINK("http://www.marinespecies.org/aphia.php?p=taxdetails&amp;id=416002","416002")</f>
        <v>416002</v>
      </c>
      <c r="I1078" s="22" t="s">
        <v>94</v>
      </c>
      <c r="J1078" s="24" t="str">
        <f t="shared" si="7"/>
        <v/>
      </c>
    </row>
    <row r="1079">
      <c r="A1079" s="22" t="s">
        <v>725</v>
      </c>
      <c r="B1079" s="22">
        <v>386.0</v>
      </c>
      <c r="C1079" s="23" t="str">
        <f>HYPERLINK("http://ecotaxoserver.obs-vlfr.fr/browsetaxo/?id=27885","27885")</f>
        <v>27885</v>
      </c>
      <c r="D1079" s="23" t="str">
        <f>HYPERLINK("http://www.marinespecies.org/aphia.php?p=taxdetails&amp;id=345858","345858")</f>
        <v>345858</v>
      </c>
      <c r="E1079" s="22" t="s">
        <v>724</v>
      </c>
      <c r="F1079" s="22" t="s">
        <v>1713</v>
      </c>
      <c r="G1079" s="22" t="s">
        <v>94</v>
      </c>
      <c r="H1079" s="23" t="str">
        <f>HYPERLINK("http://www.marinespecies.org/aphia.php?p=taxdetails&amp;id=345858","345858")</f>
        <v>345858</v>
      </c>
      <c r="I1079" s="22" t="s">
        <v>94</v>
      </c>
      <c r="J1079" s="24" t="str">
        <f t="shared" si="7"/>
        <v>!=</v>
      </c>
    </row>
    <row r="1080">
      <c r="A1080" s="22" t="s">
        <v>1713</v>
      </c>
      <c r="B1080" s="22">
        <v>840.0</v>
      </c>
      <c r="C1080" s="23" t="str">
        <f>HYPERLINK("http://ecotaxoserver.obs-vlfr.fr/browsetaxo/?id=13378","13378")</f>
        <v>13378</v>
      </c>
      <c r="D1080" s="23" t="str">
        <f>HYPERLINK("http://www.marinespecies.org/aphia.php?p=taxdetails&amp;id=345835","345835")</f>
        <v>345835</v>
      </c>
      <c r="E1080" s="22" t="s">
        <v>575</v>
      </c>
      <c r="F1080" s="22" t="s">
        <v>576</v>
      </c>
      <c r="G1080" s="22" t="s">
        <v>94</v>
      </c>
      <c r="H1080" s="23" t="str">
        <f>HYPERLINK("http://www.marinespecies.org/aphia.php?p=taxdetails&amp;id=345835","345835")</f>
        <v>345835</v>
      </c>
      <c r="I1080" s="22" t="s">
        <v>94</v>
      </c>
      <c r="J1080" s="24" t="str">
        <f t="shared" si="7"/>
        <v>!=</v>
      </c>
    </row>
    <row r="1081">
      <c r="A1081" s="22" t="s">
        <v>1714</v>
      </c>
      <c r="B1081" s="22">
        <v>11.0</v>
      </c>
      <c r="C1081" s="23" t="str">
        <f>HYPERLINK("http://ecotaxoserver.obs-vlfr.fr/browsetaxo/?id=78429","78429")</f>
        <v>78429</v>
      </c>
      <c r="D1081" s="23" t="str">
        <f>HYPERLINK("http://www.marinespecies.org/aphia.php?p=taxdetails&amp;id=136113","136113")</f>
        <v>136113</v>
      </c>
      <c r="E1081" s="22" t="s">
        <v>1715</v>
      </c>
      <c r="F1081" s="22" t="s">
        <v>1715</v>
      </c>
      <c r="G1081" s="22" t="s">
        <v>94</v>
      </c>
      <c r="H1081" s="23" t="str">
        <f>HYPERLINK("http://www.marinespecies.org/aphia.php?p=taxdetails&amp;id=136113","136113")</f>
        <v>136113</v>
      </c>
      <c r="I1081" s="22" t="s">
        <v>94</v>
      </c>
      <c r="J1081" s="24" t="str">
        <f t="shared" si="7"/>
        <v/>
      </c>
    </row>
    <row r="1082">
      <c r="A1082" s="22" t="s">
        <v>1715</v>
      </c>
      <c r="B1082" s="22">
        <v>15.0</v>
      </c>
      <c r="C1082" s="23" t="str">
        <f>HYPERLINK("http://ecotaxoserver.obs-vlfr.fr/browsetaxo/?id=45064","45064")</f>
        <v>45064</v>
      </c>
      <c r="D1082" s="23" t="str">
        <f>HYPERLINK("http://www.marinespecies.org/aphia.php?p=taxdetails&amp;id=136093","136093")</f>
        <v>136093</v>
      </c>
      <c r="E1082" s="22" t="s">
        <v>1716</v>
      </c>
      <c r="F1082" s="22" t="s">
        <v>1717</v>
      </c>
      <c r="G1082" s="22" t="s">
        <v>94</v>
      </c>
      <c r="H1082" s="23" t="str">
        <f>HYPERLINK("http://www.marinespecies.org/aphia.php?p=taxdetails&amp;id=136093","136093")</f>
        <v>136093</v>
      </c>
      <c r="I1082" s="22" t="s">
        <v>94</v>
      </c>
      <c r="J1082" s="24" t="str">
        <f t="shared" si="7"/>
        <v>!=</v>
      </c>
    </row>
    <row r="1083">
      <c r="A1083" s="22" t="s">
        <v>1718</v>
      </c>
      <c r="B1083" s="22">
        <v>3.0</v>
      </c>
      <c r="C1083" s="23" t="str">
        <f>HYPERLINK("http://ecotaxoserver.obs-vlfr.fr/browsetaxo/?id=72366","72366")</f>
        <v>72366</v>
      </c>
      <c r="D1083" s="23" t="str">
        <f>HYPERLINK("http://www.marinespecies.org/aphia.php?p=taxdetails&amp;id=117144","117144")</f>
        <v>117144</v>
      </c>
      <c r="E1083" s="22" t="s">
        <v>1719</v>
      </c>
      <c r="F1083" s="22" t="s">
        <v>1720</v>
      </c>
      <c r="G1083" s="22" t="s">
        <v>94</v>
      </c>
      <c r="H1083" s="23" t="str">
        <f>HYPERLINK("http://www.marinespecies.org/aphia.php?p=taxdetails&amp;id=117144","117144")</f>
        <v>117144</v>
      </c>
      <c r="I1083" s="22" t="s">
        <v>94</v>
      </c>
      <c r="J1083" s="24" t="str">
        <f t="shared" si="7"/>
        <v>!=</v>
      </c>
    </row>
    <row r="1084">
      <c r="A1084" s="22" t="s">
        <v>1721</v>
      </c>
      <c r="B1084" s="22">
        <v>2.0</v>
      </c>
      <c r="C1084" s="23" t="str">
        <f>HYPERLINK("http://ecotaxoserver.obs-vlfr.fr/browsetaxo/?id=92749","92749")</f>
        <v>92749</v>
      </c>
      <c r="D1084" s="23" t="str">
        <f>HYPERLINK("http://www.marinespecies.org/aphia.php?p=taxdetails&amp;id=117729","117729")</f>
        <v>117729</v>
      </c>
      <c r="E1084" s="22" t="s">
        <v>1718</v>
      </c>
      <c r="F1084" s="22" t="s">
        <v>1718</v>
      </c>
      <c r="G1084" s="22" t="s">
        <v>94</v>
      </c>
      <c r="H1084" s="23" t="str">
        <f>HYPERLINK("http://www.marinespecies.org/aphia.php?p=taxdetails&amp;id=117729","117729")</f>
        <v>117729</v>
      </c>
      <c r="I1084" s="22" t="s">
        <v>94</v>
      </c>
      <c r="J1084" s="24" t="str">
        <f t="shared" si="7"/>
        <v/>
      </c>
    </row>
    <row r="1085">
      <c r="A1085" s="22" t="s">
        <v>1722</v>
      </c>
      <c r="B1085" s="22">
        <v>392.0</v>
      </c>
      <c r="C1085" s="23" t="str">
        <f>HYPERLINK("http://ecotaxoserver.obs-vlfr.fr/browsetaxo/?id=28125","28125")</f>
        <v>28125</v>
      </c>
      <c r="D1085" s="23" t="str">
        <f>HYPERLINK("http://www.marinespecies.org/aphia.php?p=taxdetails&amp;id=149077","149077")</f>
        <v>149077</v>
      </c>
      <c r="E1085" s="22" t="s">
        <v>119</v>
      </c>
      <c r="F1085" s="22" t="s">
        <v>1723</v>
      </c>
      <c r="G1085" s="22" t="s">
        <v>94</v>
      </c>
      <c r="H1085" s="23" t="str">
        <f>HYPERLINK("http://www.marinespecies.org/aphia.php?p=taxdetails&amp;id=149077","149077")</f>
        <v>149077</v>
      </c>
      <c r="I1085" s="22" t="s">
        <v>94</v>
      </c>
      <c r="J1085" s="24" t="str">
        <f t="shared" si="7"/>
        <v>!=</v>
      </c>
    </row>
    <row r="1086">
      <c r="A1086" s="22" t="s">
        <v>1724</v>
      </c>
      <c r="B1086" s="22">
        <v>1271.0</v>
      </c>
      <c r="C1086" s="23" t="str">
        <f>HYPERLINK("http://ecotaxoserver.obs-vlfr.fr/browsetaxo/?id=31218","31218")</f>
        <v>31218</v>
      </c>
      <c r="D1086" s="23" t="str">
        <f>HYPERLINK("http://www.marinespecies.org/aphia.php?p=taxdetails&amp;id=183545","183545")</f>
        <v>183545</v>
      </c>
      <c r="E1086" s="22" t="s">
        <v>209</v>
      </c>
      <c r="F1086" s="22" t="s">
        <v>210</v>
      </c>
      <c r="G1086" s="22" t="s">
        <v>94</v>
      </c>
      <c r="H1086" s="23" t="str">
        <f>HYPERLINK("http://www.marinespecies.org/aphia.php?p=taxdetails&amp;id=183545","183545")</f>
        <v>183545</v>
      </c>
      <c r="I1086" s="22" t="s">
        <v>94</v>
      </c>
      <c r="J1086" s="24" t="str">
        <f t="shared" si="7"/>
        <v>!=</v>
      </c>
    </row>
    <row r="1087">
      <c r="A1087" s="22" t="s">
        <v>1725</v>
      </c>
      <c r="B1087" s="22">
        <v>1.0</v>
      </c>
      <c r="C1087" s="23" t="str">
        <f>HYPERLINK("http://ecotaxoserver.obs-vlfr.fr/browsetaxo/?id=93276","93276")</f>
        <v>93276</v>
      </c>
      <c r="D1087" s="23" t="str">
        <f>HYPERLINK("http://www.marinespecies.org/aphia.php?p=taxdetails&amp;id=203822","203822")</f>
        <v>203822</v>
      </c>
      <c r="E1087" s="22" t="s">
        <v>1469</v>
      </c>
      <c r="F1087" s="22" t="s">
        <v>1469</v>
      </c>
      <c r="G1087" s="22" t="s">
        <v>94</v>
      </c>
      <c r="H1087" s="23" t="str">
        <f>HYPERLINK("http://www.marinespecies.org/aphia.php?p=taxdetails&amp;id=203822","203822")</f>
        <v>203822</v>
      </c>
      <c r="I1087" s="22" t="s">
        <v>94</v>
      </c>
      <c r="J1087" s="24" t="str">
        <f t="shared" si="7"/>
        <v/>
      </c>
    </row>
    <row r="1088">
      <c r="A1088" s="22" t="s">
        <v>1726</v>
      </c>
      <c r="B1088" s="22">
        <v>2.0</v>
      </c>
      <c r="C1088" s="23" t="str">
        <f>HYPERLINK("http://ecotaxoserver.obs-vlfr.fr/browsetaxo/?id=84652","84652")</f>
        <v>84652</v>
      </c>
      <c r="D1088" s="23" t="str">
        <f>HYPERLINK("http://www.marinespecies.org/aphia.php?p=taxdetails&amp;id=103105","103105")</f>
        <v>103105</v>
      </c>
      <c r="E1088" s="22" t="s">
        <v>1727</v>
      </c>
      <c r="F1088" s="22" t="s">
        <v>1727</v>
      </c>
      <c r="G1088" s="22" t="s">
        <v>94</v>
      </c>
      <c r="H1088" s="23" t="str">
        <f>HYPERLINK("http://www.marinespecies.org/aphia.php?p=taxdetails&amp;id=103105","103105")</f>
        <v>103105</v>
      </c>
      <c r="I1088" s="22" t="s">
        <v>94</v>
      </c>
      <c r="J1088" s="24" t="str">
        <f t="shared" si="7"/>
        <v/>
      </c>
    </row>
    <row r="1089">
      <c r="A1089" s="22" t="s">
        <v>1728</v>
      </c>
      <c r="B1089" s="22">
        <v>1.0</v>
      </c>
      <c r="C1089" s="23" t="str">
        <f>HYPERLINK("http://ecotaxoserver.obs-vlfr.fr/browsetaxo/?id=83676","83676")</f>
        <v>83676</v>
      </c>
      <c r="D1089" s="23" t="str">
        <f>HYPERLINK("http://www.marinespecies.org/aphia.php?p=taxdetails&amp;id=107066","107066")</f>
        <v>107066</v>
      </c>
      <c r="E1089" s="22" t="s">
        <v>1729</v>
      </c>
      <c r="F1089" s="22" t="s">
        <v>1730</v>
      </c>
      <c r="G1089" s="22" t="s">
        <v>94</v>
      </c>
      <c r="H1089" s="23" t="str">
        <f>HYPERLINK("http://www.marinespecies.org/aphia.php?p=taxdetails&amp;id=107066","107066")</f>
        <v>107066</v>
      </c>
      <c r="I1089" s="22" t="s">
        <v>94</v>
      </c>
      <c r="J1089" s="24" t="str">
        <f t="shared" si="7"/>
        <v>!=</v>
      </c>
    </row>
    <row r="1090">
      <c r="A1090" s="22" t="s">
        <v>1731</v>
      </c>
      <c r="B1090" s="22">
        <v>3289.0</v>
      </c>
      <c r="C1090" s="23" t="str">
        <f>HYPERLINK("http://ecotaxoserver.obs-vlfr.fr/browsetaxo/?id=31205","31205")</f>
        <v>31205</v>
      </c>
      <c r="D1090" s="23" t="str">
        <f>HYPERLINK("http://www.marinespecies.org/aphia.php?p=taxdetails&amp;id=178825","178825")</f>
        <v>178825</v>
      </c>
      <c r="E1090" s="22" t="s">
        <v>1732</v>
      </c>
      <c r="F1090" s="22" t="s">
        <v>1733</v>
      </c>
      <c r="G1090" s="22" t="s">
        <v>94</v>
      </c>
      <c r="H1090" s="23" t="str">
        <f>HYPERLINK("http://www.marinespecies.org/aphia.php?p=taxdetails&amp;id=178825","178825")</f>
        <v>178825</v>
      </c>
      <c r="I1090" s="22" t="s">
        <v>94</v>
      </c>
      <c r="J1090" s="24" t="str">
        <f t="shared" si="7"/>
        <v>!=</v>
      </c>
    </row>
    <row r="1091">
      <c r="A1091" s="22" t="s">
        <v>1734</v>
      </c>
      <c r="B1091" s="22">
        <v>1.0</v>
      </c>
      <c r="C1091" s="23" t="str">
        <f>HYPERLINK("http://ecotaxoserver.obs-vlfr.fr/browsetaxo/?id=93180","93180")</f>
        <v>93180</v>
      </c>
      <c r="D1091" s="23" t="str">
        <f>HYPERLINK("http://www.marinespecies.org/aphia.php?p=taxdetails&amp;id=127409","127409")</f>
        <v>127409</v>
      </c>
      <c r="E1091" s="22" t="s">
        <v>1735</v>
      </c>
      <c r="F1091" s="22" t="s">
        <v>1735</v>
      </c>
      <c r="G1091" s="22" t="s">
        <v>94</v>
      </c>
      <c r="H1091" s="23" t="str">
        <f>HYPERLINK("http://www.marinespecies.org/aphia.php?p=taxdetails&amp;id=127409","127409")</f>
        <v>127409</v>
      </c>
      <c r="I1091" s="22" t="s">
        <v>94</v>
      </c>
      <c r="J1091" s="24" t="str">
        <f t="shared" si="7"/>
        <v/>
      </c>
    </row>
    <row r="1092">
      <c r="A1092" s="22" t="s">
        <v>1736</v>
      </c>
      <c r="B1092" s="22">
        <v>10.0</v>
      </c>
      <c r="C1092" s="23" t="str">
        <f>HYPERLINK("http://ecotaxoserver.obs-vlfr.fr/browsetaxo/?id=28286","28286")</f>
        <v>28286</v>
      </c>
      <c r="D1092" s="23" t="str">
        <f>HYPERLINK("http://www.marinespecies.org/aphia.php?p=taxdetails&amp;id=149630","149630")</f>
        <v>149630</v>
      </c>
      <c r="E1092" s="22" t="s">
        <v>292</v>
      </c>
      <c r="F1092" s="22" t="s">
        <v>1737</v>
      </c>
      <c r="G1092" s="22" t="s">
        <v>94</v>
      </c>
      <c r="H1092" s="23" t="str">
        <f>HYPERLINK("http://www.marinespecies.org/aphia.php?p=taxdetails&amp;id=149630","149630")</f>
        <v>149630</v>
      </c>
      <c r="I1092" s="22" t="s">
        <v>94</v>
      </c>
      <c r="J1092" s="24" t="str">
        <f t="shared" si="7"/>
        <v>!=</v>
      </c>
    </row>
    <row r="1093">
      <c r="A1093" s="22" t="s">
        <v>1738</v>
      </c>
      <c r="B1093" s="22">
        <v>82.0</v>
      </c>
      <c r="C1093" s="23" t="str">
        <f>HYPERLINK("http://ecotaxoserver.obs-vlfr.fr/browsetaxo/?id=17305","17305")</f>
        <v>17305</v>
      </c>
      <c r="D1093" s="23" t="str">
        <f>HYPERLINK("http://www.marinespecies.org/aphia.php?p=taxdetails&amp;id=235738","235738")</f>
        <v>235738</v>
      </c>
      <c r="E1093" s="22" t="s">
        <v>1739</v>
      </c>
      <c r="F1093" s="22" t="s">
        <v>1740</v>
      </c>
      <c r="G1093" s="22" t="s">
        <v>94</v>
      </c>
      <c r="H1093" s="23" t="str">
        <f>HYPERLINK("http://www.marinespecies.org/aphia.php?p=taxdetails&amp;id=235738","235738")</f>
        <v>235738</v>
      </c>
      <c r="I1093" s="22" t="s">
        <v>94</v>
      </c>
      <c r="J1093" s="24" t="str">
        <f t="shared" si="7"/>
        <v>!=</v>
      </c>
    </row>
    <row r="1094">
      <c r="A1094" s="22" t="s">
        <v>1716</v>
      </c>
      <c r="B1094" s="22">
        <v>2479.0</v>
      </c>
      <c r="C1094" s="23" t="str">
        <f>HYPERLINK("http://ecotaxoserver.obs-vlfr.fr/browsetaxo/?id=92093","92093")</f>
        <v>92093</v>
      </c>
      <c r="D1094" s="23" t="str">
        <f>HYPERLINK("http://www.marinespecies.org/aphia.php?p=taxdetails&amp;id=14355","14355")</f>
        <v>14355</v>
      </c>
      <c r="E1094" s="22" t="s">
        <v>1741</v>
      </c>
      <c r="F1094" s="22" t="s">
        <v>1741</v>
      </c>
      <c r="G1094" s="22" t="s">
        <v>94</v>
      </c>
      <c r="H1094" s="23" t="str">
        <f>HYPERLINK("http://www.marinespecies.org/aphia.php?p=taxdetails&amp;id=14355","14355")</f>
        <v>14355</v>
      </c>
      <c r="I1094" s="22" t="s">
        <v>94</v>
      </c>
      <c r="J1094" s="24" t="str">
        <f t="shared" si="7"/>
        <v/>
      </c>
    </row>
    <row r="1095">
      <c r="A1095" s="22" t="s">
        <v>1149</v>
      </c>
      <c r="B1095" s="22">
        <v>5.0</v>
      </c>
      <c r="C1095" s="23" t="str">
        <f>HYPERLINK("http://ecotaxoserver.obs-vlfr.fr/browsetaxo/?id=92927","92927")</f>
        <v>92927</v>
      </c>
      <c r="D1095" s="23" t="str">
        <f>HYPERLINK("http://www.marinespecies.org/aphia.php?p=taxdetails&amp;id=125604","125604")</f>
        <v>125604</v>
      </c>
      <c r="E1095" s="22" t="s">
        <v>132</v>
      </c>
      <c r="F1095" s="22" t="s">
        <v>1742</v>
      </c>
      <c r="G1095" s="22" t="s">
        <v>94</v>
      </c>
      <c r="H1095" s="23" t="str">
        <f>HYPERLINK("http://www.marinespecies.org/aphia.php?p=taxdetails&amp;id=125604","125604")</f>
        <v>125604</v>
      </c>
      <c r="I1095" s="22" t="s">
        <v>94</v>
      </c>
      <c r="J1095" s="24" t="str">
        <f t="shared" si="7"/>
        <v>!=</v>
      </c>
    </row>
    <row r="1096">
      <c r="A1096" s="22" t="s">
        <v>1743</v>
      </c>
      <c r="B1096" s="22">
        <v>541.0</v>
      </c>
      <c r="C1096" s="23" t="str">
        <f>HYPERLINK("http://ecotaxoserver.obs-vlfr.fr/browsetaxo/?id=28121","28121")</f>
        <v>28121</v>
      </c>
      <c r="D1096" s="23" t="str">
        <f>HYPERLINK("http://www.marinespecies.org/aphia.php?p=taxdetails&amp;id=149176","149176")</f>
        <v>149176</v>
      </c>
      <c r="E1096" s="22" t="s">
        <v>119</v>
      </c>
      <c r="F1096" s="22" t="s">
        <v>934</v>
      </c>
      <c r="G1096" s="22" t="s">
        <v>94</v>
      </c>
      <c r="H1096" s="23" t="str">
        <f>HYPERLINK("http://www.marinespecies.org/aphia.php?p=taxdetails&amp;id=149176","149176")</f>
        <v>149176</v>
      </c>
      <c r="I1096" s="22" t="s">
        <v>94</v>
      </c>
      <c r="J1096" s="24" t="str">
        <f t="shared" si="7"/>
        <v>!=</v>
      </c>
    </row>
    <row r="1097">
      <c r="A1097" s="22" t="s">
        <v>1744</v>
      </c>
      <c r="B1097" s="22">
        <v>49.0</v>
      </c>
      <c r="C1097" s="23" t="str">
        <f>HYPERLINK("http://ecotaxoserver.obs-vlfr.fr/browsetaxo/?id=93636","93636")</f>
        <v>93636</v>
      </c>
      <c r="D1097" s="23" t="str">
        <f>HYPERLINK("http://www.marinespecies.org/aphia.php?p=taxdetails&amp;id=149174","149174")</f>
        <v>149174</v>
      </c>
      <c r="E1097" s="22" t="s">
        <v>119</v>
      </c>
      <c r="F1097" s="22" t="s">
        <v>1745</v>
      </c>
      <c r="G1097" s="22" t="s">
        <v>94</v>
      </c>
      <c r="H1097" s="23" t="str">
        <f>HYPERLINK("http://www.marinespecies.org/aphia.php?p=taxdetails&amp;id=149174","149174")</f>
        <v>149174</v>
      </c>
      <c r="I1097" s="22" t="s">
        <v>94</v>
      </c>
      <c r="J1097" s="24" t="str">
        <f t="shared" si="7"/>
        <v>!=</v>
      </c>
    </row>
    <row r="1098">
      <c r="A1098" s="22" t="s">
        <v>1746</v>
      </c>
      <c r="B1098" s="22">
        <v>369.0</v>
      </c>
      <c r="C1098" s="23" t="str">
        <f>HYPERLINK("http://ecotaxoserver.obs-vlfr.fr/browsetaxo/?id=31333","31333")</f>
        <v>31333</v>
      </c>
      <c r="D1098" s="23" t="str">
        <f>HYPERLINK("http://www.marinespecies.org/aphia.php?p=taxdetails&amp;id=101195","101195")</f>
        <v>101195</v>
      </c>
      <c r="E1098" s="22" t="s">
        <v>1747</v>
      </c>
      <c r="F1098" s="22" t="s">
        <v>1747</v>
      </c>
      <c r="G1098" s="22" t="s">
        <v>94</v>
      </c>
      <c r="H1098" s="23" t="str">
        <f>HYPERLINK("http://www.marinespecies.org/aphia.php?p=taxdetails&amp;id=101195","101195")</f>
        <v>101195</v>
      </c>
      <c r="I1098" s="22" t="s">
        <v>94</v>
      </c>
      <c r="J1098" s="24" t="str">
        <f t="shared" si="7"/>
        <v/>
      </c>
    </row>
    <row r="1099">
      <c r="A1099" s="22" t="s">
        <v>1748</v>
      </c>
      <c r="B1099" s="22">
        <v>61.0</v>
      </c>
      <c r="C1099" s="23" t="str">
        <f>HYPERLINK("http://ecotaxoserver.obs-vlfr.fr/browsetaxo/?id=56315","56315")</f>
        <v>56315</v>
      </c>
      <c r="D1099" s="23" t="str">
        <f>HYPERLINK("http://www.marinespecies.org/aphia.php?p=taxdetails&amp;id=137757","137757")</f>
        <v>137757</v>
      </c>
      <c r="E1099" s="22" t="s">
        <v>623</v>
      </c>
      <c r="F1099" s="22" t="s">
        <v>623</v>
      </c>
      <c r="G1099" s="22" t="s">
        <v>94</v>
      </c>
      <c r="H1099" s="23" t="str">
        <f>HYPERLINK("http://www.marinespecies.org/aphia.php?p=taxdetails&amp;id=137757","137757")</f>
        <v>137757</v>
      </c>
      <c r="I1099" s="22" t="s">
        <v>94</v>
      </c>
      <c r="J1099" s="24" t="str">
        <f t="shared" si="7"/>
        <v/>
      </c>
    </row>
    <row r="1100">
      <c r="A1100" s="22" t="s">
        <v>1749</v>
      </c>
      <c r="B1100" s="22">
        <v>157.0</v>
      </c>
      <c r="C1100" s="23" t="str">
        <f>HYPERLINK("http://ecotaxoserver.obs-vlfr.fr/browsetaxo/?id=78155","78155")</f>
        <v>78155</v>
      </c>
      <c r="D1100" s="23" t="str">
        <f>HYPERLINK("http://www.marinespecies.org/aphia.php?p=taxdetails&amp;id=139048","139048")</f>
        <v>139048</v>
      </c>
      <c r="E1100" s="22" t="s">
        <v>1748</v>
      </c>
      <c r="F1100" s="22" t="s">
        <v>1748</v>
      </c>
      <c r="G1100" s="22" t="s">
        <v>94</v>
      </c>
      <c r="H1100" s="23" t="str">
        <f>HYPERLINK("http://www.marinespecies.org/aphia.php?p=taxdetails&amp;id=139048","139048")</f>
        <v>139048</v>
      </c>
      <c r="I1100" s="22" t="s">
        <v>94</v>
      </c>
      <c r="J1100" s="24" t="str">
        <f t="shared" si="7"/>
        <v/>
      </c>
    </row>
    <row r="1101">
      <c r="A1101" s="22" t="s">
        <v>1750</v>
      </c>
      <c r="B1101" s="22">
        <v>5854.0</v>
      </c>
      <c r="C1101" s="23" t="str">
        <f>HYPERLINK("http://ecotaxoserver.obs-vlfr.fr/browsetaxo/?id=61974","61974")</f>
        <v>61974</v>
      </c>
      <c r="D1101" s="23" t="str">
        <f>HYPERLINK("http://www.marinespecies.org/aphia.php?p=taxdetails&amp;id=345954","345954")</f>
        <v>345954</v>
      </c>
      <c r="E1101" s="22" t="s">
        <v>111</v>
      </c>
      <c r="F1101" s="22" t="s">
        <v>111</v>
      </c>
      <c r="G1101" s="22" t="s">
        <v>94</v>
      </c>
      <c r="H1101" s="23" t="str">
        <f>HYPERLINK("http://www.marinespecies.org/aphia.php?p=taxdetails&amp;id=345954","345954")</f>
        <v>345954</v>
      </c>
      <c r="I1101" s="22" t="s">
        <v>94</v>
      </c>
      <c r="J1101" s="24" t="str">
        <f t="shared" si="7"/>
        <v/>
      </c>
    </row>
    <row r="1102">
      <c r="A1102" s="22" t="s">
        <v>1751</v>
      </c>
      <c r="B1102" s="22">
        <v>6.0</v>
      </c>
      <c r="C1102" s="23" t="str">
        <f>HYPERLINK("http://ecotaxoserver.obs-vlfr.fr/browsetaxo/?id=80179","80179")</f>
        <v>80179</v>
      </c>
      <c r="D1102" s="23" t="str">
        <f>HYPERLINK("http://www.marinespecies.org/aphia.php?p=taxdetails&amp;id=104173","104173")</f>
        <v>104173</v>
      </c>
      <c r="E1102" s="22" t="s">
        <v>1750</v>
      </c>
      <c r="F1102" s="22" t="s">
        <v>1750</v>
      </c>
      <c r="G1102" s="22" t="s">
        <v>94</v>
      </c>
      <c r="H1102" s="23" t="str">
        <f>HYPERLINK("http://www.marinespecies.org/aphia.php?p=taxdetails&amp;id=104173","104173")</f>
        <v>104173</v>
      </c>
      <c r="I1102" s="22" t="s">
        <v>94</v>
      </c>
      <c r="J1102" s="24" t="str">
        <f t="shared" si="7"/>
        <v/>
      </c>
    </row>
    <row r="1103">
      <c r="A1103" s="22" t="s">
        <v>1752</v>
      </c>
      <c r="B1103" s="22">
        <v>3.0</v>
      </c>
      <c r="C1103" s="23" t="str">
        <f>HYPERLINK("http://ecotaxoserver.obs-vlfr.fr/browsetaxo/?id=82548","82548")</f>
        <v>82548</v>
      </c>
      <c r="D1103" s="23" t="str">
        <f>HYPERLINK("http://www.marinespecies.org/aphia.php?p=taxdetails&amp;id=104548","104548")</f>
        <v>104548</v>
      </c>
      <c r="E1103" s="22" t="s">
        <v>1751</v>
      </c>
      <c r="F1103" s="22" t="s">
        <v>1751</v>
      </c>
      <c r="G1103" s="22" t="s">
        <v>94</v>
      </c>
      <c r="H1103" s="23" t="str">
        <f>HYPERLINK("http://www.marinespecies.org/aphia.php?p=taxdetails&amp;id=104548","104548")</f>
        <v>104548</v>
      </c>
      <c r="I1103" s="22" t="s">
        <v>94</v>
      </c>
      <c r="J1103" s="24" t="str">
        <f t="shared" si="7"/>
        <v/>
      </c>
    </row>
    <row r="1104">
      <c r="A1104" s="22" t="s">
        <v>1753</v>
      </c>
      <c r="B1104" s="22">
        <v>1.0</v>
      </c>
      <c r="C1104" s="23" t="str">
        <f>HYPERLINK("http://ecotaxoserver.obs-vlfr.fr/browsetaxo/?id=81816","81816")</f>
        <v>81816</v>
      </c>
      <c r="D1104" s="23" t="str">
        <f>HYPERLINK("http://www.marinespecies.org/aphia.php?p=taxdetails&amp;id=135367","135367")</f>
        <v>135367</v>
      </c>
      <c r="E1104" s="22" t="s">
        <v>495</v>
      </c>
      <c r="F1104" s="22" t="s">
        <v>1754</v>
      </c>
      <c r="G1104" s="22" t="s">
        <v>94</v>
      </c>
      <c r="H1104" s="23" t="str">
        <f>HYPERLINK("http://www.marinespecies.org/aphia.php?p=taxdetails&amp;id=135367","135367")</f>
        <v>135367</v>
      </c>
      <c r="I1104" s="22" t="s">
        <v>94</v>
      </c>
      <c r="J1104" s="24" t="str">
        <f t="shared" si="7"/>
        <v>!=</v>
      </c>
    </row>
    <row r="1105">
      <c r="A1105" s="22" t="s">
        <v>1755</v>
      </c>
      <c r="B1105" s="22">
        <v>1.0</v>
      </c>
      <c r="C1105" s="23" t="str">
        <f>HYPERLINK("http://ecotaxoserver.obs-vlfr.fr/browsetaxo/?id=93185","93185")</f>
        <v>93185</v>
      </c>
      <c r="D1105" s="23" t="str">
        <f>HYPERLINK("http://www.marinespecies.org/aphia.php?p=taxdetails&amp;id=158878","158878")</f>
        <v>158878</v>
      </c>
      <c r="E1105" s="22" t="s">
        <v>1756</v>
      </c>
      <c r="F1105" s="22" t="s">
        <v>1756</v>
      </c>
      <c r="G1105" s="22" t="s">
        <v>94</v>
      </c>
      <c r="H1105" s="23" t="str">
        <f>HYPERLINK("http://www.marinespecies.org/aphia.php?p=taxdetails&amp;id=158878","158878")</f>
        <v>158878</v>
      </c>
      <c r="I1105" s="22" t="s">
        <v>94</v>
      </c>
      <c r="J1105" s="24" t="str">
        <f t="shared" si="7"/>
        <v/>
      </c>
    </row>
    <row r="1106">
      <c r="A1106" s="22" t="s">
        <v>1757</v>
      </c>
      <c r="B1106" s="22">
        <v>1.0</v>
      </c>
      <c r="C1106" s="23" t="str">
        <f>HYPERLINK("http://ecotaxoserver.obs-vlfr.fr/browsetaxo/?id=25621","25621")</f>
        <v>25621</v>
      </c>
      <c r="D1106" s="23" t="str">
        <f>HYPERLINK("http://www.marinespecies.org/aphia.php?p=taxdetails&amp;id=948","948")</f>
        <v>948</v>
      </c>
      <c r="E1106" s="22" t="s">
        <v>239</v>
      </c>
      <c r="F1106" s="22" t="s">
        <v>1259</v>
      </c>
      <c r="G1106" s="22" t="s">
        <v>94</v>
      </c>
      <c r="H1106" s="23" t="str">
        <f>HYPERLINK("http://www.marinespecies.org/aphia.php?p=taxdetails&amp;id=948","948")</f>
        <v>948</v>
      </c>
      <c r="I1106" s="22" t="s">
        <v>94</v>
      </c>
      <c r="J1106" s="24" t="str">
        <f t="shared" si="7"/>
        <v>!=</v>
      </c>
    </row>
    <row r="1107">
      <c r="A1107" s="22" t="s">
        <v>1758</v>
      </c>
      <c r="B1107" s="22">
        <v>3.0</v>
      </c>
      <c r="C1107" s="23" t="str">
        <f>HYPERLINK("http://ecotaxoserver.obs-vlfr.fr/browsetaxo/?id=93164","93164")</f>
        <v>93164</v>
      </c>
      <c r="D1107" s="23" t="str">
        <f>HYPERLINK("http://www.marinespecies.org/aphia.php?p=taxdetails&amp;id=126113","126113")</f>
        <v>126113</v>
      </c>
      <c r="E1107" s="22" t="s">
        <v>1759</v>
      </c>
      <c r="F1107" s="22" t="s">
        <v>1759</v>
      </c>
      <c r="G1107" s="22" t="s">
        <v>94</v>
      </c>
      <c r="H1107" s="23" t="str">
        <f>HYPERLINK("http://www.marinespecies.org/aphia.php?p=taxdetails&amp;id=126113","126113")</f>
        <v>126113</v>
      </c>
      <c r="I1107" s="22" t="s">
        <v>94</v>
      </c>
      <c r="J1107" s="24" t="str">
        <f t="shared" si="7"/>
        <v/>
      </c>
    </row>
    <row r="1108">
      <c r="A1108" s="22" t="s">
        <v>1760</v>
      </c>
      <c r="B1108" s="22">
        <v>2.0</v>
      </c>
      <c r="C1108" s="23" t="str">
        <f>HYPERLINK("http://ecotaxoserver.obs-vlfr.fr/browsetaxo/?id=28119","28119")</f>
        <v>28119</v>
      </c>
      <c r="D1108" s="23" t="str">
        <f>HYPERLINK("http://www.marinespecies.org/aphia.php?p=taxdetails&amp;id=149186","149186")</f>
        <v>149186</v>
      </c>
      <c r="E1108" s="22" t="s">
        <v>119</v>
      </c>
      <c r="F1108" s="22" t="s">
        <v>258</v>
      </c>
      <c r="G1108" s="22" t="s">
        <v>94</v>
      </c>
      <c r="H1108" s="23" t="str">
        <f>HYPERLINK("http://www.marinespecies.org/aphia.php?p=taxdetails&amp;id=149186","149186")</f>
        <v>149186</v>
      </c>
      <c r="I1108" s="22" t="s">
        <v>94</v>
      </c>
      <c r="J1108" s="24" t="str">
        <f t="shared" si="7"/>
        <v>!=</v>
      </c>
    </row>
    <row r="1109">
      <c r="A1109" s="22" t="s">
        <v>1761</v>
      </c>
      <c r="B1109" s="22">
        <v>17.0</v>
      </c>
      <c r="C1109" s="23" t="str">
        <f>HYPERLINK("http://ecotaxoserver.obs-vlfr.fr/browsetaxo/?id=28118","28118")</f>
        <v>28118</v>
      </c>
      <c r="D1109" s="23" t="str">
        <f>HYPERLINK("http://www.marinespecies.org/aphia.php?p=taxdetails&amp;id=291401","291401")</f>
        <v>291401</v>
      </c>
      <c r="E1109" s="22" t="s">
        <v>119</v>
      </c>
      <c r="F1109" s="22" t="s">
        <v>258</v>
      </c>
      <c r="G1109" s="22" t="s">
        <v>94</v>
      </c>
      <c r="H1109" s="23" t="str">
        <f>HYPERLINK("http://www.marinespecies.org/aphia.php?p=taxdetails&amp;id=291401","291401")</f>
        <v>291401</v>
      </c>
      <c r="I1109" s="22" t="s">
        <v>94</v>
      </c>
      <c r="J1109" s="24" t="str">
        <f t="shared" si="7"/>
        <v>!=</v>
      </c>
    </row>
    <row r="1110">
      <c r="A1110" s="22" t="s">
        <v>1762</v>
      </c>
      <c r="B1110" s="22">
        <v>3.0</v>
      </c>
      <c r="C1110" s="23" t="str">
        <f>HYPERLINK("http://ecotaxoserver.obs-vlfr.fr/browsetaxo/?id=92928","92928")</f>
        <v>92928</v>
      </c>
      <c r="D1110" s="23" t="str">
        <f>HYPERLINK("http://www.marinespecies.org/aphia.php?p=taxdetails&amp;id=125449","125449")</f>
        <v>125449</v>
      </c>
      <c r="E1110" s="22" t="s">
        <v>132</v>
      </c>
      <c r="F1110" s="22" t="s">
        <v>1763</v>
      </c>
      <c r="G1110" s="22" t="s">
        <v>94</v>
      </c>
      <c r="H1110" s="23" t="str">
        <f>HYPERLINK("http://www.marinespecies.org/aphia.php?p=taxdetails&amp;id=125449","125449")</f>
        <v>125449</v>
      </c>
      <c r="I1110" s="22" t="s">
        <v>94</v>
      </c>
      <c r="J1110" s="24" t="str">
        <f t="shared" si="7"/>
        <v>!=</v>
      </c>
    </row>
    <row r="1111">
      <c r="A1111" s="22" t="s">
        <v>1764</v>
      </c>
      <c r="B1111" s="22">
        <v>864.0</v>
      </c>
      <c r="C1111" s="23" t="str">
        <f>HYPERLINK("http://ecotaxoserver.obs-vlfr.fr/browsetaxo/?id=17066","17066")</f>
        <v>17066</v>
      </c>
      <c r="D1111" s="23" t="str">
        <f>HYPERLINK("http://www.marinespecies.org/aphia.php?p=taxdetails&amp;id=115084","115084")</f>
        <v>115084</v>
      </c>
      <c r="E1111" s="22" t="s">
        <v>597</v>
      </c>
      <c r="F1111" s="22" t="s">
        <v>597</v>
      </c>
      <c r="G1111" s="22" t="s">
        <v>94</v>
      </c>
      <c r="H1111" s="23" t="str">
        <f>HYPERLINK("http://www.marinespecies.org/aphia.php?p=taxdetails&amp;id=115084","115084")</f>
        <v>115084</v>
      </c>
      <c r="I1111" s="22" t="s">
        <v>94</v>
      </c>
      <c r="J1111" s="24" t="str">
        <f t="shared" si="7"/>
        <v/>
      </c>
    </row>
    <row r="1112">
      <c r="A1112" s="22" t="s">
        <v>1765</v>
      </c>
      <c r="B1112" s="22">
        <v>6.0</v>
      </c>
      <c r="C1112" s="23" t="str">
        <f>HYPERLINK("http://ecotaxoserver.obs-vlfr.fr/browsetaxo/?id=27382","27382")</f>
        <v>27382</v>
      </c>
      <c r="D1112" s="23" t="str">
        <f>HYPERLINK("http://www.marinespecies.org/aphia.php?p=taxdetails&amp;id=235979","235979")</f>
        <v>235979</v>
      </c>
      <c r="E1112" s="22" t="s">
        <v>1764</v>
      </c>
      <c r="F1112" s="22" t="s">
        <v>1764</v>
      </c>
      <c r="G1112" s="22" t="s">
        <v>94</v>
      </c>
      <c r="H1112" s="23" t="str">
        <f>HYPERLINK("http://www.marinespecies.org/aphia.php?p=taxdetails&amp;id=235979","235979")</f>
        <v>235979</v>
      </c>
      <c r="I1112" s="22" t="s">
        <v>94</v>
      </c>
      <c r="J1112" s="24" t="str">
        <f t="shared" si="7"/>
        <v/>
      </c>
    </row>
    <row r="1113">
      <c r="A1113" s="22" t="s">
        <v>1599</v>
      </c>
      <c r="B1113" s="22">
        <v>954.0</v>
      </c>
      <c r="C1113" s="23" t="str">
        <f>HYPERLINK("http://ecotaxoserver.obs-vlfr.fr/browsetaxo/?id=11684","11684")</f>
        <v>11684</v>
      </c>
      <c r="D1113" s="23" t="str">
        <f>HYPERLINK("http://www.marinespecies.org/aphia.php?p=taxdetails&amp;id=493820","493820")</f>
        <v>493820</v>
      </c>
      <c r="E1113" s="22" t="s">
        <v>560</v>
      </c>
      <c r="F1113" s="22" t="s">
        <v>560</v>
      </c>
      <c r="G1113" s="22" t="s">
        <v>94</v>
      </c>
      <c r="H1113" s="23" t="str">
        <f>HYPERLINK("http://www.marinespecies.org/aphia.php?p=taxdetails&amp;id=493820","493820")</f>
        <v>493820</v>
      </c>
      <c r="I1113" s="22" t="s">
        <v>94</v>
      </c>
      <c r="J1113" s="24" t="str">
        <f t="shared" si="7"/>
        <v/>
      </c>
    </row>
    <row r="1114">
      <c r="A1114" s="22" t="s">
        <v>1766</v>
      </c>
      <c r="B1114" s="22">
        <v>212.0</v>
      </c>
      <c r="C1114" s="23" t="str">
        <f>HYPERLINK("http://ecotaxoserver.obs-vlfr.fr/browsetaxo/?id=28117","28117")</f>
        <v>28117</v>
      </c>
      <c r="D1114" s="23" t="str">
        <f>HYPERLINK("http://www.marinespecies.org/aphia.php?p=taxdetails&amp;id=149333","149333")</f>
        <v>149333</v>
      </c>
      <c r="E1114" s="22" t="s">
        <v>119</v>
      </c>
      <c r="F1114" s="22" t="s">
        <v>1767</v>
      </c>
      <c r="G1114" s="22" t="s">
        <v>94</v>
      </c>
      <c r="H1114" s="23" t="str">
        <f>HYPERLINK("http://www.marinespecies.org/aphia.php?p=taxdetails&amp;id=149333","149333")</f>
        <v>149333</v>
      </c>
      <c r="I1114" s="22" t="s">
        <v>94</v>
      </c>
      <c r="J1114" s="24" t="str">
        <f t="shared" si="7"/>
        <v>!=</v>
      </c>
    </row>
    <row r="1115">
      <c r="A1115" s="22" t="s">
        <v>1768</v>
      </c>
      <c r="B1115" s="22">
        <v>2.0</v>
      </c>
      <c r="C1115" s="23" t="str">
        <f>HYPERLINK("http://ecotaxoserver.obs-vlfr.fr/browsetaxo/?id=51322","51322")</f>
        <v>51322</v>
      </c>
      <c r="D1115" s="23" t="str">
        <f>HYPERLINK("http://www.marinespecies.org/aphia.php?p=taxdetails&amp;id=205156","205156")</f>
        <v>205156</v>
      </c>
      <c r="E1115" s="22" t="s">
        <v>1769</v>
      </c>
      <c r="F1115" s="22" t="s">
        <v>1769</v>
      </c>
      <c r="G1115" s="22" t="s">
        <v>94</v>
      </c>
      <c r="H1115" s="23" t="str">
        <f>HYPERLINK("http://www.marinespecies.org/aphia.php?p=taxdetails&amp;id=205156","205156")</f>
        <v>205156</v>
      </c>
      <c r="I1115" s="22" t="s">
        <v>94</v>
      </c>
      <c r="J1115" s="24" t="str">
        <f t="shared" si="7"/>
        <v/>
      </c>
    </row>
    <row r="1116">
      <c r="A1116" s="22" t="s">
        <v>1770</v>
      </c>
      <c r="B1116" s="22">
        <v>31.0</v>
      </c>
      <c r="C1116" s="23" t="str">
        <f>HYPERLINK("http://ecotaxoserver.obs-vlfr.fr/browsetaxo/?id=45045","45045")</f>
        <v>45045</v>
      </c>
      <c r="D1116" s="23" t="str">
        <f>HYPERLINK("http://www.marinespecies.org/aphia.php?p=taxdetails&amp;id=1133","1133")</f>
        <v>1133</v>
      </c>
      <c r="E1116" s="22" t="s">
        <v>198</v>
      </c>
      <c r="F1116" s="22" t="s">
        <v>199</v>
      </c>
      <c r="G1116" s="22" t="s">
        <v>94</v>
      </c>
      <c r="H1116" s="23" t="str">
        <f>HYPERLINK("http://www.marinespecies.org/aphia.php?p=taxdetails&amp;id=1133","1133")</f>
        <v>1133</v>
      </c>
      <c r="I1116" s="22" t="s">
        <v>94</v>
      </c>
      <c r="J1116" s="24" t="str">
        <f t="shared" si="7"/>
        <v>!=</v>
      </c>
    </row>
    <row r="1117">
      <c r="A1117" s="22" t="s">
        <v>791</v>
      </c>
      <c r="B1117" s="22">
        <v>22.0</v>
      </c>
      <c r="C1117" s="23" t="str">
        <f>HYPERLINK("http://ecotaxoserver.obs-vlfr.fr/browsetaxo/?id=92790","92790")</f>
        <v>92790</v>
      </c>
      <c r="D1117" s="23" t="str">
        <f>HYPERLINK("http://www.marinespecies.org/aphia.php?p=taxdetails&amp;id=293496","293496")</f>
        <v>293496</v>
      </c>
      <c r="E1117" s="22" t="s">
        <v>132</v>
      </c>
      <c r="F1117" s="22" t="s">
        <v>132</v>
      </c>
      <c r="G1117" s="22" t="s">
        <v>94</v>
      </c>
      <c r="H1117" s="23" t="str">
        <f>HYPERLINK("http://www.marinespecies.org/aphia.php?p=taxdetails&amp;id=293496","293496")</f>
        <v>293496</v>
      </c>
      <c r="I1117" s="22" t="s">
        <v>94</v>
      </c>
      <c r="J1117" s="24" t="str">
        <f t="shared" si="7"/>
        <v/>
      </c>
    </row>
    <row r="1118">
      <c r="A1118" s="22" t="s">
        <v>1771</v>
      </c>
      <c r="B1118" s="22">
        <v>14022.0</v>
      </c>
      <c r="C1118" s="23" t="str">
        <f>HYPERLINK("http://ecotaxoserver.obs-vlfr.fr/browsetaxo/?id=80182","80182")</f>
        <v>80182</v>
      </c>
      <c r="D1118" s="23" t="str">
        <f>HYPERLINK("http://www.marinespecies.org/aphia.php?p=taxdetails&amp;id=104241","104241")</f>
        <v>104241</v>
      </c>
      <c r="E1118" s="22" t="s">
        <v>839</v>
      </c>
      <c r="F1118" s="22" t="s">
        <v>839</v>
      </c>
      <c r="G1118" s="22" t="s">
        <v>94</v>
      </c>
      <c r="H1118" s="23" t="str">
        <f>HYPERLINK("http://www.marinespecies.org/aphia.php?p=taxdetails&amp;id=104241","104241")</f>
        <v>104241</v>
      </c>
      <c r="I1118" s="22" t="s">
        <v>94</v>
      </c>
      <c r="J1118" s="24" t="str">
        <f t="shared" si="7"/>
        <v/>
      </c>
    </row>
    <row r="1119">
      <c r="A1119" s="22" t="s">
        <v>1772</v>
      </c>
      <c r="B1119" s="22">
        <v>85.0</v>
      </c>
      <c r="C1119" s="23" t="str">
        <f>HYPERLINK("http://ecotaxoserver.obs-vlfr.fr/browsetaxo/?id=82556","82556")</f>
        <v>82556</v>
      </c>
      <c r="D1119" s="23" t="str">
        <f>HYPERLINK("http://www.marinespecies.org/aphia.php?p=taxdetails&amp;id=220898","220898")</f>
        <v>220898</v>
      </c>
      <c r="E1119" s="22" t="s">
        <v>1771</v>
      </c>
      <c r="F1119" s="22" t="s">
        <v>1771</v>
      </c>
      <c r="G1119" s="22" t="s">
        <v>94</v>
      </c>
      <c r="H1119" s="23" t="str">
        <f>HYPERLINK("http://www.marinespecies.org/aphia.php?p=taxdetails&amp;id=220898","220898")</f>
        <v>220898</v>
      </c>
      <c r="I1119" s="22" t="s">
        <v>94</v>
      </c>
      <c r="J1119" s="24" t="str">
        <f t="shared" si="7"/>
        <v/>
      </c>
    </row>
    <row r="1120">
      <c r="A1120" s="22" t="s">
        <v>1773</v>
      </c>
      <c r="B1120" s="22">
        <v>1374.0</v>
      </c>
      <c r="C1120" s="23" t="str">
        <f>HYPERLINK("http://ecotaxoserver.obs-vlfr.fr/browsetaxo/?id=82553","82553")</f>
        <v>82553</v>
      </c>
      <c r="D1120" s="23" t="str">
        <f>HYPERLINK("http://www.marinespecies.org/aphia.php?p=taxdetails&amp;id=104878","104878")</f>
        <v>104878</v>
      </c>
      <c r="E1120" s="22" t="s">
        <v>1771</v>
      </c>
      <c r="F1120" s="22" t="s">
        <v>1771</v>
      </c>
      <c r="G1120" s="22" t="s">
        <v>94</v>
      </c>
      <c r="H1120" s="23" t="str">
        <f>HYPERLINK("http://www.marinespecies.org/aphia.php?p=taxdetails&amp;id=104878","104878")</f>
        <v>104878</v>
      </c>
      <c r="I1120" s="22" t="s">
        <v>94</v>
      </c>
      <c r="J1120" s="24" t="str">
        <f t="shared" si="7"/>
        <v/>
      </c>
    </row>
    <row r="1121">
      <c r="A1121" s="22" t="s">
        <v>1774</v>
      </c>
      <c r="B1121" s="22">
        <v>1337.0</v>
      </c>
      <c r="C1121" s="23" t="str">
        <f>HYPERLINK("http://ecotaxoserver.obs-vlfr.fr/browsetaxo/?id=82555","82555")</f>
        <v>82555</v>
      </c>
      <c r="D1121" s="23" t="str">
        <f>HYPERLINK("http://www.marinespecies.org/aphia.php?p=taxdetails&amp;id=104879","104879")</f>
        <v>104879</v>
      </c>
      <c r="E1121" s="22" t="s">
        <v>1771</v>
      </c>
      <c r="F1121" s="22" t="s">
        <v>1771</v>
      </c>
      <c r="G1121" s="22" t="s">
        <v>94</v>
      </c>
      <c r="H1121" s="23" t="str">
        <f>HYPERLINK("http://www.marinespecies.org/aphia.php?p=taxdetails&amp;id=104879","104879")</f>
        <v>104879</v>
      </c>
      <c r="I1121" s="22" t="s">
        <v>94</v>
      </c>
      <c r="J1121" s="24" t="str">
        <f t="shared" si="7"/>
        <v/>
      </c>
    </row>
    <row r="1122">
      <c r="A1122" s="22" t="s">
        <v>1775</v>
      </c>
      <c r="B1122" s="22">
        <v>1398.0</v>
      </c>
      <c r="C1122" s="23" t="str">
        <f>HYPERLINK("http://ecotaxoserver.obs-vlfr.fr/browsetaxo/?id=82554","82554")</f>
        <v>82554</v>
      </c>
      <c r="D1122" s="23" t="str">
        <f>HYPERLINK("http://www.marinespecies.org/aphia.php?p=taxdetails&amp;id=104880","104880")</f>
        <v>104880</v>
      </c>
      <c r="E1122" s="22" t="s">
        <v>1771</v>
      </c>
      <c r="F1122" s="22" t="s">
        <v>1771</v>
      </c>
      <c r="G1122" s="22" t="s">
        <v>94</v>
      </c>
      <c r="H1122" s="23" t="str">
        <f>HYPERLINK("http://www.marinespecies.org/aphia.php?p=taxdetails&amp;id=104880","104880")</f>
        <v>104880</v>
      </c>
      <c r="I1122" s="22" t="s">
        <v>94</v>
      </c>
      <c r="J1122" s="24" t="str">
        <f t="shared" si="7"/>
        <v/>
      </c>
    </row>
    <row r="1123">
      <c r="A1123" s="22" t="s">
        <v>839</v>
      </c>
      <c r="B1123" s="22">
        <v>181210.0</v>
      </c>
      <c r="C1123" s="23" t="str">
        <f>HYPERLINK("http://ecotaxoserver.obs-vlfr.fr/browsetaxo/?id=61973","61973")</f>
        <v>61973</v>
      </c>
      <c r="D1123" s="23" t="str">
        <f>HYPERLINK("http://www.marinespecies.org/aphia.php?p=taxdetails&amp;id=104106","104106")</f>
        <v>104106</v>
      </c>
      <c r="E1123" s="22" t="s">
        <v>111</v>
      </c>
      <c r="F1123" s="22" t="s">
        <v>111</v>
      </c>
      <c r="G1123" s="22" t="s">
        <v>94</v>
      </c>
      <c r="H1123" s="23" t="str">
        <f>HYPERLINK("http://www.marinespecies.org/aphia.php?p=taxdetails&amp;id=104106","104106")</f>
        <v>104106</v>
      </c>
      <c r="I1123" s="22" t="s">
        <v>94</v>
      </c>
      <c r="J1123" s="24" t="str">
        <f t="shared" si="7"/>
        <v/>
      </c>
    </row>
    <row r="1124">
      <c r="A1124" s="22" t="s">
        <v>1776</v>
      </c>
      <c r="B1124" s="22">
        <v>8.0</v>
      </c>
      <c r="C1124" s="23" t="str">
        <f>HYPERLINK("http://ecotaxoserver.obs-vlfr.fr/browsetaxo/?id=82698","82698")</f>
        <v>82698</v>
      </c>
      <c r="D1124" s="23" t="str">
        <f>HYPERLINK("http://www.marinespecies.org/aphia.php?p=taxdetails&amp;id=104459","104459")</f>
        <v>104459</v>
      </c>
      <c r="E1124" s="22" t="s">
        <v>1777</v>
      </c>
      <c r="F1124" s="22" t="s">
        <v>1777</v>
      </c>
      <c r="G1124" s="22" t="s">
        <v>94</v>
      </c>
      <c r="H1124" s="23" t="str">
        <f>HYPERLINK("http://www.marinespecies.org/aphia.php?p=taxdetails&amp;id=104459","104459")</f>
        <v>104459</v>
      </c>
      <c r="I1124" s="22" t="s">
        <v>94</v>
      </c>
      <c r="J1124" s="24" t="str">
        <f t="shared" si="7"/>
        <v/>
      </c>
    </row>
    <row r="1125">
      <c r="A1125" s="22" t="s">
        <v>1778</v>
      </c>
      <c r="B1125" s="22">
        <v>3.0</v>
      </c>
      <c r="C1125" s="23" t="str">
        <f>HYPERLINK("http://ecotaxoserver.obs-vlfr.fr/browsetaxo/?id=80181","80181")</f>
        <v>80181</v>
      </c>
      <c r="D1125" s="23" t="str">
        <f>HYPERLINK("http://www.marinespecies.org/aphia.php?p=taxdetails&amp;id=104242","104242")</f>
        <v>104242</v>
      </c>
      <c r="E1125" s="22" t="s">
        <v>839</v>
      </c>
      <c r="F1125" s="22" t="s">
        <v>1779</v>
      </c>
      <c r="G1125" s="22" t="s">
        <v>94</v>
      </c>
      <c r="H1125" s="23" t="str">
        <f>HYPERLINK("http://www.marinespecies.org/aphia.php?p=taxdetails&amp;id=104242","104242")</f>
        <v>104242</v>
      </c>
      <c r="I1125" s="22" t="s">
        <v>94</v>
      </c>
      <c r="J1125" s="24" t="str">
        <f t="shared" si="7"/>
        <v>!=</v>
      </c>
    </row>
    <row r="1126">
      <c r="A1126" s="22" t="s">
        <v>1780</v>
      </c>
      <c r="B1126" s="22">
        <v>90.0</v>
      </c>
      <c r="C1126" s="23" t="str">
        <f>HYPERLINK("http://ecotaxoserver.obs-vlfr.fr/browsetaxo/?id=43757","43757")</f>
        <v>43757</v>
      </c>
      <c r="D1126" s="23" t="str">
        <f>HYPERLINK("http://www.marinespecies.org/aphia.php?p=taxdetails&amp;id=900","900")</f>
        <v>900</v>
      </c>
      <c r="E1126" s="22" t="s">
        <v>1704</v>
      </c>
      <c r="F1126" s="22" t="s">
        <v>1704</v>
      </c>
      <c r="G1126" s="22" t="s">
        <v>94</v>
      </c>
      <c r="H1126" s="23" t="str">
        <f>HYPERLINK("http://www.marinespecies.org/aphia.php?p=taxdetails&amp;id=900","900")</f>
        <v>900</v>
      </c>
      <c r="I1126" s="22" t="s">
        <v>94</v>
      </c>
      <c r="J1126" s="24" t="str">
        <f t="shared" si="7"/>
        <v/>
      </c>
    </row>
    <row r="1127">
      <c r="A1127" s="22" t="s">
        <v>1781</v>
      </c>
      <c r="B1127" s="22">
        <v>157.0</v>
      </c>
      <c r="C1127" s="23" t="str">
        <f>HYPERLINK("http://ecotaxoserver.obs-vlfr.fr/browsetaxo/?id=60205","60205")</f>
        <v>60205</v>
      </c>
      <c r="D1127" s="23" t="str">
        <f>HYPERLINK("http://www.marinespecies.org/aphia.php?p=taxdetails&amp;id=982","982")</f>
        <v>982</v>
      </c>
      <c r="E1127" s="22" t="s">
        <v>1780</v>
      </c>
      <c r="F1127" s="22" t="s">
        <v>1782</v>
      </c>
      <c r="G1127" s="22" t="s">
        <v>94</v>
      </c>
      <c r="H1127" s="23" t="str">
        <f>HYPERLINK("http://www.marinespecies.org/aphia.php?p=taxdetails&amp;id=982","982")</f>
        <v>982</v>
      </c>
      <c r="I1127" s="22" t="s">
        <v>94</v>
      </c>
      <c r="J1127" s="24" t="str">
        <f t="shared" si="7"/>
        <v>!=</v>
      </c>
    </row>
    <row r="1128">
      <c r="A1128" s="22" t="s">
        <v>1783</v>
      </c>
      <c r="B1128" s="22">
        <v>1.0</v>
      </c>
      <c r="C1128" s="23" t="str">
        <f>HYPERLINK("http://ecotaxoserver.obs-vlfr.fr/browsetaxo/?id=92929","92929")</f>
        <v>92929</v>
      </c>
      <c r="D1128" s="23" t="str">
        <f>HYPERLINK("http://www.marinespecies.org/aphia.php?p=taxdetails&amp;id=125612","125612")</f>
        <v>125612</v>
      </c>
      <c r="E1128" s="22" t="s">
        <v>132</v>
      </c>
      <c r="F1128" s="22" t="s">
        <v>1338</v>
      </c>
      <c r="G1128" s="22" t="s">
        <v>94</v>
      </c>
      <c r="H1128" s="23" t="str">
        <f>HYPERLINK("http://www.marinespecies.org/aphia.php?p=taxdetails&amp;id=125612","125612")</f>
        <v>125612</v>
      </c>
      <c r="I1128" s="22" t="s">
        <v>94</v>
      </c>
      <c r="J1128" s="24" t="str">
        <f t="shared" si="7"/>
        <v>!=</v>
      </c>
    </row>
    <row r="1129">
      <c r="A1129" s="22" t="s">
        <v>1784</v>
      </c>
      <c r="B1129" s="22">
        <v>1.0</v>
      </c>
      <c r="C1129" s="23" t="str">
        <f>HYPERLINK("http://ecotaxoserver.obs-vlfr.fr/browsetaxo/?id=93353","93353")</f>
        <v>93353</v>
      </c>
      <c r="D1129" s="23" t="str">
        <f>HYPERLINK("http://www.marinespecies.org/aphia.php?p=taxdetails&amp;id=154250","154250")</f>
        <v>154250</v>
      </c>
      <c r="E1129" s="22" t="s">
        <v>1653</v>
      </c>
      <c r="F1129" s="22" t="s">
        <v>1653</v>
      </c>
      <c r="G1129" s="22" t="s">
        <v>94</v>
      </c>
      <c r="H1129" s="23" t="str">
        <f>HYPERLINK("http://www.marinespecies.org/aphia.php?p=taxdetails&amp;id=154250","154250")</f>
        <v>154250</v>
      </c>
      <c r="I1129" s="22" t="s">
        <v>94</v>
      </c>
      <c r="J1129" s="24" t="str">
        <f t="shared" si="7"/>
        <v/>
      </c>
    </row>
    <row r="1130">
      <c r="A1130" s="22" t="s">
        <v>1785</v>
      </c>
      <c r="B1130" s="22">
        <v>12009.0</v>
      </c>
      <c r="C1130" s="23" t="str">
        <f>HYPERLINK("http://ecotaxoserver.obs-vlfr.fr/browsetaxo/?id=28114","28114")</f>
        <v>28114</v>
      </c>
      <c r="D1130" s="23" t="str">
        <f>HYPERLINK("http://www.marinespecies.org/aphia.php?p=taxdetails&amp;id=149092","149092")</f>
        <v>149092</v>
      </c>
      <c r="E1130" s="22" t="s">
        <v>119</v>
      </c>
      <c r="F1130" s="22" t="s">
        <v>1120</v>
      </c>
      <c r="G1130" s="22" t="s">
        <v>94</v>
      </c>
      <c r="H1130" s="23" t="str">
        <f>HYPERLINK("http://www.marinespecies.org/aphia.php?p=taxdetails&amp;id=149092","149092")</f>
        <v>149092</v>
      </c>
      <c r="I1130" s="22" t="s">
        <v>94</v>
      </c>
      <c r="J1130" s="24" t="str">
        <f t="shared" si="7"/>
        <v>!=</v>
      </c>
    </row>
    <row r="1131">
      <c r="A1131" s="22" t="s">
        <v>1786</v>
      </c>
      <c r="B1131" s="22">
        <v>4.0</v>
      </c>
      <c r="C1131" s="23" t="str">
        <f>HYPERLINK("http://ecotaxoserver.obs-vlfr.fr/browsetaxo/?id=55810","55810")</f>
        <v>55810</v>
      </c>
      <c r="D1131" s="23" t="str">
        <f>HYPERLINK("http://www.marinespecies.org/aphia.php?p=taxdetails&amp;id=418647","418647")</f>
        <v>418647</v>
      </c>
      <c r="E1131" s="22" t="s">
        <v>1785</v>
      </c>
      <c r="F1131" s="22" t="s">
        <v>1785</v>
      </c>
      <c r="G1131" s="22" t="s">
        <v>94</v>
      </c>
      <c r="H1131" s="23" t="str">
        <f>HYPERLINK("http://www.marinespecies.org/aphia.php?p=taxdetails&amp;id=418647","418647")</f>
        <v>418647</v>
      </c>
      <c r="I1131" s="22" t="s">
        <v>94</v>
      </c>
      <c r="J1131" s="24" t="str">
        <f t="shared" si="7"/>
        <v/>
      </c>
    </row>
    <row r="1132">
      <c r="A1132" s="22" t="s">
        <v>1787</v>
      </c>
      <c r="B1132" s="22">
        <v>426.0</v>
      </c>
      <c r="C1132" s="23" t="str">
        <f>HYPERLINK("http://ecotaxoserver.obs-vlfr.fr/browsetaxo/?id=92831","92831")</f>
        <v>92831</v>
      </c>
      <c r="D1132" s="23" t="str">
        <f>HYPERLINK("http://www.marinespecies.org/aphia.php?p=taxdetails&amp;id=149090","149090")</f>
        <v>149090</v>
      </c>
      <c r="E1132" s="22" t="s">
        <v>119</v>
      </c>
      <c r="F1132" s="22" t="s">
        <v>1745</v>
      </c>
      <c r="G1132" s="22" t="s">
        <v>94</v>
      </c>
      <c r="H1132" s="23" t="str">
        <f>HYPERLINK("http://www.marinespecies.org/aphia.php?p=taxdetails&amp;id=149090","149090")</f>
        <v>149090</v>
      </c>
      <c r="I1132" s="22" t="s">
        <v>94</v>
      </c>
      <c r="J1132" s="24" t="str">
        <f t="shared" si="7"/>
        <v>!=</v>
      </c>
    </row>
    <row r="1133">
      <c r="A1133" s="22" t="s">
        <v>1788</v>
      </c>
      <c r="B1133" s="22">
        <v>24471.0</v>
      </c>
      <c r="C1133" s="23" t="str">
        <f>HYPERLINK("http://ecotaxoserver.obs-vlfr.fr/browsetaxo/?id=28220","28220")</f>
        <v>28220</v>
      </c>
      <c r="D1133" s="23" t="str">
        <f>HYPERLINK("http://www.marinespecies.org/aphia.php?p=taxdetails&amp;id=148912","148912")</f>
        <v>148912</v>
      </c>
      <c r="E1133" s="22" t="s">
        <v>281</v>
      </c>
      <c r="F1133" s="22" t="s">
        <v>1437</v>
      </c>
      <c r="G1133" s="22" t="s">
        <v>94</v>
      </c>
      <c r="H1133" s="23" t="str">
        <f>HYPERLINK("http://www.marinespecies.org/aphia.php?p=taxdetails&amp;id=148912","148912")</f>
        <v>148912</v>
      </c>
      <c r="I1133" s="22" t="s">
        <v>94</v>
      </c>
      <c r="J1133" s="24" t="str">
        <f t="shared" si="7"/>
        <v>!=</v>
      </c>
    </row>
    <row r="1134">
      <c r="A1134" s="22" t="s">
        <v>1789</v>
      </c>
      <c r="B1134" s="22">
        <v>2.0</v>
      </c>
      <c r="C1134" s="23" t="str">
        <f>HYPERLINK("http://ecotaxoserver.obs-vlfr.fr/browsetaxo/?id=85509","85509")</f>
        <v>85509</v>
      </c>
      <c r="D1134" s="23" t="str">
        <f>HYPERLINK("http://www.marinespecies.org/aphia.php?p=taxdetails&amp;id=232093","232093")</f>
        <v>232093</v>
      </c>
      <c r="E1134" s="22" t="s">
        <v>1788</v>
      </c>
      <c r="F1134" s="22" t="s">
        <v>1788</v>
      </c>
      <c r="G1134" s="22" t="s">
        <v>94</v>
      </c>
      <c r="H1134" s="23" t="str">
        <f>HYPERLINK("http://www.marinespecies.org/aphia.php?p=taxdetails&amp;id=232093","232093")</f>
        <v>232093</v>
      </c>
      <c r="I1134" s="22" t="s">
        <v>94</v>
      </c>
      <c r="J1134" s="24" t="str">
        <f t="shared" si="7"/>
        <v/>
      </c>
    </row>
    <row r="1135">
      <c r="A1135" s="22" t="s">
        <v>1790</v>
      </c>
      <c r="B1135" s="22">
        <v>1.0</v>
      </c>
      <c r="C1135" s="23" t="str">
        <f>HYPERLINK("http://ecotaxoserver.obs-vlfr.fr/browsetaxo/?id=92390","92390")</f>
        <v>92390</v>
      </c>
      <c r="D1135" s="23" t="str">
        <f>HYPERLINK("http://www.marinespecies.org/aphia.php?p=taxdetails&amp;id=148919","148919")</f>
        <v>148919</v>
      </c>
      <c r="E1135" s="22" t="s">
        <v>128</v>
      </c>
      <c r="F1135" s="22" t="s">
        <v>1788</v>
      </c>
      <c r="G1135" s="22" t="s">
        <v>94</v>
      </c>
      <c r="H1135" s="23" t="str">
        <f>HYPERLINK("http://www.marinespecies.org/aphia.php?p=taxdetails&amp;id=148919","148919")</f>
        <v>148919</v>
      </c>
      <c r="I1135" s="22" t="s">
        <v>94</v>
      </c>
      <c r="J1135" s="24" t="str">
        <f t="shared" si="7"/>
        <v>!=</v>
      </c>
    </row>
    <row r="1136">
      <c r="A1136" s="22" t="s">
        <v>1791</v>
      </c>
      <c r="B1136" s="22">
        <v>1.0</v>
      </c>
      <c r="C1136" s="23" t="str">
        <f>HYPERLINK("http://ecotaxoserver.obs-vlfr.fr/browsetaxo/?id=92393","92393")</f>
        <v>92393</v>
      </c>
      <c r="D1136" s="23" t="str">
        <f>HYPERLINK("http://www.marinespecies.org/aphia.php?p=taxdetails&amp;id=341386","341386")</f>
        <v>341386</v>
      </c>
      <c r="E1136" s="22" t="s">
        <v>128</v>
      </c>
      <c r="F1136" s="22" t="s">
        <v>1792</v>
      </c>
      <c r="G1136" s="22" t="s">
        <v>94</v>
      </c>
      <c r="H1136" s="23" t="str">
        <f>HYPERLINK("http://www.marinespecies.org/aphia.php?p=taxdetails&amp;id=341386","341386")</f>
        <v>341386</v>
      </c>
      <c r="I1136" s="22" t="s">
        <v>94</v>
      </c>
      <c r="J1136" s="24" t="str">
        <f t="shared" si="7"/>
        <v>!=</v>
      </c>
    </row>
    <row r="1137">
      <c r="A1137" s="22" t="s">
        <v>1793</v>
      </c>
      <c r="B1137" s="22">
        <v>2.0</v>
      </c>
      <c r="C1137" s="23" t="str">
        <f>HYPERLINK("http://ecotaxoserver.obs-vlfr.fr/browsetaxo/?id=91491","91491")</f>
        <v>91491</v>
      </c>
      <c r="D1137" s="23" t="str">
        <f>HYPERLINK("http://www.marinespecies.org/aphia.php?p=taxdetails&amp;id=149102","149102")</f>
        <v>149102</v>
      </c>
      <c r="E1137" s="22" t="s">
        <v>751</v>
      </c>
      <c r="F1137" s="22" t="s">
        <v>1788</v>
      </c>
      <c r="G1137" s="22" t="s">
        <v>94</v>
      </c>
      <c r="H1137" s="23" t="str">
        <f>HYPERLINK("http://www.marinespecies.org/aphia.php?p=taxdetails&amp;id=149102","149102")</f>
        <v>149102</v>
      </c>
      <c r="I1137" s="22" t="s">
        <v>94</v>
      </c>
      <c r="J1137" s="24" t="str">
        <f t="shared" si="7"/>
        <v>!=</v>
      </c>
    </row>
    <row r="1138">
      <c r="A1138" s="22" t="s">
        <v>1794</v>
      </c>
      <c r="B1138" s="22">
        <v>3.0</v>
      </c>
      <c r="C1138" s="23" t="str">
        <f>HYPERLINK("http://ecotaxoserver.obs-vlfr.fr/browsetaxo/?id=92394","92394")</f>
        <v>92394</v>
      </c>
      <c r="D1138" s="23" t="str">
        <f>HYPERLINK("http://www.marinespecies.org/aphia.php?p=taxdetails&amp;id=149100","149100")</f>
        <v>149100</v>
      </c>
      <c r="E1138" s="22" t="s">
        <v>128</v>
      </c>
      <c r="F1138" s="22" t="s">
        <v>1788</v>
      </c>
      <c r="G1138" s="22" t="s">
        <v>94</v>
      </c>
      <c r="H1138" s="23" t="str">
        <f>HYPERLINK("http://www.marinespecies.org/aphia.php?p=taxdetails&amp;id=149100","149100")</f>
        <v>149100</v>
      </c>
      <c r="I1138" s="22" t="s">
        <v>94</v>
      </c>
      <c r="J1138" s="24" t="str">
        <f t="shared" si="7"/>
        <v>!=</v>
      </c>
    </row>
    <row r="1139">
      <c r="A1139" s="22" t="s">
        <v>1795</v>
      </c>
      <c r="B1139" s="22">
        <v>695.0</v>
      </c>
      <c r="C1139" s="23" t="str">
        <f>HYPERLINK("http://ecotaxoserver.obs-vlfr.fr/browsetaxo/?id=55979","55979")</f>
        <v>55979</v>
      </c>
      <c r="D1139" s="23" t="str">
        <f>HYPERLINK("http://www.marinespecies.org/aphia.php?p=taxdetails&amp;id=148931","148931")</f>
        <v>148931</v>
      </c>
      <c r="E1139" s="22" t="s">
        <v>1788</v>
      </c>
      <c r="F1139" s="22" t="s">
        <v>1788</v>
      </c>
      <c r="G1139" s="22" t="s">
        <v>94</v>
      </c>
      <c r="H1139" s="23" t="str">
        <f>HYPERLINK("http://www.marinespecies.org/aphia.php?p=taxdetails&amp;id=148931","148931")</f>
        <v>148931</v>
      </c>
      <c r="I1139" s="22" t="s">
        <v>94</v>
      </c>
      <c r="J1139" s="24" t="str">
        <f t="shared" si="7"/>
        <v/>
      </c>
    </row>
    <row r="1140">
      <c r="A1140" s="22" t="s">
        <v>1796</v>
      </c>
      <c r="B1140" s="22">
        <v>272.0</v>
      </c>
      <c r="C1140" s="23" t="str">
        <f>HYPERLINK("http://ecotaxoserver.obs-vlfr.fr/browsetaxo/?id=28113","28113")</f>
        <v>28113</v>
      </c>
      <c r="D1140" s="23" t="str">
        <f>HYPERLINK("http://www.marinespecies.org/aphia.php?p=taxdetails&amp;id=157081","157081")</f>
        <v>157081</v>
      </c>
      <c r="E1140" s="22" t="s">
        <v>119</v>
      </c>
      <c r="F1140" s="22" t="s">
        <v>1120</v>
      </c>
      <c r="G1140" s="22" t="s">
        <v>94</v>
      </c>
      <c r="H1140" s="23" t="str">
        <f>HYPERLINK("http://www.marinespecies.org/aphia.php?p=taxdetails&amp;id=157081","157081")</f>
        <v>157081</v>
      </c>
      <c r="I1140" s="22" t="s">
        <v>94</v>
      </c>
      <c r="J1140" s="24" t="str">
        <f t="shared" si="7"/>
        <v>!=</v>
      </c>
    </row>
    <row r="1141">
      <c r="A1141" s="22" t="s">
        <v>1797</v>
      </c>
      <c r="B1141" s="22">
        <v>1.0</v>
      </c>
      <c r="C1141" s="23" t="str">
        <f>HYPERLINK("http://ecotaxoserver.obs-vlfr.fr/browsetaxo/?id=93242","93242")</f>
        <v>93242</v>
      </c>
      <c r="D1141" s="23" t="str">
        <f>HYPERLINK("http://www.marinespecies.org/aphia.php?p=taxdetails&amp;id=159786","159786")</f>
        <v>159786</v>
      </c>
      <c r="E1141" s="22" t="s">
        <v>1798</v>
      </c>
      <c r="F1141" s="22" t="s">
        <v>1798</v>
      </c>
      <c r="G1141" s="22" t="s">
        <v>94</v>
      </c>
      <c r="H1141" s="23" t="str">
        <f>HYPERLINK("http://www.marinespecies.org/aphia.php?p=taxdetails&amp;id=159786","159786")</f>
        <v>159786</v>
      </c>
      <c r="I1141" s="22" t="s">
        <v>94</v>
      </c>
      <c r="J1141" s="24" t="str">
        <f t="shared" si="7"/>
        <v/>
      </c>
    </row>
    <row r="1142">
      <c r="A1142" s="22" t="s">
        <v>1799</v>
      </c>
      <c r="B1142" s="22">
        <v>76.0</v>
      </c>
      <c r="C1142" s="23" t="str">
        <f>HYPERLINK("http://ecotaxoserver.obs-vlfr.fr/browsetaxo/?id=51234","51234")</f>
        <v>51234</v>
      </c>
      <c r="D1142" s="23" t="str">
        <f>HYPERLINK("http://www.marinespecies.org/aphia.php?p=taxdetails&amp;id=137236","137236")</f>
        <v>137236</v>
      </c>
      <c r="E1142" s="22" t="s">
        <v>660</v>
      </c>
      <c r="F1142" s="22" t="s">
        <v>1029</v>
      </c>
      <c r="G1142" s="22" t="s">
        <v>94</v>
      </c>
      <c r="H1142" s="23" t="str">
        <f>HYPERLINK("http://www.marinespecies.org/aphia.php?p=taxdetails&amp;id=137236","137236")</f>
        <v>137236</v>
      </c>
      <c r="I1142" s="22" t="s">
        <v>94</v>
      </c>
      <c r="J1142" s="24" t="str">
        <f t="shared" si="7"/>
        <v>!=</v>
      </c>
    </row>
    <row r="1143">
      <c r="A1143" s="22" t="s">
        <v>1800</v>
      </c>
      <c r="B1143" s="22">
        <v>96.0</v>
      </c>
      <c r="C1143" s="23" t="str">
        <f>HYPERLINK("http://ecotaxoserver.obs-vlfr.fr/browsetaxo/?id=72075","72075")</f>
        <v>72075</v>
      </c>
      <c r="D1143" s="23" t="str">
        <f>HYPERLINK("http://www.marinespecies.org/aphia.php?p=taxdetails&amp;id=137279","137279")</f>
        <v>137279</v>
      </c>
      <c r="E1143" s="22" t="s">
        <v>1799</v>
      </c>
      <c r="F1143" s="22" t="s">
        <v>1799</v>
      </c>
      <c r="G1143" s="22" t="s">
        <v>94</v>
      </c>
      <c r="H1143" s="23" t="str">
        <f>HYPERLINK("http://www.marinespecies.org/aphia.php?p=taxdetails&amp;id=137279","137279")</f>
        <v>137279</v>
      </c>
      <c r="I1143" s="22" t="s">
        <v>94</v>
      </c>
      <c r="J1143" s="24" t="str">
        <f t="shared" si="7"/>
        <v/>
      </c>
    </row>
    <row r="1144">
      <c r="A1144" s="22" t="s">
        <v>767</v>
      </c>
      <c r="B1144" s="22">
        <v>1862.0</v>
      </c>
      <c r="C1144" s="23" t="str">
        <f>HYPERLINK("http://ecotaxoserver.obs-vlfr.fr/browsetaxo/?id=16659","16659")</f>
        <v>16659</v>
      </c>
      <c r="D1144" s="23" t="str">
        <f>HYPERLINK("http://www.marinespecies.org/aphia.php?p=taxdetails&amp;id=22626","22626")</f>
        <v>22626</v>
      </c>
      <c r="E1144" s="22" t="s">
        <v>254</v>
      </c>
      <c r="F1144" s="22" t="s">
        <v>254</v>
      </c>
      <c r="G1144" s="22" t="s">
        <v>94</v>
      </c>
      <c r="H1144" s="23" t="str">
        <f>HYPERLINK("http://www.marinespecies.org/aphia.php?p=taxdetails&amp;id=22626","22626")</f>
        <v>22626</v>
      </c>
      <c r="I1144" s="22" t="s">
        <v>94</v>
      </c>
      <c r="J1144" s="24" t="str">
        <f t="shared" si="7"/>
        <v/>
      </c>
    </row>
    <row r="1145">
      <c r="A1145" s="22" t="s">
        <v>1801</v>
      </c>
      <c r="B1145" s="22">
        <v>2.0</v>
      </c>
      <c r="C1145" s="23" t="str">
        <f>HYPERLINK("http://ecotaxoserver.obs-vlfr.fr/browsetaxo/?id=93093","93093")</f>
        <v>93093</v>
      </c>
      <c r="D1145" s="23" t="str">
        <f>HYPERLINK("http://www.marinespecies.org/aphia.php?p=taxdetails&amp;id=285333","285333")</f>
        <v>285333</v>
      </c>
      <c r="E1145" s="22" t="s">
        <v>1802</v>
      </c>
      <c r="F1145" s="22" t="s">
        <v>1802</v>
      </c>
      <c r="G1145" s="22" t="s">
        <v>94</v>
      </c>
      <c r="H1145" s="23" t="str">
        <f>HYPERLINK("http://www.marinespecies.org/aphia.php?p=taxdetails&amp;id=285333","285333")</f>
        <v>285333</v>
      </c>
      <c r="I1145" s="22" t="s">
        <v>94</v>
      </c>
      <c r="J1145" s="24" t="str">
        <f t="shared" si="7"/>
        <v/>
      </c>
    </row>
    <row r="1146">
      <c r="A1146" s="22" t="s">
        <v>1803</v>
      </c>
      <c r="B1146" s="22">
        <v>1002.0</v>
      </c>
      <c r="C1146" s="23" t="str">
        <f>HYPERLINK("http://ecotaxoserver.obs-vlfr.fr/browsetaxo/?id=83742","83742")</f>
        <v>83742</v>
      </c>
      <c r="D1146" s="23" t="str">
        <f>HYPERLINK("http://www.marinespecies.org/aphia.php?p=taxdetails&amp;id=101800","101800")</f>
        <v>101800</v>
      </c>
      <c r="E1146" s="22" t="s">
        <v>1025</v>
      </c>
      <c r="F1146" s="22" t="s">
        <v>1025</v>
      </c>
      <c r="G1146" s="22" t="s">
        <v>94</v>
      </c>
      <c r="H1146" s="23" t="str">
        <f>HYPERLINK("http://www.marinespecies.org/aphia.php?p=taxdetails&amp;id=101800","101800")</f>
        <v>101800</v>
      </c>
      <c r="I1146" s="22" t="s">
        <v>94</v>
      </c>
      <c r="J1146" s="24" t="str">
        <f t="shared" si="7"/>
        <v/>
      </c>
    </row>
    <row r="1147">
      <c r="A1147" s="22" t="s">
        <v>1804</v>
      </c>
      <c r="B1147" s="22">
        <v>285.0</v>
      </c>
      <c r="C1147" s="23" t="str">
        <f>HYPERLINK("http://ecotaxoserver.obs-vlfr.fr/browsetaxo/?id=84682","84682")</f>
        <v>84682</v>
      </c>
      <c r="D1147" s="23" t="str">
        <f>HYPERLINK("http://www.marinespecies.org/aphia.php?p=taxdetails&amp;id=103259","103259")</f>
        <v>103259</v>
      </c>
      <c r="E1147" s="22" t="s">
        <v>1803</v>
      </c>
      <c r="F1147" s="22" t="s">
        <v>1803</v>
      </c>
      <c r="G1147" s="22" t="s">
        <v>94</v>
      </c>
      <c r="H1147" s="23" t="str">
        <f>HYPERLINK("http://www.marinespecies.org/aphia.php?p=taxdetails&amp;id=103259","103259")</f>
        <v>103259</v>
      </c>
      <c r="I1147" s="22" t="s">
        <v>94</v>
      </c>
      <c r="J1147" s="24" t="str">
        <f t="shared" si="7"/>
        <v/>
      </c>
    </row>
    <row r="1148">
      <c r="A1148" s="22" t="s">
        <v>1805</v>
      </c>
      <c r="B1148" s="22">
        <v>29.0</v>
      </c>
      <c r="C1148" s="23" t="str">
        <f>HYPERLINK("http://ecotaxoserver.obs-vlfr.fr/browsetaxo/?id=84680","84680")</f>
        <v>84680</v>
      </c>
      <c r="D1148" s="23" t="str">
        <f>HYPERLINK("http://www.marinespecies.org/aphia.php?p=taxdetails&amp;id=156452","156452")</f>
        <v>156452</v>
      </c>
      <c r="E1148" s="22" t="s">
        <v>1803</v>
      </c>
      <c r="F1148" s="22" t="s">
        <v>1803</v>
      </c>
      <c r="G1148" s="22" t="s">
        <v>94</v>
      </c>
      <c r="H1148" s="23" t="str">
        <f>HYPERLINK("http://www.marinespecies.org/aphia.php?p=taxdetails&amp;id=156452","156452")</f>
        <v>156452</v>
      </c>
      <c r="I1148" s="22" t="s">
        <v>94</v>
      </c>
      <c r="J1148" s="24" t="str">
        <f t="shared" si="7"/>
        <v/>
      </c>
    </row>
    <row r="1149">
      <c r="A1149" s="22" t="s">
        <v>1806</v>
      </c>
      <c r="B1149" s="22">
        <v>14.0</v>
      </c>
      <c r="C1149" s="23" t="str">
        <f>HYPERLINK("http://ecotaxoserver.obs-vlfr.fr/browsetaxo/?id=17339","17339")</f>
        <v>17339</v>
      </c>
      <c r="D1149" s="23" t="str">
        <f>HYPERLINK("http://www.marinespecies.org/aphia.php?p=taxdetails&amp;id=345838","345838")</f>
        <v>345838</v>
      </c>
      <c r="E1149" s="22" t="s">
        <v>1807</v>
      </c>
      <c r="F1149" s="22" t="s">
        <v>1807</v>
      </c>
      <c r="G1149" s="22" t="s">
        <v>94</v>
      </c>
      <c r="H1149" s="23" t="str">
        <f>HYPERLINK("http://www.marinespecies.org/aphia.php?p=taxdetails&amp;id=345838","345838")</f>
        <v>345838</v>
      </c>
      <c r="I1149" s="22" t="s">
        <v>94</v>
      </c>
      <c r="J1149" s="24" t="str">
        <f t="shared" si="7"/>
        <v/>
      </c>
    </row>
    <row r="1150">
      <c r="A1150" s="22" t="s">
        <v>1808</v>
      </c>
      <c r="B1150" s="22">
        <v>1.0</v>
      </c>
      <c r="C1150" s="23" t="str">
        <f>HYPERLINK("http://ecotaxoserver.obs-vlfr.fr/browsetaxo/?id=93114","93114")</f>
        <v>93114</v>
      </c>
      <c r="D1150" s="23" t="str">
        <f>HYPERLINK("http://www.marinespecies.org/aphia.php?p=taxdetails&amp;id=137797","137797")</f>
        <v>137797</v>
      </c>
      <c r="E1150" s="22" t="s">
        <v>548</v>
      </c>
      <c r="F1150" s="22" t="s">
        <v>548</v>
      </c>
      <c r="G1150" s="22" t="s">
        <v>94</v>
      </c>
      <c r="H1150" s="23" t="str">
        <f>HYPERLINK("http://www.marinespecies.org/aphia.php?p=taxdetails&amp;id=137797","137797")</f>
        <v>137797</v>
      </c>
      <c r="I1150" s="22" t="s">
        <v>94</v>
      </c>
      <c r="J1150" s="24" t="str">
        <f t="shared" si="7"/>
        <v/>
      </c>
    </row>
    <row r="1151">
      <c r="A1151" s="22" t="s">
        <v>1809</v>
      </c>
      <c r="B1151" s="22">
        <v>571.0</v>
      </c>
      <c r="C1151" s="23" t="str">
        <f>HYPERLINK("http://ecotaxoserver.obs-vlfr.fr/browsetaxo/?id=78377","78377")</f>
        <v>78377</v>
      </c>
      <c r="D1151" s="23" t="str">
        <f>HYPERLINK("http://www.marinespecies.org/aphia.php?p=taxdetails&amp;id=110679","110679")</f>
        <v>110679</v>
      </c>
      <c r="E1151" s="22" t="s">
        <v>828</v>
      </c>
      <c r="F1151" s="22" t="s">
        <v>829</v>
      </c>
      <c r="G1151" s="22" t="s">
        <v>94</v>
      </c>
      <c r="H1151" s="23" t="str">
        <f>HYPERLINK("http://www.marinespecies.org/aphia.php?p=taxdetails&amp;id=110679","110679")</f>
        <v>110679</v>
      </c>
      <c r="I1151" s="22" t="s">
        <v>94</v>
      </c>
      <c r="J1151" s="24" t="str">
        <f t="shared" si="7"/>
        <v>!=</v>
      </c>
    </row>
    <row r="1152">
      <c r="A1152" s="22" t="s">
        <v>1810</v>
      </c>
      <c r="B1152" s="22">
        <v>8.0</v>
      </c>
      <c r="C1152" s="23" t="str">
        <f>HYPERLINK("http://ecotaxoserver.obs-vlfr.fr/browsetaxo/?id=93036","93036")</f>
        <v>93036</v>
      </c>
      <c r="D1152" s="23" t="str">
        <f>HYPERLINK("http://www.marinespecies.org/aphia.php?p=taxdetails&amp;id=110709","110709")</f>
        <v>110709</v>
      </c>
      <c r="E1152" s="22" t="s">
        <v>1809</v>
      </c>
      <c r="F1152" s="22" t="s">
        <v>1809</v>
      </c>
      <c r="G1152" s="22" t="s">
        <v>94</v>
      </c>
      <c r="H1152" s="23" t="str">
        <f>HYPERLINK("http://www.marinespecies.org/aphia.php?p=taxdetails&amp;id=110709","110709")</f>
        <v>110709</v>
      </c>
      <c r="I1152" s="22" t="s">
        <v>94</v>
      </c>
      <c r="J1152" s="24" t="str">
        <f t="shared" si="7"/>
        <v/>
      </c>
    </row>
    <row r="1153">
      <c r="A1153" s="22" t="s">
        <v>1811</v>
      </c>
      <c r="B1153" s="22">
        <v>1.0</v>
      </c>
      <c r="C1153" s="23" t="str">
        <f>HYPERLINK("http://ecotaxoserver.obs-vlfr.fr/browsetaxo/?id=51478","51478")</f>
        <v>51478</v>
      </c>
      <c r="D1153" s="23" t="str">
        <f>HYPERLINK("http://www.marinespecies.org/aphia.php?p=taxdetails&amp;id=204904","204904")</f>
        <v>204904</v>
      </c>
      <c r="E1153" s="22" t="s">
        <v>1812</v>
      </c>
      <c r="F1153" s="22" t="s">
        <v>1813</v>
      </c>
      <c r="G1153" s="22" t="s">
        <v>94</v>
      </c>
      <c r="H1153" s="23" t="str">
        <f>HYPERLINK("http://www.marinespecies.org/aphia.php?p=taxdetails&amp;id=204904","204904")</f>
        <v>204904</v>
      </c>
      <c r="I1153" s="22" t="s">
        <v>94</v>
      </c>
      <c r="J1153" s="24" t="str">
        <f t="shared" si="7"/>
        <v>!=</v>
      </c>
    </row>
    <row r="1154">
      <c r="A1154" s="22" t="s">
        <v>1814</v>
      </c>
      <c r="B1154" s="22">
        <v>1.0</v>
      </c>
      <c r="C1154" s="23" t="str">
        <f>HYPERLINK("http://ecotaxoserver.obs-vlfr.fr/browsetaxo/?id=72820","72820")</f>
        <v>72820</v>
      </c>
      <c r="D1154" s="23" t="str">
        <f>HYPERLINK("http://www.marinespecies.org/aphia.php?p=taxdetails&amp;id=287986","287986")</f>
        <v>287986</v>
      </c>
      <c r="E1154" s="22" t="s">
        <v>1811</v>
      </c>
      <c r="F1154" s="22" t="s">
        <v>1811</v>
      </c>
      <c r="G1154" s="22" t="s">
        <v>94</v>
      </c>
      <c r="H1154" s="23" t="str">
        <f>HYPERLINK("http://www.marinespecies.org/aphia.php?p=taxdetails&amp;id=287986","287986")</f>
        <v>287986</v>
      </c>
      <c r="I1154" s="22" t="s">
        <v>94</v>
      </c>
      <c r="J1154" s="24" t="str">
        <f t="shared" si="7"/>
        <v/>
      </c>
    </row>
    <row r="1155">
      <c r="A1155" s="22" t="s">
        <v>1815</v>
      </c>
      <c r="B1155" s="22">
        <v>3.0</v>
      </c>
      <c r="C1155" s="23" t="str">
        <f>HYPERLINK("http://ecotaxoserver.obs-vlfr.fr/browsetaxo/?id=73767","73767")</f>
        <v>73767</v>
      </c>
      <c r="D1155" s="23" t="str">
        <f>HYPERLINK("http://www.marinespecies.org/aphia.php?p=taxdetails&amp;id=141680","141680")</f>
        <v>141680</v>
      </c>
      <c r="E1155" s="22" t="s">
        <v>1816</v>
      </c>
      <c r="F1155" s="22" t="s">
        <v>1816</v>
      </c>
      <c r="G1155" s="22" t="s">
        <v>94</v>
      </c>
      <c r="H1155" s="23" t="str">
        <f>HYPERLINK("http://www.marinespecies.org/aphia.php?p=taxdetails&amp;id=141680","141680")</f>
        <v>141680</v>
      </c>
      <c r="I1155" s="22" t="s">
        <v>94</v>
      </c>
      <c r="J1155" s="24" t="str">
        <f t="shared" si="7"/>
        <v/>
      </c>
    </row>
    <row r="1156">
      <c r="A1156" s="22" t="s">
        <v>1817</v>
      </c>
      <c r="B1156" s="22">
        <v>92.0</v>
      </c>
      <c r="C1156" s="23" t="str">
        <f>HYPERLINK("http://ecotaxoserver.obs-vlfr.fr/browsetaxo/?id=57365","57365")</f>
        <v>57365</v>
      </c>
      <c r="D1156" s="23" t="str">
        <f>HYPERLINK("http://www.marinespecies.org/aphia.php?p=taxdetails&amp;id=247943","247943")</f>
        <v>247943</v>
      </c>
      <c r="E1156" s="22" t="s">
        <v>1818</v>
      </c>
      <c r="F1156" s="22" t="s">
        <v>1818</v>
      </c>
      <c r="G1156" s="22" t="s">
        <v>94</v>
      </c>
      <c r="H1156" s="23" t="str">
        <f>HYPERLINK("http://www.marinespecies.org/aphia.php?p=taxdetails&amp;id=247943","247943")</f>
        <v>247943</v>
      </c>
      <c r="I1156" s="22" t="s">
        <v>94</v>
      </c>
      <c r="J1156" s="24" t="str">
        <f t="shared" si="7"/>
        <v/>
      </c>
    </row>
    <row r="1157">
      <c r="A1157" s="22" t="s">
        <v>209</v>
      </c>
      <c r="B1157" s="22">
        <v>23556.0</v>
      </c>
      <c r="C1157" s="23" t="str">
        <f>HYPERLINK("http://ecotaxoserver.obs-vlfr.fr/browsetaxo/?id=18598","18598")</f>
        <v>18598</v>
      </c>
      <c r="D1157" s="23" t="str">
        <f>HYPERLINK("http://www.marinespecies.org/aphia.php?p=taxdetails&amp;id=247914","247914")</f>
        <v>247914</v>
      </c>
      <c r="E1157" s="22" t="s">
        <v>508</v>
      </c>
      <c r="F1157" s="22" t="s">
        <v>568</v>
      </c>
      <c r="G1157" s="22" t="s">
        <v>94</v>
      </c>
      <c r="H1157" s="23" t="str">
        <f>HYPERLINK("http://www.marinespecies.org/aphia.php?p=taxdetails&amp;id=247914","247914")</f>
        <v>247914</v>
      </c>
      <c r="I1157" s="22" t="s">
        <v>94</v>
      </c>
      <c r="J1157" s="24" t="str">
        <f t="shared" si="7"/>
        <v>!=</v>
      </c>
    </row>
    <row r="1158">
      <c r="A1158" s="22" t="s">
        <v>1819</v>
      </c>
      <c r="B1158" s="22">
        <v>32.0</v>
      </c>
      <c r="C1158" s="23" t="str">
        <f>HYPERLINK("http://ecotaxoserver.obs-vlfr.fr/browsetaxo/?id=31216","31216")</f>
        <v>31216</v>
      </c>
      <c r="D1158" s="23" t="str">
        <f>HYPERLINK("http://www.marinespecies.org/aphia.php?p=taxdetails&amp;id=247915","247915")</f>
        <v>247915</v>
      </c>
      <c r="E1158" s="22" t="s">
        <v>209</v>
      </c>
      <c r="F1158" s="22" t="s">
        <v>209</v>
      </c>
      <c r="G1158" s="22" t="s">
        <v>94</v>
      </c>
      <c r="H1158" s="23" t="str">
        <f>HYPERLINK("http://www.marinespecies.org/aphia.php?p=taxdetails&amp;id=247915","247915")</f>
        <v>247915</v>
      </c>
      <c r="I1158" s="22" t="s">
        <v>94</v>
      </c>
      <c r="J1158" s="24" t="str">
        <f t="shared" si="7"/>
        <v/>
      </c>
    </row>
    <row r="1159">
      <c r="A1159" s="22" t="s">
        <v>1820</v>
      </c>
      <c r="B1159" s="22">
        <v>3567.0</v>
      </c>
      <c r="C1159" s="23" t="str">
        <f>HYPERLINK("http://ecotaxoserver.obs-vlfr.fr/browsetaxo/?id=31215","31215")</f>
        <v>31215</v>
      </c>
      <c r="D1159" s="23" t="str">
        <f>HYPERLINK("http://www.marinespecies.org/aphia.php?p=taxdetails&amp;id=163780","163780")</f>
        <v>163780</v>
      </c>
      <c r="E1159" s="22" t="s">
        <v>209</v>
      </c>
      <c r="F1159" s="22" t="s">
        <v>566</v>
      </c>
      <c r="G1159" s="22" t="s">
        <v>94</v>
      </c>
      <c r="H1159" s="23" t="str">
        <f>HYPERLINK("http://www.marinespecies.org/aphia.php?p=taxdetails&amp;id=163780","163780")</f>
        <v>163780</v>
      </c>
      <c r="I1159" s="22" t="s">
        <v>94</v>
      </c>
      <c r="J1159" s="24" t="str">
        <f t="shared" si="7"/>
        <v>!=</v>
      </c>
    </row>
    <row r="1160">
      <c r="A1160" s="22" t="s">
        <v>1821</v>
      </c>
      <c r="B1160" s="22">
        <v>118.0</v>
      </c>
      <c r="C1160" s="23" t="str">
        <f>HYPERLINK("http://ecotaxoserver.obs-vlfr.fr/browsetaxo/?id=92846","92846")</f>
        <v>92846</v>
      </c>
      <c r="D1160" s="23" t="str">
        <f>HYPERLINK("http://www.marinespecies.org/aphia.php?p=taxdetails&amp;id=163913","163913")</f>
        <v>163913</v>
      </c>
      <c r="E1160" s="22" t="s">
        <v>1820</v>
      </c>
      <c r="F1160" s="22" t="s">
        <v>1820</v>
      </c>
      <c r="G1160" s="22" t="s">
        <v>94</v>
      </c>
      <c r="H1160" s="23" t="str">
        <f>HYPERLINK("http://www.marinespecies.org/aphia.php?p=taxdetails&amp;id=163913","163913")</f>
        <v>163913</v>
      </c>
      <c r="I1160" s="22" t="s">
        <v>94</v>
      </c>
      <c r="J1160" s="24" t="str">
        <f t="shared" si="7"/>
        <v/>
      </c>
    </row>
    <row r="1161">
      <c r="A1161" s="22" t="s">
        <v>1822</v>
      </c>
      <c r="B1161" s="22">
        <v>174.0</v>
      </c>
      <c r="C1161" s="23" t="str">
        <f>HYPERLINK("http://ecotaxoserver.obs-vlfr.fr/browsetaxo/?id=57484","57484")</f>
        <v>57484</v>
      </c>
      <c r="D1161" s="23" t="str">
        <f>HYPERLINK("http://www.marinespecies.org/aphia.php?p=taxdetails&amp;id=235757","235757")</f>
        <v>235757</v>
      </c>
      <c r="E1161" s="22" t="s">
        <v>1820</v>
      </c>
      <c r="F1161" s="22" t="s">
        <v>1820</v>
      </c>
      <c r="G1161" s="22" t="s">
        <v>94</v>
      </c>
      <c r="H1161" s="23" t="str">
        <f>HYPERLINK("http://www.marinespecies.org/aphia.php?p=taxdetails&amp;id=235757","235757")</f>
        <v>235757</v>
      </c>
      <c r="I1161" s="22" t="s">
        <v>94</v>
      </c>
      <c r="J1161" s="24" t="str">
        <f t="shared" si="7"/>
        <v/>
      </c>
    </row>
    <row r="1162">
      <c r="A1162" s="22" t="s">
        <v>1823</v>
      </c>
      <c r="B1162" s="22">
        <v>1394.0</v>
      </c>
      <c r="C1162" s="23" t="str">
        <f>HYPERLINK("http://ecotaxoserver.obs-vlfr.fr/browsetaxo/?id=25631","25631")</f>
        <v>25631</v>
      </c>
      <c r="D1162" s="23" t="str">
        <f>HYPERLINK("http://www.marinespecies.org/aphia.php?p=taxdetails&amp;id=958","958")</f>
        <v>958</v>
      </c>
      <c r="E1162" s="22" t="s">
        <v>239</v>
      </c>
      <c r="F1162" s="22" t="s">
        <v>1824</v>
      </c>
      <c r="G1162" s="22" t="s">
        <v>94</v>
      </c>
      <c r="H1162" s="23" t="str">
        <f>HYPERLINK("http://www.marinespecies.org/aphia.php?p=taxdetails&amp;id=958","958")</f>
        <v>958</v>
      </c>
      <c r="I1162" s="22" t="s">
        <v>94</v>
      </c>
      <c r="J1162" s="24" t="str">
        <f t="shared" si="7"/>
        <v>!=</v>
      </c>
    </row>
    <row r="1163">
      <c r="A1163" s="22" t="s">
        <v>1825</v>
      </c>
      <c r="B1163" s="22">
        <v>387.0</v>
      </c>
      <c r="C1163" s="23" t="str">
        <f>HYPERLINK("http://ecotaxoserver.obs-vlfr.fr/browsetaxo/?id=56545","56545")</f>
        <v>56545</v>
      </c>
      <c r="D1163" s="23" t="str">
        <f>HYPERLINK("http://www.marinespecies.org/aphia.php?p=taxdetails&amp;id=129715","129715")</f>
        <v>129715</v>
      </c>
      <c r="E1163" s="22" t="s">
        <v>1823</v>
      </c>
      <c r="F1163" s="22" t="s">
        <v>1823</v>
      </c>
      <c r="G1163" s="22" t="s">
        <v>94</v>
      </c>
      <c r="H1163" s="23" t="str">
        <f>HYPERLINK("http://www.marinespecies.org/aphia.php?p=taxdetails&amp;id=129715","129715")</f>
        <v>129715</v>
      </c>
      <c r="I1163" s="22" t="s">
        <v>94</v>
      </c>
      <c r="J1163" s="24" t="str">
        <f t="shared" si="7"/>
        <v/>
      </c>
    </row>
    <row r="1164">
      <c r="A1164" s="22" t="s">
        <v>1826</v>
      </c>
      <c r="B1164" s="22">
        <v>11.0</v>
      </c>
      <c r="C1164" s="23" t="str">
        <f>HYPERLINK("http://ecotaxoserver.obs-vlfr.fr/browsetaxo/?id=18636","18636")</f>
        <v>18636</v>
      </c>
      <c r="D1164" s="23" t="str">
        <f>HYPERLINK("http://www.marinespecies.org/aphia.php?p=taxdetails&amp;id=425511","425511")</f>
        <v>425511</v>
      </c>
      <c r="E1164" s="22" t="s">
        <v>1306</v>
      </c>
      <c r="F1164" s="22" t="s">
        <v>1827</v>
      </c>
      <c r="G1164" s="22" t="s">
        <v>94</v>
      </c>
      <c r="H1164" s="23" t="str">
        <f>HYPERLINK("http://www.marinespecies.org/aphia.php?p=taxdetails&amp;id=425511","425511")</f>
        <v>425511</v>
      </c>
      <c r="I1164" s="22" t="s">
        <v>94</v>
      </c>
      <c r="J1164" s="24" t="str">
        <f t="shared" si="7"/>
        <v>!=</v>
      </c>
    </row>
    <row r="1165">
      <c r="A1165" s="22" t="s">
        <v>1828</v>
      </c>
      <c r="B1165" s="22">
        <v>3114.0</v>
      </c>
      <c r="C1165" s="23" t="str">
        <f>HYPERLINK("http://ecotaxoserver.obs-vlfr.fr/browsetaxo/?id=85662","85662")</f>
        <v>85662</v>
      </c>
      <c r="D1165" s="23" t="str">
        <f>HYPERLINK("http://www.marinespecies.org/aphia.php?p=taxdetails&amp;id=109479","109479")</f>
        <v>109479</v>
      </c>
      <c r="E1165" s="22" t="s">
        <v>187</v>
      </c>
      <c r="F1165" s="22" t="s">
        <v>187</v>
      </c>
      <c r="G1165" s="22" t="s">
        <v>94</v>
      </c>
      <c r="H1165" s="23" t="str">
        <f>HYPERLINK("http://www.marinespecies.org/aphia.php?p=taxdetails&amp;id=109479","109479")</f>
        <v>109479</v>
      </c>
      <c r="I1165" s="22" t="s">
        <v>94</v>
      </c>
      <c r="J1165" s="24" t="str">
        <f t="shared" si="7"/>
        <v/>
      </c>
    </row>
    <row r="1166">
      <c r="A1166" s="22" t="s">
        <v>1829</v>
      </c>
      <c r="B1166" s="22">
        <v>436.0</v>
      </c>
      <c r="C1166" s="23" t="str">
        <f>HYPERLINK("http://ecotaxoserver.obs-vlfr.fr/browsetaxo/?id=89175","89175")</f>
        <v>89175</v>
      </c>
      <c r="D1166" s="23" t="str">
        <f>HYPERLINK("http://www.marinespecies.org/aphia.php?p=taxdetails&amp;id=109889","109889")</f>
        <v>109889</v>
      </c>
      <c r="E1166" s="22" t="s">
        <v>1828</v>
      </c>
      <c r="F1166" s="22" t="s">
        <v>1828</v>
      </c>
      <c r="G1166" s="22" t="s">
        <v>94</v>
      </c>
      <c r="H1166" s="23" t="str">
        <f>HYPERLINK("http://www.marinespecies.org/aphia.php?p=taxdetails&amp;id=109889","109889")</f>
        <v>109889</v>
      </c>
      <c r="I1166" s="22" t="s">
        <v>94</v>
      </c>
      <c r="J1166" s="24" t="str">
        <f t="shared" si="7"/>
        <v/>
      </c>
    </row>
    <row r="1167">
      <c r="A1167" s="22" t="s">
        <v>1830</v>
      </c>
      <c r="B1167" s="22">
        <v>42.0</v>
      </c>
      <c r="C1167" s="23" t="str">
        <f>HYPERLINK("http://ecotaxoserver.obs-vlfr.fr/browsetaxo/?id=80183","80183")</f>
        <v>80183</v>
      </c>
      <c r="D1167" s="23" t="str">
        <f>HYPERLINK("http://www.marinespecies.org/aphia.php?p=taxdetails&amp;id=157683","157683")</f>
        <v>157683</v>
      </c>
      <c r="E1167" s="22" t="s">
        <v>1831</v>
      </c>
      <c r="F1167" s="22" t="s">
        <v>1831</v>
      </c>
      <c r="G1167" s="22" t="s">
        <v>94</v>
      </c>
      <c r="H1167" s="23" t="str">
        <f>HYPERLINK("http://www.marinespecies.org/aphia.php?p=taxdetails&amp;id=157683","157683")</f>
        <v>157683</v>
      </c>
      <c r="I1167" s="22" t="s">
        <v>94</v>
      </c>
      <c r="J1167" s="24" t="str">
        <f t="shared" si="7"/>
        <v/>
      </c>
    </row>
    <row r="1168">
      <c r="A1168" s="22" t="s">
        <v>1832</v>
      </c>
      <c r="B1168" s="22">
        <v>1.0</v>
      </c>
      <c r="C1168" s="23" t="str">
        <f>HYPERLINK("http://ecotaxoserver.obs-vlfr.fr/browsetaxo/?id=83579","83579")</f>
        <v>83579</v>
      </c>
      <c r="D1168" s="23" t="str">
        <f>HYPERLINK("http://www.marinespecies.org/aphia.php?p=taxdetails&amp;id=106997","106997")</f>
        <v>106997</v>
      </c>
      <c r="E1168" s="22" t="s">
        <v>424</v>
      </c>
      <c r="F1168" s="22" t="s">
        <v>996</v>
      </c>
      <c r="G1168" s="22" t="s">
        <v>94</v>
      </c>
      <c r="H1168" s="23" t="str">
        <f>HYPERLINK("http://www.marinespecies.org/aphia.php?p=taxdetails&amp;id=106997","106997")</f>
        <v>106997</v>
      </c>
      <c r="I1168" s="22" t="s">
        <v>94</v>
      </c>
      <c r="J1168" s="24" t="str">
        <f t="shared" si="7"/>
        <v>!=</v>
      </c>
    </row>
    <row r="1169">
      <c r="A1169" s="22" t="s">
        <v>249</v>
      </c>
      <c r="B1169" s="22">
        <v>251.0</v>
      </c>
      <c r="C1169" s="23" t="str">
        <f>HYPERLINK("http://ecotaxoserver.obs-vlfr.fr/browsetaxo/?id=25998","25998")</f>
        <v>25998</v>
      </c>
      <c r="D1169" s="23" t="str">
        <f>HYPERLINK("http://www.marinespecies.org/aphia.php?p=taxdetails&amp;id=16350","16350")</f>
        <v>16350</v>
      </c>
      <c r="E1169" s="22" t="s">
        <v>1231</v>
      </c>
      <c r="F1169" s="22" t="s">
        <v>1232</v>
      </c>
      <c r="G1169" s="22" t="s">
        <v>94</v>
      </c>
      <c r="H1169" s="23" t="str">
        <f>HYPERLINK("http://www.marinespecies.org/aphia.php?p=taxdetails&amp;id=16350","16350")</f>
        <v>16350</v>
      </c>
      <c r="I1169" s="22" t="s">
        <v>94</v>
      </c>
      <c r="J1169" s="24" t="str">
        <f t="shared" si="7"/>
        <v>!=</v>
      </c>
    </row>
    <row r="1170">
      <c r="A1170" s="22" t="s">
        <v>1833</v>
      </c>
      <c r="B1170" s="22">
        <v>2.0</v>
      </c>
      <c r="C1170" s="23" t="str">
        <f>HYPERLINK("http://ecotaxoserver.obs-vlfr.fr/browsetaxo/?id=93315","93315")</f>
        <v>93315</v>
      </c>
      <c r="D1170" s="23" t="str">
        <f>HYPERLINK("http://www.marinespecies.org/aphia.php?p=taxdetails&amp;id=218045","218045")</f>
        <v>218045</v>
      </c>
      <c r="E1170" s="22" t="s">
        <v>1834</v>
      </c>
      <c r="F1170" s="22" t="s">
        <v>1834</v>
      </c>
      <c r="G1170" s="22" t="s">
        <v>94</v>
      </c>
      <c r="H1170" s="23" t="str">
        <f>HYPERLINK("http://www.marinespecies.org/aphia.php?p=taxdetails&amp;id=218045","218045")</f>
        <v>218045</v>
      </c>
      <c r="I1170" s="22" t="s">
        <v>94</v>
      </c>
      <c r="J1170" s="24" t="str">
        <f t="shared" si="7"/>
        <v/>
      </c>
    </row>
    <row r="1171">
      <c r="A1171" s="22" t="s">
        <v>1835</v>
      </c>
      <c r="B1171" s="22">
        <v>2.0</v>
      </c>
      <c r="C1171" s="23" t="str">
        <f>HYPERLINK("http://ecotaxoserver.obs-vlfr.fr/browsetaxo/?id=93321","93321")</f>
        <v>93321</v>
      </c>
      <c r="D1171" s="23" t="str">
        <f>HYPERLINK("http://www.marinespecies.org/aphia.php?p=taxdetails&amp;id=138563","138563")</f>
        <v>138563</v>
      </c>
      <c r="E1171" s="22" t="s">
        <v>1836</v>
      </c>
      <c r="F1171" s="22" t="s">
        <v>1836</v>
      </c>
      <c r="G1171" s="22" t="s">
        <v>94</v>
      </c>
      <c r="H1171" s="23" t="str">
        <f>HYPERLINK("http://www.marinespecies.org/aphia.php?p=taxdetails&amp;id=138563","138563")</f>
        <v>138563</v>
      </c>
      <c r="I1171" s="22" t="s">
        <v>94</v>
      </c>
      <c r="J1171" s="24" t="str">
        <f t="shared" si="7"/>
        <v/>
      </c>
    </row>
    <row r="1172">
      <c r="A1172" s="22" t="s">
        <v>1837</v>
      </c>
      <c r="B1172" s="22">
        <v>6.0</v>
      </c>
      <c r="C1172" s="23" t="str">
        <f>HYPERLINK("http://ecotaxoserver.obs-vlfr.fr/browsetaxo/?id=93322","93322")</f>
        <v>93322</v>
      </c>
      <c r="D1172" s="23" t="str">
        <f>HYPERLINK("http://www.marinespecies.org/aphia.php?p=taxdetails&amp;id=141694","141694")</f>
        <v>141694</v>
      </c>
      <c r="E1172" s="22" t="s">
        <v>1835</v>
      </c>
      <c r="F1172" s="22" t="s">
        <v>1835</v>
      </c>
      <c r="G1172" s="22" t="s">
        <v>94</v>
      </c>
      <c r="H1172" s="23" t="str">
        <f>HYPERLINK("http://www.marinespecies.org/aphia.php?p=taxdetails&amp;id=141694","141694")</f>
        <v>141694</v>
      </c>
      <c r="I1172" s="22" t="s">
        <v>94</v>
      </c>
      <c r="J1172" s="24" t="str">
        <f t="shared" si="7"/>
        <v/>
      </c>
    </row>
    <row r="1173">
      <c r="A1173" s="22" t="s">
        <v>1838</v>
      </c>
      <c r="B1173" s="22">
        <v>120.0</v>
      </c>
      <c r="C1173" s="23" t="str">
        <f>HYPERLINK("http://ecotaxoserver.obs-vlfr.fr/browsetaxo/?id=28112","28112")</f>
        <v>28112</v>
      </c>
      <c r="D1173" s="23" t="str">
        <f>HYPERLINK("http://www.marinespecies.org/aphia.php?p=taxdetails&amp;id=149154","149154")</f>
        <v>149154</v>
      </c>
      <c r="E1173" s="22" t="s">
        <v>119</v>
      </c>
      <c r="F1173" s="22" t="s">
        <v>1293</v>
      </c>
      <c r="G1173" s="22" t="s">
        <v>94</v>
      </c>
      <c r="H1173" s="23" t="str">
        <f>HYPERLINK("http://www.marinespecies.org/aphia.php?p=taxdetails&amp;id=149154","149154")</f>
        <v>149154</v>
      </c>
      <c r="I1173" s="22" t="s">
        <v>94</v>
      </c>
      <c r="J1173" s="24" t="str">
        <f t="shared" si="7"/>
        <v>!=</v>
      </c>
    </row>
    <row r="1174">
      <c r="A1174" s="22" t="s">
        <v>1839</v>
      </c>
      <c r="B1174" s="22">
        <v>18.0</v>
      </c>
      <c r="C1174" s="23" t="str">
        <f>HYPERLINK("http://ecotaxoserver.obs-vlfr.fr/browsetaxo/?id=54543","54543")</f>
        <v>54543</v>
      </c>
      <c r="D1174" s="23" t="str">
        <f>HYPERLINK("http://www.marinespecies.org/aphia.php?p=taxdetails&amp;id=134959","134959")</f>
        <v>134959</v>
      </c>
      <c r="E1174" s="22" t="s">
        <v>1840</v>
      </c>
      <c r="F1174" s="22" t="s">
        <v>1840</v>
      </c>
      <c r="G1174" s="22" t="s">
        <v>94</v>
      </c>
      <c r="H1174" s="23" t="str">
        <f>HYPERLINK("http://www.marinespecies.org/aphia.php?p=taxdetails&amp;id=134959","134959")</f>
        <v>134959</v>
      </c>
      <c r="I1174" s="22" t="s">
        <v>94</v>
      </c>
      <c r="J1174" s="24" t="str">
        <f t="shared" si="7"/>
        <v/>
      </c>
    </row>
    <row r="1175">
      <c r="A1175" s="22" t="s">
        <v>1841</v>
      </c>
      <c r="B1175" s="22">
        <v>107578.0</v>
      </c>
      <c r="C1175" s="23" t="str">
        <f>HYPERLINK("http://ecotaxoserver.obs-vlfr.fr/browsetaxo/?id=8976","8976")</f>
        <v>8976</v>
      </c>
      <c r="D1175" s="23" t="str">
        <f>HYPERLINK("http://www.marinespecies.org/aphia.php?p=taxdetails&amp;id=177604","177604")</f>
        <v>177604</v>
      </c>
      <c r="E1175" s="22" t="s">
        <v>215</v>
      </c>
      <c r="F1175" s="22" t="s">
        <v>1842</v>
      </c>
      <c r="G1175" s="22" t="s">
        <v>94</v>
      </c>
      <c r="H1175" s="23" t="str">
        <f>HYPERLINK("http://www.marinespecies.org/aphia.php?p=taxdetails&amp;id=177604","177604")</f>
        <v>177604</v>
      </c>
      <c r="I1175" s="22" t="s">
        <v>94</v>
      </c>
      <c r="J1175" s="24" t="str">
        <f t="shared" si="7"/>
        <v>!=</v>
      </c>
    </row>
    <row r="1176">
      <c r="A1176" s="22" t="s">
        <v>1843</v>
      </c>
      <c r="B1176" s="22">
        <v>1.0</v>
      </c>
      <c r="C1176" s="23" t="str">
        <f>HYPERLINK("http://ecotaxoserver.obs-vlfr.fr/browsetaxo/?id=93205","93205")</f>
        <v>93205</v>
      </c>
      <c r="D1176" s="23" t="str">
        <f>HYPERLINK("http://www.marinespecies.org/aphia.php?p=taxdetails&amp;id=159217","159217")</f>
        <v>159217</v>
      </c>
      <c r="E1176" s="22" t="s">
        <v>1844</v>
      </c>
      <c r="F1176" s="22" t="s">
        <v>1844</v>
      </c>
      <c r="G1176" s="22" t="s">
        <v>94</v>
      </c>
      <c r="H1176" s="23" t="str">
        <f>HYPERLINK("http://www.marinespecies.org/aphia.php?p=taxdetails&amp;id=159217","159217")</f>
        <v>159217</v>
      </c>
      <c r="I1176" s="22" t="s">
        <v>94</v>
      </c>
      <c r="J1176" s="24" t="str">
        <f t="shared" si="7"/>
        <v/>
      </c>
    </row>
    <row r="1177">
      <c r="A1177" s="22" t="s">
        <v>1845</v>
      </c>
      <c r="B1177" s="22">
        <v>151.0</v>
      </c>
      <c r="C1177" s="23" t="str">
        <f>HYPERLINK("http://ecotaxoserver.obs-vlfr.fr/browsetaxo/?id=45316","45316")</f>
        <v>45316</v>
      </c>
      <c r="D1177" s="23" t="str">
        <f>HYPERLINK("http://www.marinespecies.org/aphia.php?p=taxdetails&amp;id=160252","160252")</f>
        <v>160252</v>
      </c>
      <c r="E1177" s="22" t="s">
        <v>499</v>
      </c>
      <c r="F1177" s="22" t="s">
        <v>499</v>
      </c>
      <c r="G1177" s="22" t="s">
        <v>94</v>
      </c>
      <c r="H1177" s="23" t="str">
        <f>HYPERLINK("http://www.marinespecies.org/aphia.php?p=taxdetails&amp;id=160252","160252")</f>
        <v>160252</v>
      </c>
      <c r="I1177" s="22" t="s">
        <v>94</v>
      </c>
      <c r="J1177" s="24" t="str">
        <f t="shared" si="7"/>
        <v/>
      </c>
    </row>
    <row r="1178">
      <c r="A1178" s="22" t="s">
        <v>1846</v>
      </c>
      <c r="B1178" s="22">
        <v>166.0</v>
      </c>
      <c r="C1178" s="23" t="str">
        <f>HYPERLINK("http://ecotaxoserver.obs-vlfr.fr/browsetaxo/?id=28218","28218")</f>
        <v>28218</v>
      </c>
      <c r="D1178" s="23" t="str">
        <f>HYPERLINK("http://www.marinespecies.org/aphia.php?p=taxdetails&amp;id=254445","254445")</f>
        <v>254445</v>
      </c>
      <c r="E1178" s="22" t="s">
        <v>281</v>
      </c>
      <c r="F1178" s="22" t="s">
        <v>1847</v>
      </c>
      <c r="G1178" s="22" t="s">
        <v>94</v>
      </c>
      <c r="H1178" s="23" t="str">
        <f>HYPERLINK("http://www.marinespecies.org/aphia.php?p=taxdetails&amp;id=254445","254445")</f>
        <v>254445</v>
      </c>
      <c r="I1178" s="22" t="s">
        <v>94</v>
      </c>
      <c r="J1178" s="24" t="str">
        <f t="shared" si="7"/>
        <v>!=</v>
      </c>
    </row>
    <row r="1179">
      <c r="A1179" s="22" t="s">
        <v>1848</v>
      </c>
      <c r="B1179" s="22">
        <v>2.0</v>
      </c>
      <c r="C1179" s="23" t="str">
        <f>HYPERLINK("http://ecotaxoserver.obs-vlfr.fr/browsetaxo/?id=92581","92581")</f>
        <v>92581</v>
      </c>
      <c r="D1179" s="23" t="str">
        <f>HYPERLINK("http://www.marinespecies.org/aphia.php?p=taxdetails&amp;id=836815","836815")</f>
        <v>836815</v>
      </c>
      <c r="E1179" s="22" t="s">
        <v>128</v>
      </c>
      <c r="F1179" s="22" t="s">
        <v>1849</v>
      </c>
      <c r="G1179" s="22" t="s">
        <v>94</v>
      </c>
      <c r="H1179" s="23" t="str">
        <f>HYPERLINK("http://www.marinespecies.org/aphia.php?p=taxdetails&amp;id=836815","836815")</f>
        <v>836815</v>
      </c>
      <c r="I1179" s="22" t="s">
        <v>94</v>
      </c>
      <c r="J1179" s="24" t="str">
        <f t="shared" si="7"/>
        <v>!=</v>
      </c>
    </row>
    <row r="1180">
      <c r="A1180" s="22" t="s">
        <v>1850</v>
      </c>
      <c r="B1180" s="22">
        <v>3.0</v>
      </c>
      <c r="C1180" s="23" t="str">
        <f>HYPERLINK("http://ecotaxoserver.obs-vlfr.fr/browsetaxo/?id=92582","92582")</f>
        <v>92582</v>
      </c>
      <c r="D1180" s="23" t="str">
        <f>HYPERLINK("http://www.marinespecies.org/aphia.php?p=taxdetails&amp;id=841182","841182")</f>
        <v>841182</v>
      </c>
      <c r="E1180" s="22" t="s">
        <v>128</v>
      </c>
      <c r="F1180" s="22" t="s">
        <v>1849</v>
      </c>
      <c r="G1180" s="22" t="s">
        <v>94</v>
      </c>
      <c r="H1180" s="23" t="str">
        <f>HYPERLINK("http://www.marinespecies.org/aphia.php?p=taxdetails&amp;id=841182","841182")</f>
        <v>841182</v>
      </c>
      <c r="I1180" s="22" t="s">
        <v>94</v>
      </c>
      <c r="J1180" s="24" t="str">
        <f t="shared" si="7"/>
        <v>!=</v>
      </c>
    </row>
    <row r="1181">
      <c r="A1181" s="22" t="s">
        <v>1851</v>
      </c>
      <c r="B1181" s="22">
        <v>3.0</v>
      </c>
      <c r="C1181" s="23" t="str">
        <f>HYPERLINK("http://ecotaxoserver.obs-vlfr.fr/browsetaxo/?id=92584","92584")</f>
        <v>92584</v>
      </c>
      <c r="D1181" s="23" t="str">
        <f>HYPERLINK("http://www.marinespecies.org/aphia.php?p=taxdetails&amp;id=837310","837310")</f>
        <v>837310</v>
      </c>
      <c r="E1181" s="22" t="s">
        <v>128</v>
      </c>
      <c r="F1181" s="22" t="s">
        <v>1849</v>
      </c>
      <c r="G1181" s="22" t="s">
        <v>94</v>
      </c>
      <c r="H1181" s="23" t="str">
        <f>HYPERLINK("http://www.marinespecies.org/aphia.php?p=taxdetails&amp;id=837310","837310")</f>
        <v>837310</v>
      </c>
      <c r="I1181" s="22" t="s">
        <v>94</v>
      </c>
      <c r="J1181" s="24" t="str">
        <f t="shared" si="7"/>
        <v>!=</v>
      </c>
    </row>
    <row r="1182">
      <c r="A1182" s="22" t="s">
        <v>1852</v>
      </c>
      <c r="B1182" s="22">
        <v>8.0</v>
      </c>
      <c r="C1182" s="23" t="str">
        <f>HYPERLINK("http://ecotaxoserver.obs-vlfr.fr/browsetaxo/?id=92586","92586")</f>
        <v>92586</v>
      </c>
      <c r="D1182" s="23" t="str">
        <f>HYPERLINK("http://www.marinespecies.org/aphia.php?p=taxdetails&amp;id=841189","841189")</f>
        <v>841189</v>
      </c>
      <c r="E1182" s="22" t="s">
        <v>128</v>
      </c>
      <c r="F1182" s="22" t="s">
        <v>1849</v>
      </c>
      <c r="G1182" s="22" t="s">
        <v>94</v>
      </c>
      <c r="H1182" s="23" t="str">
        <f>HYPERLINK("http://www.marinespecies.org/aphia.php?p=taxdetails&amp;id=841189","841189")</f>
        <v>841189</v>
      </c>
      <c r="I1182" s="22" t="s">
        <v>94</v>
      </c>
      <c r="J1182" s="24" t="str">
        <f t="shared" si="7"/>
        <v>!=</v>
      </c>
    </row>
    <row r="1183">
      <c r="A1183" s="22" t="s">
        <v>1853</v>
      </c>
      <c r="B1183" s="22">
        <v>8.0</v>
      </c>
      <c r="C1183" s="23" t="str">
        <f>HYPERLINK("http://ecotaxoserver.obs-vlfr.fr/browsetaxo/?id=92588","92588")</f>
        <v>92588</v>
      </c>
      <c r="D1183" s="23" t="str">
        <f>HYPERLINK("http://www.marinespecies.org/aphia.php?p=taxdetails&amp;id=837448","837448")</f>
        <v>837448</v>
      </c>
      <c r="E1183" s="22" t="s">
        <v>128</v>
      </c>
      <c r="F1183" s="22" t="s">
        <v>1849</v>
      </c>
      <c r="G1183" s="22" t="s">
        <v>94</v>
      </c>
      <c r="H1183" s="23" t="str">
        <f>HYPERLINK("http://www.marinespecies.org/aphia.php?p=taxdetails&amp;id=837448","837448")</f>
        <v>837448</v>
      </c>
      <c r="I1183" s="22" t="s">
        <v>94</v>
      </c>
      <c r="J1183" s="24" t="str">
        <f t="shared" si="7"/>
        <v>!=</v>
      </c>
    </row>
    <row r="1184">
      <c r="A1184" s="22" t="s">
        <v>1854</v>
      </c>
      <c r="B1184" s="22">
        <v>66.0</v>
      </c>
      <c r="C1184" s="23" t="str">
        <f>HYPERLINK("http://ecotaxoserver.obs-vlfr.fr/browsetaxo/?id=92593","92593")</f>
        <v>92593</v>
      </c>
      <c r="D1184" s="23" t="str">
        <f>HYPERLINK("http://www.marinespecies.org/aphia.php?p=taxdetails&amp;id=841202","841202")</f>
        <v>841202</v>
      </c>
      <c r="E1184" s="22" t="s">
        <v>128</v>
      </c>
      <c r="F1184" s="22" t="s">
        <v>1849</v>
      </c>
      <c r="G1184" s="22" t="s">
        <v>94</v>
      </c>
      <c r="H1184" s="23" t="str">
        <f>HYPERLINK("http://www.marinespecies.org/aphia.php?p=taxdetails&amp;id=841202","841202")</f>
        <v>841202</v>
      </c>
      <c r="I1184" s="22" t="s">
        <v>94</v>
      </c>
      <c r="J1184" s="24" t="str">
        <f t="shared" si="7"/>
        <v>!=</v>
      </c>
    </row>
    <row r="1185">
      <c r="A1185" s="22" t="s">
        <v>1855</v>
      </c>
      <c r="B1185" s="22">
        <v>2.0</v>
      </c>
      <c r="C1185" s="23" t="str">
        <f>HYPERLINK("http://ecotaxoserver.obs-vlfr.fr/browsetaxo/?id=92594","92594")</f>
        <v>92594</v>
      </c>
      <c r="D1185" s="23" t="str">
        <f>HYPERLINK("http://www.marinespecies.org/aphia.php?p=taxdetails&amp;id=841206","841206")</f>
        <v>841206</v>
      </c>
      <c r="E1185" s="22" t="s">
        <v>128</v>
      </c>
      <c r="F1185" s="22" t="s">
        <v>1849</v>
      </c>
      <c r="G1185" s="22" t="s">
        <v>94</v>
      </c>
      <c r="H1185" s="23" t="str">
        <f>HYPERLINK("http://www.marinespecies.org/aphia.php?p=taxdetails&amp;id=841206","841206")</f>
        <v>841206</v>
      </c>
      <c r="I1185" s="22" t="s">
        <v>94</v>
      </c>
      <c r="J1185" s="24" t="str">
        <f t="shared" si="7"/>
        <v>!=</v>
      </c>
    </row>
    <row r="1186">
      <c r="A1186" s="22" t="s">
        <v>1856</v>
      </c>
      <c r="B1186" s="22">
        <v>1.0</v>
      </c>
      <c r="C1186" s="23" t="str">
        <f>HYPERLINK("http://ecotaxoserver.obs-vlfr.fr/browsetaxo/?id=92595","92595")</f>
        <v>92595</v>
      </c>
      <c r="D1186" s="23" t="str">
        <f>HYPERLINK("http://www.marinespecies.org/aphia.php?p=taxdetails&amp;id=837451","837451")</f>
        <v>837451</v>
      </c>
      <c r="E1186" s="22" t="s">
        <v>128</v>
      </c>
      <c r="F1186" s="22" t="s">
        <v>1849</v>
      </c>
      <c r="G1186" s="22" t="s">
        <v>94</v>
      </c>
      <c r="H1186" s="23" t="str">
        <f>HYPERLINK("http://www.marinespecies.org/aphia.php?p=taxdetails&amp;id=837451","837451")</f>
        <v>837451</v>
      </c>
      <c r="I1186" s="22" t="s">
        <v>94</v>
      </c>
      <c r="J1186" s="24" t="str">
        <f t="shared" si="7"/>
        <v>!=</v>
      </c>
    </row>
    <row r="1187">
      <c r="A1187" s="22" t="s">
        <v>1857</v>
      </c>
      <c r="B1187" s="22">
        <v>329.0</v>
      </c>
      <c r="C1187" s="23" t="str">
        <f>HYPERLINK("http://ecotaxoserver.obs-vlfr.fr/browsetaxo/?id=92598","92598")</f>
        <v>92598</v>
      </c>
      <c r="D1187" s="23" t="str">
        <f>HYPERLINK("http://www.marinespecies.org/aphia.php?p=taxdetails&amp;id=840627","840627")</f>
        <v>840627</v>
      </c>
      <c r="E1187" s="22" t="s">
        <v>128</v>
      </c>
      <c r="F1187" s="22" t="s">
        <v>1849</v>
      </c>
      <c r="G1187" s="22" t="s">
        <v>94</v>
      </c>
      <c r="H1187" s="23" t="str">
        <f>HYPERLINK("http://www.marinespecies.org/aphia.php?p=taxdetails&amp;id=840627","840627")</f>
        <v>840627</v>
      </c>
      <c r="I1187" s="22" t="s">
        <v>94</v>
      </c>
      <c r="J1187" s="24" t="str">
        <f t="shared" si="7"/>
        <v>!=</v>
      </c>
    </row>
    <row r="1188">
      <c r="A1188" s="22" t="s">
        <v>1858</v>
      </c>
      <c r="B1188" s="22">
        <v>397.0</v>
      </c>
      <c r="C1188" s="23" t="str">
        <f>HYPERLINK("http://ecotaxoserver.obs-vlfr.fr/browsetaxo/?id=92600","92600")</f>
        <v>92600</v>
      </c>
      <c r="D1188" s="23" t="str">
        <f>HYPERLINK("http://www.marinespecies.org/aphia.php?p=taxdetails&amp;id=840626","840626")</f>
        <v>840626</v>
      </c>
      <c r="E1188" s="22" t="s">
        <v>128</v>
      </c>
      <c r="F1188" s="22" t="s">
        <v>1849</v>
      </c>
      <c r="G1188" s="22" t="s">
        <v>94</v>
      </c>
      <c r="H1188" s="23" t="str">
        <f>HYPERLINK("http://www.marinespecies.org/aphia.php?p=taxdetails&amp;id=840626","840626")</f>
        <v>840626</v>
      </c>
      <c r="I1188" s="22" t="s">
        <v>94</v>
      </c>
      <c r="J1188" s="24" t="str">
        <f t="shared" si="7"/>
        <v>!=</v>
      </c>
    </row>
    <row r="1189">
      <c r="A1189" s="22" t="s">
        <v>1859</v>
      </c>
      <c r="B1189" s="22">
        <v>1.0</v>
      </c>
      <c r="C1189" s="23" t="str">
        <f>HYPERLINK("http://ecotaxoserver.obs-vlfr.fr/browsetaxo/?id=92605","92605")</f>
        <v>92605</v>
      </c>
      <c r="D1189" s="23" t="str">
        <f>HYPERLINK("http://www.marinespecies.org/aphia.php?p=taxdetails&amp;id=841248","841248")</f>
        <v>841248</v>
      </c>
      <c r="E1189" s="22" t="s">
        <v>128</v>
      </c>
      <c r="F1189" s="22" t="s">
        <v>1849</v>
      </c>
      <c r="G1189" s="22" t="s">
        <v>94</v>
      </c>
      <c r="H1189" s="23" t="str">
        <f>HYPERLINK("http://www.marinespecies.org/aphia.php?p=taxdetails&amp;id=841248","841248")</f>
        <v>841248</v>
      </c>
      <c r="I1189" s="22" t="s">
        <v>94</v>
      </c>
      <c r="J1189" s="24" t="str">
        <f t="shared" si="7"/>
        <v>!=</v>
      </c>
    </row>
    <row r="1190">
      <c r="A1190" s="22" t="s">
        <v>1860</v>
      </c>
      <c r="B1190" s="22">
        <v>2.0</v>
      </c>
      <c r="C1190" s="23" t="str">
        <f>HYPERLINK("http://ecotaxoserver.obs-vlfr.fr/browsetaxo/?id=92608","92608")</f>
        <v>92608</v>
      </c>
      <c r="D1190" s="23" t="str">
        <f>HYPERLINK("http://www.marinespecies.org/aphia.php?p=taxdetails&amp;id=837459","837459")</f>
        <v>837459</v>
      </c>
      <c r="E1190" s="22" t="s">
        <v>128</v>
      </c>
      <c r="F1190" s="22" t="s">
        <v>1849</v>
      </c>
      <c r="G1190" s="22" t="s">
        <v>94</v>
      </c>
      <c r="H1190" s="23" t="str">
        <f>HYPERLINK("http://www.marinespecies.org/aphia.php?p=taxdetails&amp;id=837459","837459")</f>
        <v>837459</v>
      </c>
      <c r="I1190" s="22" t="s">
        <v>94</v>
      </c>
      <c r="J1190" s="24" t="str">
        <f t="shared" si="7"/>
        <v>!=</v>
      </c>
    </row>
    <row r="1191">
      <c r="A1191" s="22" t="s">
        <v>1861</v>
      </c>
      <c r="B1191" s="22">
        <v>13.0</v>
      </c>
      <c r="C1191" s="23" t="str">
        <f>HYPERLINK("http://ecotaxoserver.obs-vlfr.fr/browsetaxo/?id=92612","92612")</f>
        <v>92612</v>
      </c>
      <c r="D1191" s="23" t="str">
        <f>HYPERLINK("http://www.marinespecies.org/aphia.php?p=taxdetails&amp;id=841261","841261")</f>
        <v>841261</v>
      </c>
      <c r="E1191" s="22" t="s">
        <v>128</v>
      </c>
      <c r="F1191" s="22" t="s">
        <v>1849</v>
      </c>
      <c r="G1191" s="22" t="s">
        <v>94</v>
      </c>
      <c r="H1191" s="23" t="str">
        <f>HYPERLINK("http://www.marinespecies.org/aphia.php?p=taxdetails&amp;id=841261","841261")</f>
        <v>841261</v>
      </c>
      <c r="I1191" s="22" t="s">
        <v>94</v>
      </c>
      <c r="J1191" s="24" t="str">
        <f t="shared" si="7"/>
        <v>!=</v>
      </c>
    </row>
    <row r="1192">
      <c r="A1192" s="22" t="s">
        <v>1862</v>
      </c>
      <c r="B1192" s="22">
        <v>7.0</v>
      </c>
      <c r="C1192" s="23" t="str">
        <f>HYPERLINK("http://ecotaxoserver.obs-vlfr.fr/browsetaxo/?id=92613","92613")</f>
        <v>92613</v>
      </c>
      <c r="D1192" s="23" t="str">
        <f>HYPERLINK("http://www.marinespecies.org/aphia.php?p=taxdetails&amp;id=841263","841263")</f>
        <v>841263</v>
      </c>
      <c r="E1192" s="22" t="s">
        <v>128</v>
      </c>
      <c r="F1192" s="22" t="s">
        <v>1849</v>
      </c>
      <c r="G1192" s="22" t="s">
        <v>94</v>
      </c>
      <c r="H1192" s="23" t="str">
        <f>HYPERLINK("http://www.marinespecies.org/aphia.php?p=taxdetails&amp;id=841263","841263")</f>
        <v>841263</v>
      </c>
      <c r="I1192" s="22" t="s">
        <v>94</v>
      </c>
      <c r="J1192" s="24" t="str">
        <f t="shared" si="7"/>
        <v>!=</v>
      </c>
    </row>
    <row r="1193">
      <c r="A1193" s="22" t="s">
        <v>1863</v>
      </c>
      <c r="B1193" s="22">
        <v>186.0</v>
      </c>
      <c r="C1193" s="23" t="str">
        <f>HYPERLINK("http://ecotaxoserver.obs-vlfr.fr/browsetaxo/?id=92614","92614")</f>
        <v>92614</v>
      </c>
      <c r="D1193" s="23" t="str">
        <f>HYPERLINK("http://www.marinespecies.org/aphia.php?p=taxdetails&amp;id=495363","495363")</f>
        <v>495363</v>
      </c>
      <c r="E1193" s="22" t="s">
        <v>128</v>
      </c>
      <c r="F1193" s="22" t="s">
        <v>1849</v>
      </c>
      <c r="G1193" s="22" t="s">
        <v>94</v>
      </c>
      <c r="H1193" s="23" t="str">
        <f>HYPERLINK("http://www.marinespecies.org/aphia.php?p=taxdetails&amp;id=495363","495363")</f>
        <v>495363</v>
      </c>
      <c r="I1193" s="22" t="s">
        <v>94</v>
      </c>
      <c r="J1193" s="24" t="str">
        <f t="shared" si="7"/>
        <v>!=</v>
      </c>
    </row>
    <row r="1194">
      <c r="A1194" s="22" t="s">
        <v>1864</v>
      </c>
      <c r="B1194" s="22">
        <v>215.0</v>
      </c>
      <c r="C1194" s="23" t="str">
        <f>HYPERLINK("http://ecotaxoserver.obs-vlfr.fr/browsetaxo/?id=92617","92617")</f>
        <v>92617</v>
      </c>
      <c r="D1194" s="23" t="str">
        <f>HYPERLINK("http://www.marinespecies.org/aphia.php?p=taxdetails&amp;id=841746","841746")</f>
        <v>841746</v>
      </c>
      <c r="E1194" s="22" t="s">
        <v>128</v>
      </c>
      <c r="F1194" s="22" t="s">
        <v>1849</v>
      </c>
      <c r="G1194" s="22" t="s">
        <v>94</v>
      </c>
      <c r="H1194" s="23" t="str">
        <f>HYPERLINK("http://www.marinespecies.org/aphia.php?p=taxdetails&amp;id=841746","841746")</f>
        <v>841746</v>
      </c>
      <c r="I1194" s="22" t="s">
        <v>94</v>
      </c>
      <c r="J1194" s="24" t="str">
        <f t="shared" si="7"/>
        <v>!=</v>
      </c>
    </row>
    <row r="1195">
      <c r="A1195" s="22" t="s">
        <v>1865</v>
      </c>
      <c r="B1195" s="22">
        <v>4.0</v>
      </c>
      <c r="C1195" s="23" t="str">
        <f>HYPERLINK("http://ecotaxoserver.obs-vlfr.fr/browsetaxo/?id=92620","92620")</f>
        <v>92620</v>
      </c>
      <c r="D1195" s="23" t="str">
        <f>HYPERLINK("http://www.marinespecies.org/aphia.php?p=taxdetails&amp;id=841748","841748")</f>
        <v>841748</v>
      </c>
      <c r="E1195" s="22" t="s">
        <v>128</v>
      </c>
      <c r="F1195" s="22" t="s">
        <v>1849</v>
      </c>
      <c r="G1195" s="22" t="s">
        <v>94</v>
      </c>
      <c r="H1195" s="23" t="str">
        <f>HYPERLINK("http://www.marinespecies.org/aphia.php?p=taxdetails&amp;id=841748","841748")</f>
        <v>841748</v>
      </c>
      <c r="I1195" s="22" t="s">
        <v>94</v>
      </c>
      <c r="J1195" s="24" t="str">
        <f t="shared" si="7"/>
        <v>!=</v>
      </c>
    </row>
    <row r="1196">
      <c r="A1196" s="22" t="s">
        <v>1866</v>
      </c>
      <c r="B1196" s="22">
        <v>426.0</v>
      </c>
      <c r="C1196" s="23" t="str">
        <f>HYPERLINK("http://ecotaxoserver.obs-vlfr.fr/browsetaxo/?id=92624","92624")</f>
        <v>92624</v>
      </c>
      <c r="D1196" s="23" t="str">
        <f>HYPERLINK("http://www.marinespecies.org/aphia.php?p=taxdetails&amp;id=1381154","1381154")</f>
        <v>1381154</v>
      </c>
      <c r="E1196" s="22" t="s">
        <v>128</v>
      </c>
      <c r="F1196" s="22" t="s">
        <v>1849</v>
      </c>
      <c r="G1196" s="22" t="s">
        <v>94</v>
      </c>
      <c r="H1196" s="23" t="str">
        <f>HYPERLINK("http://www.marinespecies.org/aphia.php?p=taxdetails&amp;id=1381154","1381154")</f>
        <v>1381154</v>
      </c>
      <c r="I1196" s="22" t="s">
        <v>94</v>
      </c>
      <c r="J1196" s="24" t="str">
        <f t="shared" si="7"/>
        <v>!=</v>
      </c>
    </row>
    <row r="1197">
      <c r="A1197" s="22" t="s">
        <v>1867</v>
      </c>
      <c r="B1197" s="22">
        <v>46.0</v>
      </c>
      <c r="C1197" s="23" t="str">
        <f>HYPERLINK("http://ecotaxoserver.obs-vlfr.fr/browsetaxo/?id=92625","92625")</f>
        <v>92625</v>
      </c>
      <c r="D1197" s="23" t="str">
        <f>HYPERLINK("http://www.marinespecies.org/aphia.php?p=taxdetails&amp;id=842517","842517")</f>
        <v>842517</v>
      </c>
      <c r="E1197" s="22" t="s">
        <v>128</v>
      </c>
      <c r="F1197" s="22" t="s">
        <v>1849</v>
      </c>
      <c r="G1197" s="22" t="s">
        <v>94</v>
      </c>
      <c r="H1197" s="23" t="str">
        <f>HYPERLINK("http://www.marinespecies.org/aphia.php?p=taxdetails&amp;id=842517","842517")</f>
        <v>842517</v>
      </c>
      <c r="I1197" s="22" t="s">
        <v>94</v>
      </c>
      <c r="J1197" s="24" t="str">
        <f t="shared" si="7"/>
        <v>!=</v>
      </c>
    </row>
    <row r="1198">
      <c r="A1198" s="22" t="s">
        <v>1868</v>
      </c>
      <c r="B1198" s="22">
        <v>16.0</v>
      </c>
      <c r="C1198" s="23" t="str">
        <f>HYPERLINK("http://ecotaxoserver.obs-vlfr.fr/browsetaxo/?id=31658","31658")</f>
        <v>31658</v>
      </c>
      <c r="D1198" s="23" t="str">
        <f>HYPERLINK("http://www.marinespecies.org/aphia.php?p=taxdetails&amp;id=109460","109460")</f>
        <v>109460</v>
      </c>
      <c r="E1198" s="22" t="s">
        <v>203</v>
      </c>
      <c r="F1198" s="22" t="s">
        <v>203</v>
      </c>
      <c r="G1198" s="22" t="s">
        <v>94</v>
      </c>
      <c r="H1198" s="23" t="str">
        <f>HYPERLINK("http://www.marinespecies.org/aphia.php?p=taxdetails&amp;id=109460","109460")</f>
        <v>109460</v>
      </c>
      <c r="I1198" s="22" t="s">
        <v>94</v>
      </c>
      <c r="J1198" s="24" t="str">
        <f t="shared" si="7"/>
        <v/>
      </c>
    </row>
    <row r="1199">
      <c r="A1199" s="22" t="s">
        <v>1869</v>
      </c>
      <c r="B1199" s="22">
        <v>1.0</v>
      </c>
      <c r="C1199" s="23" t="str">
        <f>HYPERLINK("http://ecotaxoserver.obs-vlfr.fr/browsetaxo/?id=60171","60171")</f>
        <v>60171</v>
      </c>
      <c r="D1199" s="23" t="str">
        <f>HYPERLINK("http://www.marinespecies.org/aphia.php?p=taxdetails&amp;id=129719","129719")</f>
        <v>129719</v>
      </c>
      <c r="E1199" s="22" t="s">
        <v>489</v>
      </c>
      <c r="F1199" s="22" t="s">
        <v>1870</v>
      </c>
      <c r="G1199" s="22" t="s">
        <v>94</v>
      </c>
      <c r="H1199" s="23" t="str">
        <f>HYPERLINK("http://www.marinespecies.org/aphia.php?p=taxdetails&amp;id=129719","129719")</f>
        <v>129719</v>
      </c>
      <c r="I1199" s="22" t="s">
        <v>94</v>
      </c>
      <c r="J1199" s="24" t="str">
        <f t="shared" si="7"/>
        <v>!=</v>
      </c>
    </row>
    <row r="1200">
      <c r="A1200" s="22" t="s">
        <v>1871</v>
      </c>
      <c r="B1200" s="22">
        <v>2861.0</v>
      </c>
      <c r="C1200" s="23" t="str">
        <f>HYPERLINK("http://ecotaxoserver.obs-vlfr.fr/browsetaxo/?id=23284","23284")</f>
        <v>23284</v>
      </c>
      <c r="D1200" s="23" t="str">
        <f>HYPERLINK("http://www.marinespecies.org/aphia.php?p=taxdetails&amp;id=556184","556184")</f>
        <v>556184</v>
      </c>
      <c r="E1200" s="22" t="s">
        <v>1872</v>
      </c>
      <c r="F1200" s="22" t="s">
        <v>1873</v>
      </c>
      <c r="G1200" s="22" t="s">
        <v>94</v>
      </c>
      <c r="H1200" s="23" t="str">
        <f>HYPERLINK("http://www.marinespecies.org/aphia.php?p=taxdetails&amp;id=556184","556184")</f>
        <v>556184</v>
      </c>
      <c r="I1200" s="22" t="s">
        <v>94</v>
      </c>
      <c r="J1200" s="24" t="str">
        <f t="shared" si="7"/>
        <v>!=</v>
      </c>
    </row>
    <row r="1201">
      <c r="A1201" s="22" t="s">
        <v>1874</v>
      </c>
      <c r="B1201" s="22">
        <v>1.0</v>
      </c>
      <c r="C1201" s="23" t="str">
        <f>HYPERLINK("http://ecotaxoserver.obs-vlfr.fr/browsetaxo/?id=43558","43558")</f>
        <v>43558</v>
      </c>
      <c r="D1201" s="23" t="str">
        <f>HYPERLINK("http://www.marinespecies.org/aphia.php?p=taxdetails&amp;id=137392","137392")</f>
        <v>137392</v>
      </c>
      <c r="E1201" s="22" t="s">
        <v>1875</v>
      </c>
      <c r="F1201" s="22" t="s">
        <v>1876</v>
      </c>
      <c r="G1201" s="22" t="s">
        <v>94</v>
      </c>
      <c r="H1201" s="23" t="str">
        <f>HYPERLINK("http://www.marinespecies.org/aphia.php?p=taxdetails&amp;id=137392","137392")</f>
        <v>137392</v>
      </c>
      <c r="I1201" s="22" t="s">
        <v>94</v>
      </c>
      <c r="J1201" s="24" t="str">
        <f t="shared" si="7"/>
        <v>!=</v>
      </c>
    </row>
    <row r="1202">
      <c r="A1202" s="22" t="s">
        <v>254</v>
      </c>
      <c r="B1202" s="22">
        <v>231.0</v>
      </c>
      <c r="C1202" s="23" t="str">
        <f>HYPERLINK("http://ecotaxoserver.obs-vlfr.fr/browsetaxo/?id=12860","12860")</f>
        <v>12860</v>
      </c>
      <c r="D1202" s="23" t="str">
        <f>HYPERLINK("http://www.marinespecies.org/aphia.php?p=taxdetails&amp;id=146420","146420")</f>
        <v>146420</v>
      </c>
      <c r="E1202" s="22" t="s">
        <v>443</v>
      </c>
      <c r="F1202" s="22" t="s">
        <v>443</v>
      </c>
      <c r="G1202" s="22" t="s">
        <v>94</v>
      </c>
      <c r="H1202" s="23" t="str">
        <f>HYPERLINK("http://www.marinespecies.org/aphia.php?p=taxdetails&amp;id=146420","146420")</f>
        <v>146420</v>
      </c>
      <c r="I1202" s="22" t="s">
        <v>94</v>
      </c>
      <c r="J1202" s="24" t="str">
        <f t="shared" si="7"/>
        <v/>
      </c>
    </row>
    <row r="1203">
      <c r="A1203" s="22" t="s">
        <v>1877</v>
      </c>
      <c r="B1203" s="22">
        <v>2.0</v>
      </c>
      <c r="C1203" s="23" t="str">
        <f>HYPERLINK("http://ecotaxoserver.obs-vlfr.fr/browsetaxo/?id=72291","72291")</f>
        <v>72291</v>
      </c>
      <c r="D1203" s="23" t="str">
        <f>HYPERLINK("http://www.marinespecies.org/aphia.php?p=taxdetails&amp;id=117056","117056")</f>
        <v>117056</v>
      </c>
      <c r="E1203" s="22" t="s">
        <v>1878</v>
      </c>
      <c r="F1203" s="22" t="s">
        <v>1878</v>
      </c>
      <c r="G1203" s="22" t="s">
        <v>94</v>
      </c>
      <c r="H1203" s="23" t="str">
        <f>HYPERLINK("http://www.marinespecies.org/aphia.php?p=taxdetails&amp;id=117056","117056")</f>
        <v>117056</v>
      </c>
      <c r="I1203" s="22" t="s">
        <v>94</v>
      </c>
      <c r="J1203" s="24" t="str">
        <f t="shared" si="7"/>
        <v/>
      </c>
    </row>
    <row r="1204">
      <c r="A1204" s="22" t="s">
        <v>1879</v>
      </c>
      <c r="B1204" s="22">
        <v>198.0</v>
      </c>
      <c r="C1204" s="23" t="str">
        <f>HYPERLINK("http://ecotaxoserver.obs-vlfr.fr/browsetaxo/?id=92050","92050")</f>
        <v>92050</v>
      </c>
      <c r="D1204" s="23" t="str">
        <f>HYPERLINK("http://www.marinespecies.org/aphia.php?p=taxdetails&amp;id=367366","367366")</f>
        <v>367366</v>
      </c>
      <c r="E1204" s="22" t="s">
        <v>427</v>
      </c>
      <c r="F1204" s="22" t="s">
        <v>427</v>
      </c>
      <c r="G1204" s="22" t="s">
        <v>94</v>
      </c>
      <c r="H1204" s="23" t="str">
        <f>HYPERLINK("http://www.marinespecies.org/aphia.php?p=taxdetails&amp;id=367366","367366")</f>
        <v>367366</v>
      </c>
      <c r="I1204" s="22" t="s">
        <v>94</v>
      </c>
      <c r="J1204" s="24" t="str">
        <f t="shared" si="7"/>
        <v/>
      </c>
    </row>
    <row r="1205">
      <c r="A1205" s="22" t="s">
        <v>1880</v>
      </c>
      <c r="B1205" s="22">
        <v>420.0</v>
      </c>
      <c r="C1205" s="23" t="str">
        <f>HYPERLINK("http://ecotaxoserver.obs-vlfr.fr/browsetaxo/?id=56680","56680")</f>
        <v>56680</v>
      </c>
      <c r="D1205" s="23" t="str">
        <f>HYPERLINK("http://www.marinespecies.org/aphia.php?p=taxdetails&amp;id=129722","129722")</f>
        <v>129722</v>
      </c>
      <c r="E1205" s="22" t="s">
        <v>1881</v>
      </c>
      <c r="F1205" s="22" t="s">
        <v>1881</v>
      </c>
      <c r="G1205" s="22" t="s">
        <v>94</v>
      </c>
      <c r="H1205" s="23" t="str">
        <f>HYPERLINK("http://www.marinespecies.org/aphia.php?p=taxdetails&amp;id=129722","129722")</f>
        <v>129722</v>
      </c>
      <c r="I1205" s="22" t="s">
        <v>94</v>
      </c>
      <c r="J1205" s="24" t="str">
        <f t="shared" si="7"/>
        <v/>
      </c>
    </row>
    <row r="1206">
      <c r="A1206" s="22" t="s">
        <v>1882</v>
      </c>
      <c r="B1206" s="22">
        <v>3.0</v>
      </c>
      <c r="C1206" s="23" t="str">
        <f>HYPERLINK("http://ecotaxoserver.obs-vlfr.fr/browsetaxo/?id=27243","27243")</f>
        <v>27243</v>
      </c>
      <c r="D1206" s="23" t="str">
        <f>HYPERLINK("http://www.marinespecies.org/aphia.php?p=taxdetails&amp;id=235985","235985")</f>
        <v>235985</v>
      </c>
      <c r="E1206" s="22" t="s">
        <v>1883</v>
      </c>
      <c r="F1206" s="22" t="s">
        <v>1883</v>
      </c>
      <c r="G1206" s="22" t="s">
        <v>94</v>
      </c>
      <c r="H1206" s="23" t="str">
        <f>HYPERLINK("http://www.marinespecies.org/aphia.php?p=taxdetails&amp;id=235985","235985")</f>
        <v>235985</v>
      </c>
      <c r="I1206" s="22" t="s">
        <v>94</v>
      </c>
      <c r="J1206" s="24" t="str">
        <f t="shared" si="7"/>
        <v/>
      </c>
    </row>
    <row r="1207">
      <c r="A1207" s="22" t="s">
        <v>1884</v>
      </c>
      <c r="B1207" s="22">
        <v>36.0</v>
      </c>
      <c r="C1207" s="23" t="str">
        <f>HYPERLINK("http://ecotaxoserver.obs-vlfr.fr/browsetaxo/?id=31225","31225")</f>
        <v>31225</v>
      </c>
      <c r="D1207" s="23" t="str">
        <f>HYPERLINK("http://www.marinespecies.org/aphia.php?p=taxdetails&amp;id=235764","235764")</f>
        <v>235764</v>
      </c>
      <c r="E1207" s="22" t="s">
        <v>1885</v>
      </c>
      <c r="F1207" s="22" t="s">
        <v>1885</v>
      </c>
      <c r="G1207" s="22" t="s">
        <v>94</v>
      </c>
      <c r="H1207" s="23" t="str">
        <f>HYPERLINK("http://www.marinespecies.org/aphia.php?p=taxdetails&amp;id=235764","235764")</f>
        <v>235764</v>
      </c>
      <c r="I1207" s="22" t="s">
        <v>94</v>
      </c>
      <c r="J1207" s="24" t="str">
        <f t="shared" si="7"/>
        <v/>
      </c>
    </row>
    <row r="1208">
      <c r="A1208" s="22" t="s">
        <v>1885</v>
      </c>
      <c r="B1208" s="22">
        <v>2568.0</v>
      </c>
      <c r="C1208" s="23" t="str">
        <f>HYPERLINK("http://ecotaxoserver.obs-vlfr.fr/browsetaxo/?id=18597","18597")</f>
        <v>18597</v>
      </c>
      <c r="D1208" s="23" t="str">
        <f>HYPERLINK("http://www.marinespecies.org/aphia.php?p=taxdetails&amp;id=172430","172430")</f>
        <v>172430</v>
      </c>
      <c r="E1208" s="22" t="s">
        <v>508</v>
      </c>
      <c r="F1208" s="22" t="s">
        <v>568</v>
      </c>
      <c r="G1208" s="22" t="s">
        <v>94</v>
      </c>
      <c r="H1208" s="23" t="str">
        <f>HYPERLINK("http://www.marinespecies.org/aphia.php?p=taxdetails&amp;id=172430","172430")</f>
        <v>172430</v>
      </c>
      <c r="I1208" s="22" t="s">
        <v>94</v>
      </c>
      <c r="J1208" s="24" t="str">
        <f t="shared" si="7"/>
        <v>!=</v>
      </c>
    </row>
    <row r="1209">
      <c r="A1209" s="22" t="s">
        <v>1886</v>
      </c>
      <c r="B1209" s="22">
        <v>48.0</v>
      </c>
      <c r="C1209" s="23" t="str">
        <f>HYPERLINK("http://ecotaxoserver.obs-vlfr.fr/browsetaxo/?id=82439","82439")</f>
        <v>82439</v>
      </c>
      <c r="D1209" s="23" t="str">
        <f>HYPERLINK("http://www.marinespecies.org/aphia.php?p=taxdetails&amp;id=104473","104473")</f>
        <v>104473</v>
      </c>
      <c r="E1209" s="22" t="s">
        <v>1887</v>
      </c>
      <c r="F1209" s="22" t="s">
        <v>1887</v>
      </c>
      <c r="G1209" s="22" t="s">
        <v>94</v>
      </c>
      <c r="H1209" s="23" t="str">
        <f>HYPERLINK("http://www.marinespecies.org/aphia.php?p=taxdetails&amp;id=104473","104473")</f>
        <v>104473</v>
      </c>
      <c r="I1209" s="22" t="s">
        <v>94</v>
      </c>
      <c r="J1209" s="24" t="str">
        <f t="shared" si="7"/>
        <v/>
      </c>
    </row>
    <row r="1210">
      <c r="A1210" s="22" t="s">
        <v>1888</v>
      </c>
      <c r="B1210" s="22">
        <v>2.0</v>
      </c>
      <c r="C1210" s="23" t="str">
        <f>HYPERLINK("http://ecotaxoserver.obs-vlfr.fr/browsetaxo/?id=93329","93329")</f>
        <v>93329</v>
      </c>
      <c r="D1210" s="23" t="str">
        <f>HYPERLINK("http://www.marinespecies.org/aphia.php?p=taxdetails&amp;id=125573","125573")</f>
        <v>125573</v>
      </c>
      <c r="E1210" s="22" t="s">
        <v>1889</v>
      </c>
      <c r="F1210" s="22" t="s">
        <v>1889</v>
      </c>
      <c r="G1210" s="22" t="s">
        <v>94</v>
      </c>
      <c r="H1210" s="23" t="str">
        <f>HYPERLINK("http://www.marinespecies.org/aphia.php?p=taxdetails&amp;id=125573","125573")</f>
        <v>125573</v>
      </c>
      <c r="I1210" s="22" t="s">
        <v>94</v>
      </c>
      <c r="J1210" s="24" t="str">
        <f t="shared" si="7"/>
        <v/>
      </c>
    </row>
    <row r="1211">
      <c r="A1211" s="22" t="s">
        <v>1890</v>
      </c>
      <c r="B1211" s="22">
        <v>1.0</v>
      </c>
      <c r="C1211" s="23" t="str">
        <f>HYPERLINK("http://ecotaxoserver.obs-vlfr.fr/browsetaxo/?id=93374","93374")</f>
        <v>93374</v>
      </c>
      <c r="D1211" s="23" t="str">
        <f>HYPERLINK("http://www.marinespecies.org/aphia.php?p=taxdetails&amp;id=159657","159657")</f>
        <v>159657</v>
      </c>
      <c r="E1211" s="22" t="s">
        <v>417</v>
      </c>
      <c r="F1211" s="22" t="s">
        <v>417</v>
      </c>
      <c r="G1211" s="22" t="s">
        <v>94</v>
      </c>
      <c r="H1211" s="23" t="str">
        <f>HYPERLINK("http://www.marinespecies.org/aphia.php?p=taxdetails&amp;id=159657","159657")</f>
        <v>159657</v>
      </c>
      <c r="I1211" s="22" t="s">
        <v>94</v>
      </c>
      <c r="J1211" s="24" t="str">
        <f t="shared" si="7"/>
        <v/>
      </c>
    </row>
    <row r="1212">
      <c r="A1212" s="22" t="s">
        <v>1891</v>
      </c>
      <c r="B1212" s="22">
        <v>67.0</v>
      </c>
      <c r="C1212" s="23" t="str">
        <f>HYPERLINK("http://ecotaxoserver.obs-vlfr.fr/browsetaxo/?id=78162","78162")</f>
        <v>78162</v>
      </c>
      <c r="D1212" s="23" t="str">
        <f>HYPERLINK("http://www.marinespecies.org/aphia.php?p=taxdetails&amp;id=110394","110394")</f>
        <v>110394</v>
      </c>
      <c r="E1212" s="22" t="s">
        <v>642</v>
      </c>
      <c r="F1212" s="22" t="s">
        <v>1892</v>
      </c>
      <c r="G1212" s="22" t="s">
        <v>94</v>
      </c>
      <c r="H1212" s="23" t="str">
        <f>HYPERLINK("http://www.marinespecies.org/aphia.php?p=taxdetails&amp;id=110394","110394")</f>
        <v>110394</v>
      </c>
      <c r="I1212" s="22" t="s">
        <v>94</v>
      </c>
      <c r="J1212" s="24" t="str">
        <f t="shared" si="7"/>
        <v>!=</v>
      </c>
    </row>
    <row r="1213">
      <c r="A1213" s="22" t="s">
        <v>1893</v>
      </c>
      <c r="B1213" s="22">
        <v>465.0</v>
      </c>
      <c r="C1213" s="23" t="str">
        <f>HYPERLINK("http://ecotaxoserver.obs-vlfr.fr/browsetaxo/?id=72302","72302")</f>
        <v>72302</v>
      </c>
      <c r="D1213" s="23" t="str">
        <f>HYPERLINK("http://www.marinespecies.org/aphia.php?p=taxdetails&amp;id=117200","117200")</f>
        <v>117200</v>
      </c>
      <c r="E1213" s="22" t="s">
        <v>1482</v>
      </c>
      <c r="F1213" s="22" t="s">
        <v>1482</v>
      </c>
      <c r="G1213" s="22" t="s">
        <v>94</v>
      </c>
      <c r="H1213" s="23" t="str">
        <f>HYPERLINK("http://www.marinespecies.org/aphia.php?p=taxdetails&amp;id=117200","117200")</f>
        <v>117200</v>
      </c>
      <c r="I1213" s="22" t="s">
        <v>94</v>
      </c>
      <c r="J1213" s="24" t="str">
        <f t="shared" si="7"/>
        <v/>
      </c>
    </row>
    <row r="1214">
      <c r="A1214" s="22" t="s">
        <v>1894</v>
      </c>
      <c r="B1214" s="22">
        <v>25.0</v>
      </c>
      <c r="C1214" s="23" t="str">
        <f>HYPERLINK("http://ecotaxoserver.obs-vlfr.fr/browsetaxo/?id=81609","81609")</f>
        <v>81609</v>
      </c>
      <c r="D1214" s="23" t="str">
        <f>HYPERLINK("http://www.marinespecies.org/aphia.php?p=taxdetails&amp;id=117832","117832")</f>
        <v>117832</v>
      </c>
      <c r="E1214" s="22" t="s">
        <v>1893</v>
      </c>
      <c r="F1214" s="22" t="s">
        <v>1893</v>
      </c>
      <c r="G1214" s="22" t="s">
        <v>94</v>
      </c>
      <c r="H1214" s="23" t="str">
        <f>HYPERLINK("http://www.marinespecies.org/aphia.php?p=taxdetails&amp;id=117832","117832")</f>
        <v>117832</v>
      </c>
      <c r="I1214" s="22" t="s">
        <v>94</v>
      </c>
      <c r="J1214" s="24" t="str">
        <f t="shared" si="7"/>
        <v/>
      </c>
    </row>
    <row r="1215">
      <c r="A1215" s="22" t="s">
        <v>1895</v>
      </c>
      <c r="B1215" s="22">
        <v>1.0</v>
      </c>
      <c r="C1215" s="23" t="str">
        <f>HYPERLINK("http://ecotaxoserver.obs-vlfr.fr/browsetaxo/?id=92978","92978")</f>
        <v>92978</v>
      </c>
      <c r="D1215" s="23" t="str">
        <f>HYPERLINK("http://www.marinespecies.org/aphia.php?p=taxdetails&amp;id=128723","128723")</f>
        <v>128723</v>
      </c>
      <c r="E1215" s="22" t="s">
        <v>583</v>
      </c>
      <c r="F1215" s="22" t="s">
        <v>583</v>
      </c>
      <c r="G1215" s="22" t="s">
        <v>94</v>
      </c>
      <c r="H1215" s="23" t="str">
        <f>HYPERLINK("http://www.marinespecies.org/aphia.php?p=taxdetails&amp;id=128723","128723")</f>
        <v>128723</v>
      </c>
      <c r="I1215" s="22" t="s">
        <v>94</v>
      </c>
      <c r="J1215" s="24" t="str">
        <f t="shared" si="7"/>
        <v/>
      </c>
    </row>
    <row r="1216">
      <c r="A1216" s="22" t="s">
        <v>1896</v>
      </c>
      <c r="B1216" s="22">
        <v>1.0</v>
      </c>
      <c r="C1216" s="23" t="str">
        <f>HYPERLINK("http://ecotaxoserver.obs-vlfr.fr/browsetaxo/?id=31098","31098")</f>
        <v>31098</v>
      </c>
      <c r="D1216" s="23" t="str">
        <f>HYPERLINK("http://www.marinespecies.org/aphia.php?p=taxdetails&amp;id=163573","163573")</f>
        <v>163573</v>
      </c>
      <c r="E1216" s="22" t="s">
        <v>1897</v>
      </c>
      <c r="F1216" s="22" t="s">
        <v>1897</v>
      </c>
      <c r="G1216" s="22" t="s">
        <v>94</v>
      </c>
      <c r="H1216" s="23" t="str">
        <f>HYPERLINK("http://www.marinespecies.org/aphia.php?p=taxdetails&amp;id=163573","163573")</f>
        <v>163573</v>
      </c>
      <c r="I1216" s="22" t="s">
        <v>94</v>
      </c>
      <c r="J1216" s="24" t="str">
        <f t="shared" si="7"/>
        <v/>
      </c>
    </row>
    <row r="1217">
      <c r="A1217" s="22" t="s">
        <v>1898</v>
      </c>
      <c r="B1217" s="22">
        <v>1.0</v>
      </c>
      <c r="C1217" s="23" t="str">
        <f>HYPERLINK("http://ecotaxoserver.obs-vlfr.fr/browsetaxo/?id=93110","93110")</f>
        <v>93110</v>
      </c>
      <c r="D1217" s="23" t="str">
        <f>HYPERLINK("http://www.marinespecies.org/aphia.php?p=taxdetails&amp;id=850552","850552")</f>
        <v>850552</v>
      </c>
      <c r="E1217" s="22" t="s">
        <v>1899</v>
      </c>
      <c r="F1217" s="22" t="s">
        <v>1899</v>
      </c>
      <c r="G1217" s="22" t="s">
        <v>94</v>
      </c>
      <c r="H1217" s="23" t="str">
        <f>HYPERLINK("http://www.marinespecies.org/aphia.php?p=taxdetails&amp;id=850552","850552")</f>
        <v>850552</v>
      </c>
      <c r="I1217" s="22" t="s">
        <v>94</v>
      </c>
      <c r="J1217" s="24" t="str">
        <f t="shared" si="7"/>
        <v/>
      </c>
    </row>
    <row r="1218">
      <c r="A1218" s="22" t="s">
        <v>1900</v>
      </c>
      <c r="B1218" s="22">
        <v>2228.0</v>
      </c>
      <c r="C1218" s="23" t="str">
        <f>HYPERLINK("http://ecotaxoserver.obs-vlfr.fr/browsetaxo/?id=18736","18736")</f>
        <v>18736</v>
      </c>
      <c r="D1218" s="23" t="str">
        <f>HYPERLINK("http://www.marinespecies.org/aphia.php?p=taxdetails&amp;id=109491","109491")</f>
        <v>109491</v>
      </c>
      <c r="E1218" s="22" t="s">
        <v>1901</v>
      </c>
      <c r="F1218" s="22" t="s">
        <v>1901</v>
      </c>
      <c r="G1218" s="22" t="s">
        <v>94</v>
      </c>
      <c r="H1218" s="23" t="str">
        <f>HYPERLINK("http://www.marinespecies.org/aphia.php?p=taxdetails&amp;id=109491","109491")</f>
        <v>109491</v>
      </c>
      <c r="I1218" s="22" t="s">
        <v>94</v>
      </c>
      <c r="J1218" s="24" t="str">
        <f t="shared" si="7"/>
        <v/>
      </c>
    </row>
    <row r="1219">
      <c r="A1219" s="22" t="s">
        <v>1901</v>
      </c>
      <c r="B1219" s="22">
        <v>95.0</v>
      </c>
      <c r="C1219" s="23" t="str">
        <f>HYPERLINK("http://ecotaxoserver.obs-vlfr.fr/browsetaxo/?id=31714","31714")</f>
        <v>31714</v>
      </c>
      <c r="D1219" s="23" t="str">
        <f>HYPERLINK("http://www.marinespecies.org/aphia.php?p=taxdetails&amp;id=109415","109415")</f>
        <v>109415</v>
      </c>
      <c r="E1219" s="22" t="s">
        <v>938</v>
      </c>
      <c r="F1219" s="22" t="s">
        <v>938</v>
      </c>
      <c r="G1219" s="22" t="s">
        <v>94</v>
      </c>
      <c r="H1219" s="23" t="str">
        <f>HYPERLINK("http://www.marinespecies.org/aphia.php?p=taxdetails&amp;id=109415","109415")</f>
        <v>109415</v>
      </c>
      <c r="I1219" s="22" t="s">
        <v>94</v>
      </c>
      <c r="J1219" s="24" t="str">
        <f t="shared" si="7"/>
        <v/>
      </c>
    </row>
    <row r="1220">
      <c r="A1220" s="22" t="s">
        <v>1902</v>
      </c>
      <c r="B1220" s="22">
        <v>3.0</v>
      </c>
      <c r="C1220" s="23" t="str">
        <f>HYPERLINK("http://ecotaxoserver.obs-vlfr.fr/browsetaxo/?id=93358","93358")</f>
        <v>93358</v>
      </c>
      <c r="D1220" s="23" t="str">
        <f>HYPERLINK("http://www.marinespecies.org/aphia.php?p=taxdetails&amp;id=457573","457573")</f>
        <v>457573</v>
      </c>
      <c r="E1220" s="22" t="s">
        <v>1903</v>
      </c>
      <c r="F1220" s="22" t="s">
        <v>1903</v>
      </c>
      <c r="G1220" s="22" t="s">
        <v>94</v>
      </c>
      <c r="H1220" s="23" t="str">
        <f>HYPERLINK("http://www.marinespecies.org/aphia.php?p=taxdetails&amp;id=457573","457573")</f>
        <v>457573</v>
      </c>
      <c r="I1220" s="22" t="s">
        <v>94</v>
      </c>
      <c r="J1220" s="24" t="str">
        <f t="shared" si="7"/>
        <v/>
      </c>
    </row>
    <row r="1221">
      <c r="A1221" s="22" t="s">
        <v>1904</v>
      </c>
      <c r="B1221" s="22">
        <v>1.0</v>
      </c>
      <c r="C1221" s="23" t="str">
        <f>HYPERLINK("http://ecotaxoserver.obs-vlfr.fr/browsetaxo/?id=93129","93129")</f>
        <v>93129</v>
      </c>
      <c r="D1221" s="23" t="str">
        <f>HYPERLINK("http://www.marinespecies.org/aphia.php?p=taxdetails&amp;id=291301","291301")</f>
        <v>291301</v>
      </c>
      <c r="E1221" s="22" t="s">
        <v>1905</v>
      </c>
      <c r="F1221" s="22" t="s">
        <v>1905</v>
      </c>
      <c r="G1221" s="22" t="s">
        <v>94</v>
      </c>
      <c r="H1221" s="23" t="str">
        <f>HYPERLINK("http://www.marinespecies.org/aphia.php?p=taxdetails&amp;id=291301","291301")</f>
        <v>291301</v>
      </c>
      <c r="I1221" s="22" t="s">
        <v>94</v>
      </c>
      <c r="J1221" s="24" t="str">
        <f t="shared" si="7"/>
        <v/>
      </c>
    </row>
    <row r="1222">
      <c r="A1222" s="22" t="s">
        <v>1906</v>
      </c>
      <c r="B1222" s="22">
        <v>1.0</v>
      </c>
      <c r="C1222" s="23" t="str">
        <f>HYPERLINK("http://ecotaxoserver.obs-vlfr.fr/browsetaxo/?id=93166","93166")</f>
        <v>93166</v>
      </c>
      <c r="D1222" s="23" t="str">
        <f>HYPERLINK("http://www.marinespecies.org/aphia.php?p=taxdetails&amp;id=159486","159486")</f>
        <v>159486</v>
      </c>
      <c r="E1222" s="22" t="s">
        <v>1907</v>
      </c>
      <c r="F1222" s="22" t="s">
        <v>1907</v>
      </c>
      <c r="G1222" s="22" t="s">
        <v>94</v>
      </c>
      <c r="H1222" s="23" t="str">
        <f>HYPERLINK("http://www.marinespecies.org/aphia.php?p=taxdetails&amp;id=159486","159486")</f>
        <v>159486</v>
      </c>
      <c r="I1222" s="22" t="s">
        <v>94</v>
      </c>
      <c r="J1222" s="24" t="str">
        <f t="shared" si="7"/>
        <v/>
      </c>
    </row>
    <row r="1223">
      <c r="A1223" s="22" t="s">
        <v>1908</v>
      </c>
      <c r="B1223" s="22">
        <v>1.0</v>
      </c>
      <c r="C1223" s="23" t="str">
        <f>HYPERLINK("http://ecotaxoserver.obs-vlfr.fr/browsetaxo/?id=93369","93369")</f>
        <v>93369</v>
      </c>
      <c r="D1223" s="23" t="str">
        <f>HYPERLINK("http://www.marinespecies.org/aphia.php?p=taxdetails&amp;id=219345","219345")</f>
        <v>219345</v>
      </c>
      <c r="E1223" s="22" t="s">
        <v>1909</v>
      </c>
      <c r="F1223" s="22" t="s">
        <v>1909</v>
      </c>
      <c r="G1223" s="22" t="s">
        <v>94</v>
      </c>
      <c r="H1223" s="23" t="str">
        <f>HYPERLINK("http://www.marinespecies.org/aphia.php?p=taxdetails&amp;id=219345","219345")</f>
        <v>219345</v>
      </c>
      <c r="I1223" s="22" t="s">
        <v>94</v>
      </c>
      <c r="J1223" s="24" t="str">
        <f t="shared" si="7"/>
        <v/>
      </c>
    </row>
    <row r="1224">
      <c r="A1224" s="22" t="s">
        <v>1910</v>
      </c>
      <c r="B1224" s="22">
        <v>1.0</v>
      </c>
      <c r="C1224" s="23" t="str">
        <f>HYPERLINK("http://ecotaxoserver.obs-vlfr.fr/browsetaxo/?id=93161","93161")</f>
        <v>93161</v>
      </c>
      <c r="D1224" s="23" t="str">
        <f>HYPERLINK("http://www.marinespecies.org/aphia.php?p=taxdetails&amp;id=127094","127094")</f>
        <v>127094</v>
      </c>
      <c r="E1224" s="22" t="s">
        <v>1911</v>
      </c>
      <c r="F1224" s="22" t="s">
        <v>1911</v>
      </c>
      <c r="G1224" s="22" t="s">
        <v>94</v>
      </c>
      <c r="H1224" s="23" t="str">
        <f>HYPERLINK("http://www.marinespecies.org/aphia.php?p=taxdetails&amp;id=127094","127094")</f>
        <v>127094</v>
      </c>
      <c r="I1224" s="22" t="s">
        <v>94</v>
      </c>
      <c r="J1224" s="24" t="str">
        <f t="shared" si="7"/>
        <v/>
      </c>
    </row>
    <row r="1225">
      <c r="A1225" s="22" t="s">
        <v>1912</v>
      </c>
      <c r="B1225" s="22">
        <v>1.0</v>
      </c>
      <c r="C1225" s="23" t="str">
        <f>HYPERLINK("http://ecotaxoserver.obs-vlfr.fr/browsetaxo/?id=93258","93258")</f>
        <v>93258</v>
      </c>
      <c r="D1225" s="23" t="str">
        <f>HYPERLINK("http://www.marinespecies.org/aphia.php?p=taxdetails&amp;id=126971","126971")</f>
        <v>126971</v>
      </c>
      <c r="E1225" s="22" t="s">
        <v>1913</v>
      </c>
      <c r="F1225" s="22" t="s">
        <v>1913</v>
      </c>
      <c r="G1225" s="22" t="s">
        <v>94</v>
      </c>
      <c r="H1225" s="23" t="str">
        <f>HYPERLINK("http://www.marinespecies.org/aphia.php?p=taxdetails&amp;id=126971","126971")</f>
        <v>126971</v>
      </c>
      <c r="I1225" s="22" t="s">
        <v>94</v>
      </c>
      <c r="J1225" s="24" t="str">
        <f t="shared" si="7"/>
        <v/>
      </c>
    </row>
    <row r="1226">
      <c r="A1226" s="22" t="s">
        <v>698</v>
      </c>
      <c r="B1226" s="22">
        <v>702.0</v>
      </c>
      <c r="C1226" s="23" t="str">
        <f>HYPERLINK("http://ecotaxoserver.obs-vlfr.fr/browsetaxo/?id=18596","18596")</f>
        <v>18596</v>
      </c>
      <c r="D1226" s="23" t="str">
        <f>HYPERLINK("http://www.marinespecies.org/aphia.php?p=taxdetails&amp;id=172429","172429")</f>
        <v>172429</v>
      </c>
      <c r="E1226" s="22" t="s">
        <v>508</v>
      </c>
      <c r="F1226" s="22" t="s">
        <v>568</v>
      </c>
      <c r="G1226" s="22" t="s">
        <v>94</v>
      </c>
      <c r="H1226" s="23" t="str">
        <f>HYPERLINK("http://www.marinespecies.org/aphia.php?p=taxdetails&amp;id=172429","172429")</f>
        <v>172429</v>
      </c>
      <c r="I1226" s="22" t="s">
        <v>94</v>
      </c>
      <c r="J1226" s="24" t="str">
        <f t="shared" si="7"/>
        <v>!=</v>
      </c>
    </row>
    <row r="1227">
      <c r="A1227" s="22" t="s">
        <v>1914</v>
      </c>
      <c r="B1227" s="22">
        <v>86.0</v>
      </c>
      <c r="C1227" s="23" t="str">
        <f>HYPERLINK("http://ecotaxoserver.obs-vlfr.fr/browsetaxo/?id=92837","92837")</f>
        <v>92837</v>
      </c>
      <c r="D1227" s="23" t="str">
        <f>HYPERLINK("http://www.marinespecies.org/aphia.php?p=taxdetails&amp;id=416150","416150")</f>
        <v>416150</v>
      </c>
      <c r="E1227" s="22" t="s">
        <v>698</v>
      </c>
      <c r="F1227" s="22" t="s">
        <v>698</v>
      </c>
      <c r="G1227" s="22" t="s">
        <v>94</v>
      </c>
      <c r="H1227" s="23" t="str">
        <f>HYPERLINK("http://www.marinespecies.org/aphia.php?p=taxdetails&amp;id=416150","416150")</f>
        <v>416150</v>
      </c>
      <c r="I1227" s="22" t="s">
        <v>94</v>
      </c>
      <c r="J1227" s="24" t="str">
        <f t="shared" si="7"/>
        <v/>
      </c>
    </row>
    <row r="1228">
      <c r="A1228" s="22" t="s">
        <v>1915</v>
      </c>
      <c r="B1228" s="22">
        <v>7.0</v>
      </c>
      <c r="C1228" s="23" t="str">
        <f>HYPERLINK("http://ecotaxoserver.obs-vlfr.fr/browsetaxo/?id=93064","93064")</f>
        <v>93064</v>
      </c>
      <c r="D1228" s="23" t="str">
        <f>HYPERLINK("http://www.marinespecies.org/aphia.php?p=taxdetails&amp;id=417265","417265")</f>
        <v>417265</v>
      </c>
      <c r="E1228" s="22" t="s">
        <v>1914</v>
      </c>
      <c r="F1228" s="22" t="s">
        <v>1914</v>
      </c>
      <c r="G1228" s="22" t="s">
        <v>94</v>
      </c>
      <c r="H1228" s="23" t="str">
        <f>HYPERLINK("http://www.marinespecies.org/aphia.php?p=taxdetails&amp;id=417265","417265")</f>
        <v>417265</v>
      </c>
      <c r="I1228" s="22" t="s">
        <v>94</v>
      </c>
      <c r="J1228" s="24" t="str">
        <f t="shared" si="7"/>
        <v/>
      </c>
    </row>
    <row r="1229">
      <c r="A1229" s="22" t="s">
        <v>1916</v>
      </c>
      <c r="B1229" s="22">
        <v>12.0</v>
      </c>
      <c r="C1229" s="23" t="str">
        <f>HYPERLINK("http://ecotaxoserver.obs-vlfr.fr/browsetaxo/?id=93065","93065")</f>
        <v>93065</v>
      </c>
      <c r="D1229" s="23" t="str">
        <f>HYPERLINK("http://www.marinespecies.org/aphia.php?p=taxdetails&amp;id=417268","417268")</f>
        <v>417268</v>
      </c>
      <c r="E1229" s="22" t="s">
        <v>1914</v>
      </c>
      <c r="F1229" s="22" t="s">
        <v>1914</v>
      </c>
      <c r="G1229" s="22" t="s">
        <v>94</v>
      </c>
      <c r="H1229" s="23" t="str">
        <f>HYPERLINK("http://www.marinespecies.org/aphia.php?p=taxdetails&amp;id=417268","417268")</f>
        <v>417268</v>
      </c>
      <c r="I1229" s="22" t="s">
        <v>94</v>
      </c>
      <c r="J1229" s="24" t="str">
        <f t="shared" si="7"/>
        <v/>
      </c>
    </row>
    <row r="1230">
      <c r="A1230" s="22" t="s">
        <v>1917</v>
      </c>
      <c r="B1230" s="22">
        <v>1.0</v>
      </c>
      <c r="C1230" s="23" t="str">
        <f>HYPERLINK("http://ecotaxoserver.obs-vlfr.fr/browsetaxo/?id=93100","93100")</f>
        <v>93100</v>
      </c>
      <c r="D1230" s="23" t="str">
        <f>HYPERLINK("http://www.marinespecies.org/aphia.php?p=taxdetails&amp;id=205326","205326")</f>
        <v>205326</v>
      </c>
      <c r="E1230" s="22" t="s">
        <v>1918</v>
      </c>
      <c r="F1230" s="22" t="s">
        <v>1918</v>
      </c>
      <c r="G1230" s="22" t="s">
        <v>94</v>
      </c>
      <c r="H1230" s="23" t="str">
        <f>HYPERLINK("http://www.marinespecies.org/aphia.php?p=taxdetails&amp;id=205326","205326")</f>
        <v>205326</v>
      </c>
      <c r="I1230" s="22" t="s">
        <v>94</v>
      </c>
      <c r="J1230" s="24" t="str">
        <f t="shared" si="7"/>
        <v/>
      </c>
    </row>
    <row r="1231">
      <c r="A1231" s="22" t="s">
        <v>1919</v>
      </c>
      <c r="B1231" s="22">
        <v>1.0</v>
      </c>
      <c r="C1231" s="23" t="str">
        <f>HYPERLINK("http://ecotaxoserver.obs-vlfr.fr/browsetaxo/?id=93356","93356")</f>
        <v>93356</v>
      </c>
      <c r="D1231" s="23" t="str">
        <f>HYPERLINK("http://www.marinespecies.org/aphia.php?p=taxdetails&amp;id=220083","220083")</f>
        <v>220083</v>
      </c>
      <c r="E1231" s="22" t="s">
        <v>1920</v>
      </c>
      <c r="F1231" s="22" t="s">
        <v>1920</v>
      </c>
      <c r="G1231" s="22" t="s">
        <v>94</v>
      </c>
      <c r="H1231" s="23" t="str">
        <f>HYPERLINK("http://www.marinespecies.org/aphia.php?p=taxdetails&amp;id=220083","220083")</f>
        <v>220083</v>
      </c>
      <c r="I1231" s="22" t="s">
        <v>94</v>
      </c>
      <c r="J1231" s="24" t="str">
        <f t="shared" si="7"/>
        <v/>
      </c>
    </row>
    <row r="1232">
      <c r="A1232" s="22" t="s">
        <v>1921</v>
      </c>
      <c r="B1232" s="22">
        <v>1.0</v>
      </c>
      <c r="C1232" s="23" t="str">
        <f>HYPERLINK("http://ecotaxoserver.obs-vlfr.fr/browsetaxo/?id=25946","25946")</f>
        <v>25946</v>
      </c>
      <c r="D1232" s="23" t="str">
        <f>HYPERLINK("http://www.marinespecies.org/aphia.php?p=taxdetails&amp;id=607338","607338")</f>
        <v>607338</v>
      </c>
      <c r="E1232" s="22" t="s">
        <v>126</v>
      </c>
      <c r="F1232" s="22" t="s">
        <v>126</v>
      </c>
      <c r="G1232" s="22" t="s">
        <v>94</v>
      </c>
      <c r="H1232" s="23" t="str">
        <f>HYPERLINK("http://www.marinespecies.org/aphia.php?p=taxdetails&amp;id=607338","607338")</f>
        <v>607338</v>
      </c>
      <c r="I1232" s="22" t="s">
        <v>94</v>
      </c>
      <c r="J1232" s="24" t="str">
        <f t="shared" si="7"/>
        <v/>
      </c>
    </row>
    <row r="1233">
      <c r="A1233" s="22" t="s">
        <v>1922</v>
      </c>
      <c r="B1233" s="22">
        <v>42.0</v>
      </c>
      <c r="C1233" s="23" t="str">
        <f>HYPERLINK("http://ecotaxoserver.obs-vlfr.fr/browsetaxo/?id=18529","18529")</f>
        <v>18529</v>
      </c>
      <c r="D1233" s="23" t="str">
        <f>HYPERLINK("http://www.marinespecies.org/aphia.php?p=taxdetails&amp;id=235773","235773")</f>
        <v>235773</v>
      </c>
      <c r="E1233" s="22" t="s">
        <v>1923</v>
      </c>
      <c r="F1233" s="22" t="s">
        <v>1924</v>
      </c>
      <c r="G1233" s="22" t="s">
        <v>94</v>
      </c>
      <c r="H1233" s="23" t="str">
        <f>HYPERLINK("http://www.marinespecies.org/aphia.php?p=taxdetails&amp;id=235773","235773")</f>
        <v>235773</v>
      </c>
      <c r="I1233" s="22" t="s">
        <v>94</v>
      </c>
      <c r="J1233" s="24" t="str">
        <f t="shared" si="7"/>
        <v>!=</v>
      </c>
    </row>
    <row r="1234">
      <c r="A1234" s="22" t="s">
        <v>1925</v>
      </c>
      <c r="B1234" s="22">
        <v>3.0</v>
      </c>
      <c r="C1234" s="23" t="str">
        <f>HYPERLINK("http://ecotaxoserver.obs-vlfr.fr/browsetaxo/?id=57086","57086")</f>
        <v>57086</v>
      </c>
      <c r="D1234" s="23" t="str">
        <f>HYPERLINK("http://www.marinespecies.org/aphia.php?p=taxdetails&amp;id=196832","196832")</f>
        <v>196832</v>
      </c>
      <c r="E1234" s="22" t="s">
        <v>1926</v>
      </c>
      <c r="F1234" s="22" t="s">
        <v>1926</v>
      </c>
      <c r="G1234" s="22" t="s">
        <v>94</v>
      </c>
      <c r="H1234" s="23" t="str">
        <f>HYPERLINK("http://www.marinespecies.org/aphia.php?p=taxdetails&amp;id=196832","196832")</f>
        <v>196832</v>
      </c>
      <c r="I1234" s="22" t="s">
        <v>94</v>
      </c>
      <c r="J1234" s="24" t="str">
        <f t="shared" si="7"/>
        <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4.29"/>
    <col customWidth="1" min="3" max="3" width="6.29"/>
    <col customWidth="1" min="4" max="4" width="7.14"/>
    <col customWidth="1" min="5" max="5" width="8.86"/>
    <col customWidth="1" min="6" max="6" width="17.29"/>
    <col customWidth="1" min="7" max="7" width="19.0"/>
    <col customWidth="1" min="8" max="8" width="13.71"/>
    <col customWidth="1" min="9" max="9" width="21.0"/>
    <col customWidth="1" min="10" max="10" width="14.29"/>
    <col customWidth="1" min="11" max="11" width="17.57"/>
    <col customWidth="1" min="12" max="12" width="10.14"/>
    <col customWidth="1" min="13" max="13" width="13.86"/>
    <col customWidth="1" min="14" max="14" width="11.29"/>
  </cols>
  <sheetData>
    <row r="1">
      <c r="A1" s="20" t="s">
        <v>78</v>
      </c>
      <c r="B1" s="20" t="s">
        <v>79</v>
      </c>
      <c r="C1" s="20" t="s">
        <v>2948</v>
      </c>
      <c r="D1" s="20" t="s">
        <v>80</v>
      </c>
      <c r="E1" s="20" t="s">
        <v>81</v>
      </c>
      <c r="F1" s="20" t="s">
        <v>82</v>
      </c>
      <c r="G1" s="20" t="s">
        <v>83</v>
      </c>
      <c r="H1" s="20" t="s">
        <v>2003</v>
      </c>
      <c r="I1" s="20" t="s">
        <v>2004</v>
      </c>
      <c r="J1" s="20" t="s">
        <v>2005</v>
      </c>
      <c r="K1" s="20" t="s">
        <v>2006</v>
      </c>
      <c r="L1" s="21" t="s">
        <v>84</v>
      </c>
      <c r="M1" s="20" t="s">
        <v>85</v>
      </c>
      <c r="N1" s="20" t="s">
        <v>86</v>
      </c>
    </row>
    <row r="2">
      <c r="A2" s="22" t="s">
        <v>2091</v>
      </c>
      <c r="B2" s="22">
        <v>150.0</v>
      </c>
      <c r="C2" s="22" t="s">
        <v>2953</v>
      </c>
      <c r="D2" s="23" t="str">
        <f>HYPERLINK("http://ecotaxoserver.obs-vlfr.fr/browsetaxo/?id=13365","13365")</f>
        <v>13365</v>
      </c>
      <c r="E2" s="23" t="str">
        <f>HYPERLINK("http://www.marinespecies.org/aphia.php?p=taxdetails&amp;id=235747","235747")</f>
        <v>235747</v>
      </c>
      <c r="F2" s="22" t="s">
        <v>2091</v>
      </c>
      <c r="G2" s="22" t="s">
        <v>2092</v>
      </c>
      <c r="H2" s="22" t="s">
        <v>2093</v>
      </c>
      <c r="J2" s="23" t="str">
        <f>HYPERLINK("http://www.marinespecies.org/aphia.php?p=taxdetails&amp;id=586732","586732")</f>
        <v>586732</v>
      </c>
      <c r="K2" s="22" t="s">
        <v>99</v>
      </c>
      <c r="L2" s="24" t="s">
        <v>1927</v>
      </c>
      <c r="M2" s="23" t="str">
        <f>HYPERLINK("http://www.marinespecies.org/aphia.php?p=taxdetails&amp;id=586732","586732")</f>
        <v>586732</v>
      </c>
      <c r="N2" s="24" t="s">
        <v>91</v>
      </c>
    </row>
    <row r="3">
      <c r="A3" s="22" t="s">
        <v>3014</v>
      </c>
      <c r="B3" s="22">
        <v>1.0</v>
      </c>
      <c r="C3" s="22" t="s">
        <v>2951</v>
      </c>
      <c r="D3" s="23" t="str">
        <f>HYPERLINK("http://ecotaxoserver.obs-vlfr.fr/browsetaxo/?id=82579","82579")</f>
        <v>82579</v>
      </c>
      <c r="E3" s="23" t="str">
        <f>HYPERLINK("http://www.marinespecies.org/aphia.php?p=taxdetails&amp;id=560397","560397")</f>
        <v>560397</v>
      </c>
      <c r="F3" s="22" t="s">
        <v>3014</v>
      </c>
      <c r="G3" s="22" t="s">
        <v>3015</v>
      </c>
      <c r="H3" s="22" t="s">
        <v>2093</v>
      </c>
      <c r="I3" s="22" t="s">
        <v>3016</v>
      </c>
      <c r="J3" s="23" t="str">
        <f>HYPERLINK("http://www.marinespecies.org/aphia.php?p=taxdetails&amp;id=246140","246140")</f>
        <v>246140</v>
      </c>
      <c r="K3" s="22" t="s">
        <v>3017</v>
      </c>
      <c r="L3" s="24" t="s">
        <v>1927</v>
      </c>
      <c r="M3" s="23" t="str">
        <f>HYPERLINK("http://www.marinespecies.org/aphia.php?p=taxdetails&amp;id=246140","246140")</f>
        <v>246140</v>
      </c>
      <c r="N3" s="24" t="s">
        <v>91</v>
      </c>
    </row>
    <row r="4">
      <c r="A4" s="22" t="s">
        <v>871</v>
      </c>
      <c r="B4" s="22">
        <v>2.0</v>
      </c>
      <c r="C4" s="22" t="s">
        <v>2951</v>
      </c>
      <c r="D4" s="23" t="str">
        <f>HYPERLINK("http://ecotaxoserver.obs-vlfr.fr/browsetaxo/?id=83318","83318")</f>
        <v>83318</v>
      </c>
      <c r="E4" s="23" t="str">
        <f>HYPERLINK("http://www.marinespecies.org/aphia.php?p=taxdetails&amp;id=843684","843684")</f>
        <v>843684</v>
      </c>
      <c r="F4" s="22" t="s">
        <v>871</v>
      </c>
      <c r="G4" s="30" t="s">
        <v>2967</v>
      </c>
      <c r="H4" s="30" t="s">
        <v>2371</v>
      </c>
      <c r="J4" s="30">
        <v>135396.0</v>
      </c>
      <c r="K4" s="30" t="s">
        <v>871</v>
      </c>
      <c r="L4" s="24" t="s">
        <v>1927</v>
      </c>
      <c r="M4" s="30">
        <v>135396.0</v>
      </c>
      <c r="N4" s="30" t="s">
        <v>1928</v>
      </c>
    </row>
    <row r="5">
      <c r="A5" s="22" t="s">
        <v>1281</v>
      </c>
      <c r="B5" s="22">
        <v>98.0</v>
      </c>
      <c r="C5" s="22" t="s">
        <v>2951</v>
      </c>
      <c r="D5" s="35" t="str">
        <f>HYPERLINK("http://ecotaxoserver.obs-vlfr.fr/browsetaxo/?id=81719","81719")</f>
        <v>81719</v>
      </c>
      <c r="E5" s="35" t="str">
        <f>HYPERLINK("http://www.marinespecies.org/aphia.php?p=taxdetails&amp;id=1381675","1381675")</f>
        <v>1381675</v>
      </c>
      <c r="F5" s="96" t="s">
        <v>1281</v>
      </c>
      <c r="G5" s="96" t="s">
        <v>3018</v>
      </c>
      <c r="H5" s="96" t="s">
        <v>2093</v>
      </c>
      <c r="I5" s="96"/>
      <c r="J5" s="35" t="str">
        <f>HYPERLINK("http://www.marinespecies.org/aphia.php?p=taxdetails&amp;id=111054","111054")</f>
        <v>111054</v>
      </c>
      <c r="K5" s="96" t="s">
        <v>3019</v>
      </c>
      <c r="L5" s="97" t="s">
        <v>1927</v>
      </c>
      <c r="M5" s="35" t="str">
        <f>HYPERLINK("http://www.marinespecies.org/aphia.php?p=taxdetails&amp;id=111054","111054")</f>
        <v>111054</v>
      </c>
      <c r="N5" s="97" t="s">
        <v>91</v>
      </c>
    </row>
    <row r="6">
      <c r="A6" s="22" t="s">
        <v>1605</v>
      </c>
      <c r="B6" s="22">
        <v>21.0</v>
      </c>
      <c r="C6" s="22" t="s">
        <v>2951</v>
      </c>
      <c r="D6" s="23" t="str">
        <f>HYPERLINK("http://ecotaxoserver.obs-vlfr.fr/browsetaxo/?id=56074","56074")</f>
        <v>56074</v>
      </c>
      <c r="E6" s="23" t="str">
        <f>HYPERLINK("http://www.marinespecies.org/aphia.php?p=taxdetails&amp;id=707645","707645")</f>
        <v>707645</v>
      </c>
      <c r="F6" s="22" t="s">
        <v>1605</v>
      </c>
      <c r="G6" s="22" t="s">
        <v>689</v>
      </c>
      <c r="H6" s="22" t="s">
        <v>2029</v>
      </c>
      <c r="J6" s="23" t="str">
        <f>HYPERLINK("http://www.marinespecies.org/aphia.php?p=taxdetails&amp;id=149069","149069")</f>
        <v>149069</v>
      </c>
      <c r="K6" s="22" t="s">
        <v>1605</v>
      </c>
      <c r="L6" s="24" t="s">
        <v>1927</v>
      </c>
      <c r="M6" s="23" t="str">
        <f>HYPERLINK("http://www.marinespecies.org/aphia.php?p=taxdetails&amp;id=149069","149069")</f>
        <v>149069</v>
      </c>
      <c r="N6" s="24" t="s">
        <v>91</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57"/>
    <col customWidth="1" min="5" max="5" width="25.0"/>
    <col customWidth="1" min="6" max="6" width="25.86"/>
    <col customWidth="1" min="7" max="7" width="11.43"/>
    <col customWidth="1" min="9" max="9" width="82.43"/>
  </cols>
  <sheetData>
    <row r="1">
      <c r="A1" s="20" t="s">
        <v>78</v>
      </c>
      <c r="B1" s="20" t="s">
        <v>79</v>
      </c>
      <c r="C1" s="20" t="s">
        <v>80</v>
      </c>
      <c r="D1" s="20" t="s">
        <v>81</v>
      </c>
      <c r="E1" s="20" t="s">
        <v>82</v>
      </c>
      <c r="F1" s="20" t="s">
        <v>83</v>
      </c>
      <c r="G1" s="21" t="s">
        <v>84</v>
      </c>
      <c r="H1" s="20" t="s">
        <v>85</v>
      </c>
      <c r="I1" s="29" t="s">
        <v>86</v>
      </c>
    </row>
    <row r="2">
      <c r="A2" s="22" t="s">
        <v>162</v>
      </c>
      <c r="B2" s="22">
        <v>1.0</v>
      </c>
      <c r="C2" s="23" t="str">
        <f>HYPERLINK("http://ecotaxoserver.obs-vlfr.fr/browsetaxo/?id=18788","18788")</f>
        <v>18788</v>
      </c>
      <c r="D2" s="23" t="str">
        <f t="shared" ref="D2:D3" si="1">HYPERLINK("http://www.marinespecies.org/aphia.php?p=taxdetails&amp;id=231787","231787")</f>
        <v>231787</v>
      </c>
      <c r="E2" s="22" t="s">
        <v>300</v>
      </c>
      <c r="F2" s="22" t="s">
        <v>187</v>
      </c>
      <c r="G2" s="30" t="s">
        <v>1927</v>
      </c>
      <c r="H2" s="23" t="str">
        <f t="shared" ref="H2:H3" si="2">HYPERLINK("http://www.marinespecies.org/aphia.php?p=taxdetails&amp;id=231787","231787")</f>
        <v>231787</v>
      </c>
      <c r="I2" s="31" t="s">
        <v>1928</v>
      </c>
    </row>
    <row r="3">
      <c r="A3" s="22" t="s">
        <v>162</v>
      </c>
      <c r="B3" s="22">
        <v>5.0</v>
      </c>
      <c r="C3" s="23" t="str">
        <f>HYPERLINK("http://ecotaxoserver.obs-vlfr.fr/browsetaxo/?id=58375","58375")</f>
        <v>58375</v>
      </c>
      <c r="D3" s="23" t="str">
        <f t="shared" si="1"/>
        <v>231787</v>
      </c>
      <c r="E3" s="22" t="s">
        <v>187</v>
      </c>
      <c r="F3" s="22" t="s">
        <v>187</v>
      </c>
      <c r="G3" s="22" t="s">
        <v>94</v>
      </c>
      <c r="H3" s="23" t="str">
        <f t="shared" si="2"/>
        <v>231787</v>
      </c>
      <c r="I3" s="31" t="s">
        <v>1928</v>
      </c>
    </row>
    <row r="4">
      <c r="A4" s="22" t="s">
        <v>1929</v>
      </c>
      <c r="B4" s="22">
        <v>128.0</v>
      </c>
      <c r="C4" s="23" t="str">
        <f>HYPERLINK("http://ecotaxoserver.obs-vlfr.fr/browsetaxo/?id=31223","31223")</f>
        <v>31223</v>
      </c>
      <c r="D4" s="23" t="str">
        <f t="shared" ref="D4:D5" si="3">HYPERLINK("http://www.marinespecies.org/aphia.php?p=taxdetails&amp;id=183539","183539")</f>
        <v>183539</v>
      </c>
      <c r="E4" s="22" t="s">
        <v>209</v>
      </c>
      <c r="F4" s="22" t="s">
        <v>210</v>
      </c>
      <c r="G4" s="24" t="s">
        <v>1927</v>
      </c>
      <c r="H4" s="23" t="str">
        <f t="shared" ref="H4:H5" si="4">HYPERLINK("http://www.marinespecies.org/aphia.php?p=taxdetails&amp;id=183539","183539")</f>
        <v>183539</v>
      </c>
      <c r="I4" s="31" t="s">
        <v>1928</v>
      </c>
    </row>
    <row r="5">
      <c r="A5" s="22" t="s">
        <v>1929</v>
      </c>
      <c r="B5" s="22">
        <v>8.0</v>
      </c>
      <c r="C5" s="23" t="str">
        <f>HYPERLINK("http://ecotaxoserver.obs-vlfr.fr/browsetaxo/?id=92707","92707")</f>
        <v>92707</v>
      </c>
      <c r="D5" s="23" t="str">
        <f t="shared" si="3"/>
        <v>183539</v>
      </c>
      <c r="E5" s="22" t="s">
        <v>1480</v>
      </c>
      <c r="F5" s="22" t="s">
        <v>210</v>
      </c>
      <c r="G5" s="24" t="s">
        <v>1927</v>
      </c>
      <c r="H5" s="23" t="str">
        <f t="shared" si="4"/>
        <v>183539</v>
      </c>
      <c r="I5" s="31" t="s">
        <v>1928</v>
      </c>
    </row>
    <row r="6">
      <c r="A6" s="22" t="s">
        <v>1930</v>
      </c>
      <c r="B6" s="22">
        <v>9.0</v>
      </c>
      <c r="C6" s="23" t="str">
        <f>HYPERLINK("http://ecotaxoserver.obs-vlfr.fr/browsetaxo/?id=12877","12877")</f>
        <v>12877</v>
      </c>
      <c r="D6" s="23" t="str">
        <f t="shared" ref="D6:D7" si="5">HYPERLINK("http://www.marinespecies.org/aphia.php?p=taxdetails&amp;id=123080","123080")</f>
        <v>123080</v>
      </c>
      <c r="E6" s="22" t="s">
        <v>786</v>
      </c>
      <c r="F6" s="22" t="s">
        <v>1324</v>
      </c>
      <c r="G6" s="22" t="s">
        <v>94</v>
      </c>
      <c r="H6" s="23" t="str">
        <f t="shared" ref="H6:H7" si="6">HYPERLINK("http://www.marinespecies.org/aphia.php?p=taxdetails&amp;id=123080","123080")</f>
        <v>123080</v>
      </c>
      <c r="I6" s="31" t="s">
        <v>1928</v>
      </c>
    </row>
    <row r="7">
      <c r="A7" s="22" t="s">
        <v>1930</v>
      </c>
      <c r="B7" s="22">
        <v>1.0</v>
      </c>
      <c r="C7" s="23" t="str">
        <f>HYPERLINK("http://ecotaxoserver.obs-vlfr.fr/browsetaxo/?id=16709","16709")</f>
        <v>16709</v>
      </c>
      <c r="D7" s="23" t="str">
        <f t="shared" si="5"/>
        <v>123080</v>
      </c>
      <c r="E7" s="22" t="s">
        <v>1930</v>
      </c>
      <c r="F7" s="22" t="s">
        <v>1324</v>
      </c>
      <c r="G7" s="24" t="s">
        <v>1927</v>
      </c>
      <c r="H7" s="23" t="str">
        <f t="shared" si="6"/>
        <v>123080</v>
      </c>
      <c r="I7" s="31" t="s">
        <v>1928</v>
      </c>
    </row>
    <row r="8">
      <c r="A8" s="22" t="s">
        <v>311</v>
      </c>
      <c r="B8" s="22">
        <v>2966.0</v>
      </c>
      <c r="C8" s="23" t="str">
        <f>HYPERLINK("http://ecotaxoserver.obs-vlfr.fr/browsetaxo/?id=28217","28217")</f>
        <v>28217</v>
      </c>
      <c r="D8" s="23" t="str">
        <f t="shared" ref="D8:D9" si="7">HYPERLINK("http://www.marinespecies.org/aphia.php?p=taxdetails&amp;id=149118","149118")</f>
        <v>149118</v>
      </c>
      <c r="E8" s="22" t="s">
        <v>281</v>
      </c>
      <c r="F8" s="22" t="s">
        <v>1931</v>
      </c>
      <c r="G8" s="24" t="s">
        <v>1927</v>
      </c>
      <c r="H8" s="23" t="str">
        <f t="shared" ref="H8:H9" si="8">HYPERLINK("http://www.marinespecies.org/aphia.php?p=taxdetails&amp;id=149118","149118")</f>
        <v>149118</v>
      </c>
      <c r="I8" s="31" t="s">
        <v>1928</v>
      </c>
    </row>
    <row r="9">
      <c r="A9" s="22" t="s">
        <v>311</v>
      </c>
      <c r="B9" s="22">
        <v>1333.0</v>
      </c>
      <c r="C9" s="23" t="str">
        <f>HYPERLINK("http://ecotaxoserver.obs-vlfr.fr/browsetaxo/?id=92167","92167")</f>
        <v>92167</v>
      </c>
      <c r="D9" s="23" t="str">
        <f t="shared" si="7"/>
        <v>149118</v>
      </c>
      <c r="E9" s="22" t="s">
        <v>1932</v>
      </c>
      <c r="F9" s="22" t="s">
        <v>1931</v>
      </c>
      <c r="G9" s="24" t="s">
        <v>1927</v>
      </c>
      <c r="H9" s="23" t="str">
        <f t="shared" si="8"/>
        <v>149118</v>
      </c>
      <c r="I9" s="31" t="s">
        <v>1928</v>
      </c>
    </row>
    <row r="10">
      <c r="A10" s="22" t="s">
        <v>1933</v>
      </c>
      <c r="B10" s="22">
        <v>32358.0</v>
      </c>
      <c r="C10" s="23" t="str">
        <f>HYPERLINK("http://ecotaxoserver.obs-vlfr.fr/browsetaxo/?id=12908","12908")</f>
        <v>12908</v>
      </c>
      <c r="D10" s="23" t="str">
        <f t="shared" ref="D10:D11" si="9">HYPERLINK("http://www.marinespecies.org/aphia.php?p=taxdetails&amp;id=105","105")</f>
        <v>105</v>
      </c>
      <c r="E10" s="22" t="s">
        <v>445</v>
      </c>
      <c r="F10" s="22" t="s">
        <v>445</v>
      </c>
      <c r="G10" s="22" t="s">
        <v>94</v>
      </c>
      <c r="H10" s="23" t="str">
        <f t="shared" ref="H10:H11" si="10">HYPERLINK("http://www.marinespecies.org/aphia.php?p=taxdetails&amp;id=105","105")</f>
        <v>105</v>
      </c>
      <c r="I10" s="31" t="s">
        <v>1928</v>
      </c>
    </row>
    <row r="11">
      <c r="A11" s="22" t="s">
        <v>1933</v>
      </c>
      <c r="B11" s="22">
        <v>50.0</v>
      </c>
      <c r="C11" s="23" t="str">
        <f>HYPERLINK("http://ecotaxoserver.obs-vlfr.fr/browsetaxo/?id=52193","52193")</f>
        <v>52193</v>
      </c>
      <c r="D11" s="23" t="str">
        <f t="shared" si="9"/>
        <v>105</v>
      </c>
      <c r="E11" s="22" t="s">
        <v>1934</v>
      </c>
      <c r="F11" s="22" t="s">
        <v>445</v>
      </c>
      <c r="G11" s="24" t="s">
        <v>1927</v>
      </c>
      <c r="H11" s="23" t="str">
        <f t="shared" si="10"/>
        <v>105</v>
      </c>
      <c r="I11" s="31" t="s">
        <v>1928</v>
      </c>
    </row>
    <row r="12">
      <c r="A12" s="22" t="s">
        <v>467</v>
      </c>
      <c r="B12" s="22">
        <v>169483.0</v>
      </c>
      <c r="C12" s="23" t="str">
        <f>HYPERLINK("http://ecotaxoserver.obs-vlfr.fr/browsetaxo/?id=28257","28257")</f>
        <v>28257</v>
      </c>
      <c r="D12" s="23" t="str">
        <f t="shared" ref="D12:D13" si="11">HYPERLINK("http://www.marinespecies.org/aphia.php?p=taxdetails&amp;id=148985","148985")</f>
        <v>148985</v>
      </c>
      <c r="E12" s="22" t="s">
        <v>281</v>
      </c>
      <c r="F12" s="22" t="s">
        <v>1931</v>
      </c>
      <c r="G12" s="24" t="s">
        <v>1927</v>
      </c>
      <c r="H12" s="23" t="str">
        <f t="shared" ref="H12:H13" si="12">HYPERLINK("http://www.marinespecies.org/aphia.php?p=taxdetails&amp;id=148985","148985")</f>
        <v>148985</v>
      </c>
      <c r="I12" s="31" t="s">
        <v>1928</v>
      </c>
    </row>
    <row r="13">
      <c r="A13" s="22" t="s">
        <v>467</v>
      </c>
      <c r="B13" s="22">
        <v>2476.0</v>
      </c>
      <c r="C13" s="23" t="str">
        <f>HYPERLINK("http://ecotaxoserver.obs-vlfr.fr/browsetaxo/?id=92173","92173")</f>
        <v>92173</v>
      </c>
      <c r="D13" s="23" t="str">
        <f t="shared" si="11"/>
        <v>148985</v>
      </c>
      <c r="E13" s="22" t="s">
        <v>1932</v>
      </c>
      <c r="F13" s="22" t="s">
        <v>1931</v>
      </c>
      <c r="G13" s="24" t="s">
        <v>1927</v>
      </c>
      <c r="H13" s="23" t="str">
        <f t="shared" si="12"/>
        <v>148985</v>
      </c>
      <c r="I13" s="31" t="s">
        <v>1928</v>
      </c>
    </row>
    <row r="14">
      <c r="A14" s="22" t="s">
        <v>229</v>
      </c>
      <c r="B14" s="22">
        <v>24133.0</v>
      </c>
      <c r="C14" s="23" t="str">
        <f>HYPERLINK("http://ecotaxoserver.obs-vlfr.fr/browsetaxo/?id=11512","11512")</f>
        <v>11512</v>
      </c>
      <c r="D14" s="23" t="str">
        <f t="shared" ref="D14:D15" si="13">HYPERLINK("http://www.marinespecies.org/aphia.php?p=taxdetails&amp;id=1267","1267")</f>
        <v>1267</v>
      </c>
      <c r="E14" s="22" t="s">
        <v>223</v>
      </c>
      <c r="F14" s="22" t="s">
        <v>224</v>
      </c>
      <c r="G14" s="22" t="s">
        <v>94</v>
      </c>
      <c r="H14" s="23" t="str">
        <f t="shared" ref="H14:H15" si="14">HYPERLINK("http://www.marinespecies.org/aphia.php?p=taxdetails&amp;id=1267","1267")</f>
        <v>1267</v>
      </c>
      <c r="I14" s="31" t="s">
        <v>1928</v>
      </c>
    </row>
    <row r="15">
      <c r="A15" s="22" t="s">
        <v>229</v>
      </c>
      <c r="B15" s="22">
        <v>2193.0</v>
      </c>
      <c r="C15" s="23" t="str">
        <f>HYPERLINK("http://ecotaxoserver.obs-vlfr.fr/browsetaxo/?id=16680","16680")</f>
        <v>16680</v>
      </c>
      <c r="D15" s="23" t="str">
        <f t="shared" si="13"/>
        <v>1267</v>
      </c>
      <c r="E15" s="22" t="s">
        <v>1019</v>
      </c>
      <c r="F15" s="22" t="s">
        <v>224</v>
      </c>
      <c r="G15" s="24" t="s">
        <v>1927</v>
      </c>
      <c r="H15" s="23" t="str">
        <f t="shared" si="14"/>
        <v>1267</v>
      </c>
      <c r="I15" s="32" t="s">
        <v>1935</v>
      </c>
    </row>
    <row r="16">
      <c r="A16" s="22" t="s">
        <v>570</v>
      </c>
      <c r="B16" s="22">
        <v>4237.0</v>
      </c>
      <c r="C16" s="23" t="str">
        <f>HYPERLINK("http://ecotaxoserver.obs-vlfr.fr/browsetaxo/?id=31193","31193")</f>
        <v>31193</v>
      </c>
      <c r="D16" s="23" t="str">
        <f t="shared" ref="D16:D17" si="15">HYPERLINK("http://www.marinespecies.org/aphia.php?p=taxdetails&amp;id=204197","204197")</f>
        <v>204197</v>
      </c>
      <c r="E16" s="22" t="s">
        <v>565</v>
      </c>
      <c r="F16" s="22" t="s">
        <v>1733</v>
      </c>
      <c r="G16" s="24" t="s">
        <v>1927</v>
      </c>
      <c r="H16" s="23" t="str">
        <f t="shared" ref="H16:H17" si="16">HYPERLINK("http://www.marinespecies.org/aphia.php?p=taxdetails&amp;id=204197","204197")</f>
        <v>204197</v>
      </c>
      <c r="I16" s="31" t="s">
        <v>1928</v>
      </c>
    </row>
    <row r="17">
      <c r="A17" s="22" t="s">
        <v>570</v>
      </c>
      <c r="B17" s="22">
        <v>141.0</v>
      </c>
      <c r="C17" s="23" t="str">
        <f>HYPERLINK("http://ecotaxoserver.obs-vlfr.fr/browsetaxo/?id=31222","31222")</f>
        <v>31222</v>
      </c>
      <c r="D17" s="23" t="str">
        <f t="shared" si="15"/>
        <v>204197</v>
      </c>
      <c r="E17" s="22" t="s">
        <v>209</v>
      </c>
      <c r="F17" s="22" t="s">
        <v>1733</v>
      </c>
      <c r="G17" s="24" t="s">
        <v>1927</v>
      </c>
      <c r="H17" s="23" t="str">
        <f t="shared" si="16"/>
        <v>204197</v>
      </c>
      <c r="I17" s="31" t="s">
        <v>1928</v>
      </c>
    </row>
    <row r="18">
      <c r="A18" s="22" t="s">
        <v>1936</v>
      </c>
      <c r="B18" s="22">
        <v>1210.0</v>
      </c>
      <c r="C18" s="23" t="str">
        <f>HYPERLINK("http://ecotaxoserver.obs-vlfr.fr/browsetaxo/?id=57394","57394")</f>
        <v>57394</v>
      </c>
      <c r="D18" s="23" t="str">
        <f t="shared" ref="D18:D19" si="17">HYPERLINK("http://www.marinespecies.org/aphia.php?p=taxdetails&amp;id=240441","240441")</f>
        <v>240441</v>
      </c>
      <c r="E18" s="22" t="s">
        <v>570</v>
      </c>
      <c r="F18" s="22" t="s">
        <v>570</v>
      </c>
      <c r="G18" s="24" t="s">
        <v>1927</v>
      </c>
      <c r="H18" s="23" t="str">
        <f t="shared" ref="H18:H19" si="18">HYPERLINK("http://www.marinespecies.org/aphia.php?p=taxdetails&amp;id=240441","240441")</f>
        <v>240441</v>
      </c>
      <c r="I18" s="31" t="s">
        <v>1928</v>
      </c>
    </row>
    <row r="19">
      <c r="A19" s="22" t="s">
        <v>1936</v>
      </c>
      <c r="B19" s="22">
        <v>4.0</v>
      </c>
      <c r="C19" s="23" t="str">
        <f>HYPERLINK("http://ecotaxoserver.obs-vlfr.fr/browsetaxo/?id=57455","57455")</f>
        <v>57455</v>
      </c>
      <c r="D19" s="23" t="str">
        <f t="shared" si="17"/>
        <v>240441</v>
      </c>
      <c r="E19" s="22" t="s">
        <v>570</v>
      </c>
      <c r="F19" s="22" t="s">
        <v>570</v>
      </c>
      <c r="G19" s="24" t="s">
        <v>1927</v>
      </c>
      <c r="H19" s="23" t="str">
        <f t="shared" si="18"/>
        <v>240441</v>
      </c>
      <c r="I19" s="31" t="s">
        <v>1928</v>
      </c>
    </row>
    <row r="20">
      <c r="A20" s="22" t="s">
        <v>650</v>
      </c>
      <c r="B20" s="22">
        <v>4143.0</v>
      </c>
      <c r="C20" s="23" t="str">
        <f>HYPERLINK("http://ecotaxoserver.obs-vlfr.fr/browsetaxo/?id=233","233")</f>
        <v>233</v>
      </c>
      <c r="D20" s="23" t="str">
        <f t="shared" ref="D20:D21" si="19">HYPERLINK("http://www.marinespecies.org/aphia.php?p=taxdetails&amp;id=146537","146537")</f>
        <v>146537</v>
      </c>
      <c r="E20" s="22" t="s">
        <v>511</v>
      </c>
      <c r="F20" s="22" t="s">
        <v>1937</v>
      </c>
      <c r="G20" s="22" t="s">
        <v>94</v>
      </c>
      <c r="H20" s="23" t="str">
        <f t="shared" ref="H20:H21" si="20">HYPERLINK("http://www.marinespecies.org/aphia.php?p=taxdetails&amp;id=146537","146537")</f>
        <v>146537</v>
      </c>
      <c r="I20" s="31" t="s">
        <v>1928</v>
      </c>
    </row>
    <row r="21">
      <c r="A21" s="22" t="s">
        <v>650</v>
      </c>
      <c r="B21" s="22">
        <v>24851.0</v>
      </c>
      <c r="C21" s="23" t="str">
        <f>HYPERLINK("http://ecotaxoserver.obs-vlfr.fr/browsetaxo/?id=849","849")</f>
        <v>849</v>
      </c>
      <c r="D21" s="23" t="str">
        <f t="shared" si="19"/>
        <v>146537</v>
      </c>
      <c r="E21" s="22" t="s">
        <v>1938</v>
      </c>
      <c r="F21" s="22" t="s">
        <v>1937</v>
      </c>
      <c r="G21" s="24" t="s">
        <v>1927</v>
      </c>
      <c r="H21" s="23" t="str">
        <f t="shared" si="20"/>
        <v>146537</v>
      </c>
      <c r="I21" s="31" t="s">
        <v>1928</v>
      </c>
    </row>
    <row r="22">
      <c r="A22" s="22" t="s">
        <v>1939</v>
      </c>
      <c r="B22" s="22">
        <v>2991.0</v>
      </c>
      <c r="C22" s="23" t="str">
        <f>HYPERLINK("http://ecotaxoserver.obs-vlfr.fr/browsetaxo/?id=55360","55360")</f>
        <v>55360</v>
      </c>
      <c r="D22" s="23" t="str">
        <f t="shared" ref="D22:D23" si="21">HYPERLINK("http://www.marinespecies.org/aphia.php?p=taxdetails&amp;id=149004","149004")</f>
        <v>149004</v>
      </c>
      <c r="E22" s="22" t="s">
        <v>672</v>
      </c>
      <c r="F22" s="22" t="s">
        <v>672</v>
      </c>
      <c r="G22" s="22" t="s">
        <v>94</v>
      </c>
      <c r="H22" s="23" t="str">
        <f t="shared" ref="H22:H23" si="22">HYPERLINK("http://www.marinespecies.org/aphia.php?p=taxdetails&amp;id=149004","149004")</f>
        <v>149004</v>
      </c>
      <c r="I22" s="31" t="s">
        <v>1928</v>
      </c>
    </row>
    <row r="23">
      <c r="A23" s="22" t="s">
        <v>1939</v>
      </c>
      <c r="B23" s="22">
        <v>11.0</v>
      </c>
      <c r="C23" s="23" t="str">
        <f>HYPERLINK("http://ecotaxoserver.obs-vlfr.fr/browsetaxo/?id=91100","91100")</f>
        <v>91100</v>
      </c>
      <c r="D23" s="23" t="str">
        <f t="shared" si="21"/>
        <v>149004</v>
      </c>
      <c r="E23" s="22" t="s">
        <v>751</v>
      </c>
      <c r="F23" s="22" t="s">
        <v>672</v>
      </c>
      <c r="G23" s="24" t="s">
        <v>1927</v>
      </c>
      <c r="H23" s="23" t="str">
        <f t="shared" si="22"/>
        <v>149004</v>
      </c>
      <c r="I23" s="31" t="s">
        <v>1928</v>
      </c>
    </row>
    <row r="24">
      <c r="A24" s="22" t="s">
        <v>1940</v>
      </c>
      <c r="B24" s="22">
        <v>426.0</v>
      </c>
      <c r="C24" s="23" t="str">
        <f>HYPERLINK("http://ecotaxoserver.obs-vlfr.fr/browsetaxo/?id=58194","58194")</f>
        <v>58194</v>
      </c>
      <c r="D24" s="23" t="str">
        <f t="shared" ref="D24:D25" si="23">HYPERLINK("http://www.marinespecies.org/aphia.php?p=taxdetails&amp;id=109612","109612")</f>
        <v>109612</v>
      </c>
      <c r="E24" s="22" t="s">
        <v>744</v>
      </c>
      <c r="F24" s="22" t="s">
        <v>744</v>
      </c>
      <c r="G24" s="22" t="s">
        <v>94</v>
      </c>
      <c r="H24" s="23" t="str">
        <f t="shared" ref="H24:H25" si="24">HYPERLINK("http://www.marinespecies.org/aphia.php?p=taxdetails&amp;id=109612","109612")</f>
        <v>109612</v>
      </c>
      <c r="I24" s="31" t="s">
        <v>1928</v>
      </c>
    </row>
    <row r="25">
      <c r="A25" s="22" t="s">
        <v>1940</v>
      </c>
      <c r="B25" s="22">
        <v>52.0</v>
      </c>
      <c r="C25" s="23" t="str">
        <f>HYPERLINK("http://ecotaxoserver.obs-vlfr.fr/browsetaxo/?id=78775","78775")</f>
        <v>78775</v>
      </c>
      <c r="D25" s="23" t="str">
        <f t="shared" si="23"/>
        <v>109612</v>
      </c>
      <c r="E25" s="22" t="s">
        <v>1941</v>
      </c>
      <c r="F25" s="22" t="s">
        <v>744</v>
      </c>
      <c r="G25" s="24" t="s">
        <v>1927</v>
      </c>
      <c r="H25" s="23" t="str">
        <f t="shared" si="24"/>
        <v>109612</v>
      </c>
      <c r="I25" s="31" t="s">
        <v>1928</v>
      </c>
    </row>
    <row r="26">
      <c r="A26" s="25" t="s">
        <v>1942</v>
      </c>
      <c r="B26" s="25">
        <v>51.0</v>
      </c>
      <c r="C26" s="26" t="str">
        <f>HYPERLINK("http://ecotaxoserver.obs-vlfr.fr/browsetaxo/?id=58193","58193")</f>
        <v>58193</v>
      </c>
      <c r="D26" s="26" t="str">
        <f t="shared" ref="D26:D27" si="25">HYPERLINK("http://www.marinespecies.org/aphia.php?p=taxdetails&amp;id=109627","109627")</f>
        <v>109627</v>
      </c>
      <c r="E26" s="25" t="s">
        <v>744</v>
      </c>
      <c r="F26" s="25" t="s">
        <v>744</v>
      </c>
      <c r="G26" s="25" t="s">
        <v>94</v>
      </c>
      <c r="H26" s="26" t="str">
        <f t="shared" ref="H26:H27" si="26">HYPERLINK("http://www.marinespecies.org/aphia.php?p=taxdetails&amp;id=109627","109627")</f>
        <v>109627</v>
      </c>
      <c r="I26" s="10" t="s">
        <v>1943</v>
      </c>
    </row>
    <row r="27">
      <c r="A27" s="22" t="s">
        <v>1942</v>
      </c>
      <c r="B27" s="22">
        <v>56.0</v>
      </c>
      <c r="C27" s="23" t="str">
        <f>HYPERLINK("http://ecotaxoserver.obs-vlfr.fr/browsetaxo/?id=78778","78778")</f>
        <v>78778</v>
      </c>
      <c r="D27" s="23" t="str">
        <f t="shared" si="25"/>
        <v>109627</v>
      </c>
      <c r="E27" s="22" t="s">
        <v>744</v>
      </c>
      <c r="F27" s="22" t="s">
        <v>744</v>
      </c>
      <c r="G27" s="22" t="s">
        <v>94</v>
      </c>
      <c r="H27" s="23" t="str">
        <f t="shared" si="26"/>
        <v>109627</v>
      </c>
      <c r="I27" s="10" t="s">
        <v>1943</v>
      </c>
    </row>
    <row r="28">
      <c r="A28" s="22" t="s">
        <v>1944</v>
      </c>
      <c r="B28" s="22">
        <v>41.0</v>
      </c>
      <c r="C28" s="23" t="str">
        <f>HYPERLINK("http://ecotaxoserver.obs-vlfr.fr/browsetaxo/?id=12892","12892")</f>
        <v>12892</v>
      </c>
      <c r="D28" s="23" t="str">
        <f t="shared" ref="D28:D29" si="27">HYPERLINK("http://www.marinespecies.org/aphia.php?p=taxdetails&amp;id=1820","1820")</f>
        <v>1820</v>
      </c>
      <c r="E28" s="22" t="s">
        <v>973</v>
      </c>
      <c r="F28" s="22" t="s">
        <v>973</v>
      </c>
      <c r="G28" s="22" t="s">
        <v>94</v>
      </c>
      <c r="H28" s="23" t="str">
        <f t="shared" ref="H28:H29" si="28">HYPERLINK("http://www.marinespecies.org/aphia.php?p=taxdetails&amp;id=1820","1820")</f>
        <v>1820</v>
      </c>
      <c r="I28" s="31" t="s">
        <v>1928</v>
      </c>
    </row>
    <row r="29">
      <c r="A29" s="22" t="s">
        <v>1944</v>
      </c>
      <c r="B29" s="22">
        <v>141.0</v>
      </c>
      <c r="C29" s="23" t="str">
        <f>HYPERLINK("http://ecotaxoserver.obs-vlfr.fr/browsetaxo/?id=26274","26274")</f>
        <v>26274</v>
      </c>
      <c r="D29" s="23" t="str">
        <f t="shared" si="27"/>
        <v>1820</v>
      </c>
      <c r="E29" s="22" t="s">
        <v>1945</v>
      </c>
      <c r="F29" s="22" t="s">
        <v>973</v>
      </c>
      <c r="G29" s="24" t="s">
        <v>1927</v>
      </c>
      <c r="H29" s="23" t="str">
        <f t="shared" si="28"/>
        <v>1820</v>
      </c>
      <c r="I29" s="31" t="s">
        <v>1928</v>
      </c>
    </row>
    <row r="30">
      <c r="A30" s="22" t="s">
        <v>1946</v>
      </c>
      <c r="B30" s="22">
        <v>6.0</v>
      </c>
      <c r="C30" s="23" t="str">
        <f>HYPERLINK("http://ecotaxoserver.obs-vlfr.fr/browsetaxo/?id=58285","58285")</f>
        <v>58285</v>
      </c>
      <c r="D30" s="23" t="str">
        <f t="shared" ref="D30:D31" si="29">HYPERLINK("http://www.marinespecies.org/aphia.php?p=taxdetails&amp;id=110019","110019")</f>
        <v>110019</v>
      </c>
      <c r="E30" s="22" t="s">
        <v>922</v>
      </c>
      <c r="F30" s="22" t="s">
        <v>922</v>
      </c>
      <c r="G30" s="22" t="s">
        <v>94</v>
      </c>
      <c r="H30" s="23" t="str">
        <f t="shared" ref="H30:H31" si="30">HYPERLINK("http://www.marinespecies.org/aphia.php?p=taxdetails&amp;id=110019","110019")</f>
        <v>110019</v>
      </c>
      <c r="I30" s="31" t="s">
        <v>1928</v>
      </c>
    </row>
    <row r="31">
      <c r="A31" s="22" t="s">
        <v>1946</v>
      </c>
      <c r="B31" s="22">
        <v>4.0</v>
      </c>
      <c r="C31" s="23" t="str">
        <f>HYPERLINK("http://ecotaxoserver.obs-vlfr.fr/browsetaxo/?id=92458","92458")</f>
        <v>92458</v>
      </c>
      <c r="D31" s="23" t="str">
        <f t="shared" si="29"/>
        <v>110019</v>
      </c>
      <c r="E31" s="22" t="s">
        <v>128</v>
      </c>
      <c r="F31" s="22" t="s">
        <v>922</v>
      </c>
      <c r="G31" s="24" t="s">
        <v>1927</v>
      </c>
      <c r="H31" s="23" t="str">
        <f t="shared" si="30"/>
        <v>110019</v>
      </c>
      <c r="I31" s="31" t="s">
        <v>1928</v>
      </c>
    </row>
    <row r="32">
      <c r="A32" s="22" t="s">
        <v>1807</v>
      </c>
      <c r="B32" s="22">
        <v>965.0</v>
      </c>
      <c r="C32" s="23" t="str">
        <f>HYPERLINK("http://ecotaxoserver.obs-vlfr.fr/browsetaxo/?id=13379","13379")</f>
        <v>13379</v>
      </c>
      <c r="D32" s="23" t="str">
        <f t="shared" ref="D32:D33" si="31">HYPERLINK("http://www.marinespecies.org/aphia.php?p=taxdetails&amp;id=235741","235741")</f>
        <v>235741</v>
      </c>
      <c r="E32" s="22" t="s">
        <v>575</v>
      </c>
      <c r="F32" s="22" t="s">
        <v>576</v>
      </c>
      <c r="G32" s="24" t="s">
        <v>1927</v>
      </c>
      <c r="H32" s="23" t="str">
        <f t="shared" ref="H32:H33" si="32">HYPERLINK("http://www.marinespecies.org/aphia.php?p=taxdetails&amp;id=235741","235741")</f>
        <v>235741</v>
      </c>
      <c r="I32" s="31" t="s">
        <v>1928</v>
      </c>
    </row>
    <row r="33">
      <c r="A33" s="22" t="s">
        <v>1807</v>
      </c>
      <c r="B33" s="22">
        <v>199.0</v>
      </c>
      <c r="C33" s="23" t="str">
        <f>HYPERLINK("http://ecotaxoserver.obs-vlfr.fr/browsetaxo/?id=17344","17344")</f>
        <v>17344</v>
      </c>
      <c r="D33" s="23" t="str">
        <f t="shared" si="31"/>
        <v>235741</v>
      </c>
      <c r="E33" s="22" t="s">
        <v>1807</v>
      </c>
      <c r="F33" s="22" t="s">
        <v>576</v>
      </c>
      <c r="G33" s="24" t="s">
        <v>1927</v>
      </c>
      <c r="H33" s="23" t="str">
        <f t="shared" si="32"/>
        <v>235741</v>
      </c>
      <c r="I33" s="31" t="s">
        <v>1928</v>
      </c>
    </row>
    <row r="34">
      <c r="A34" s="22" t="s">
        <v>1947</v>
      </c>
      <c r="B34" s="22">
        <v>1303.0</v>
      </c>
      <c r="C34" s="23" t="str">
        <f>HYPERLINK("http://ecotaxoserver.obs-vlfr.fr/browsetaxo/?id=14029","14029")</f>
        <v>14029</v>
      </c>
      <c r="D34" s="23" t="str">
        <f t="shared" ref="D34:D35" si="33">HYPERLINK("http://www.marinespecies.org/aphia.php?p=taxdetails&amp;id=109500","109500")</f>
        <v>109500</v>
      </c>
      <c r="E34" s="22" t="s">
        <v>1501</v>
      </c>
      <c r="F34" s="22" t="s">
        <v>1948</v>
      </c>
      <c r="G34" s="24" t="s">
        <v>1927</v>
      </c>
      <c r="H34" s="23" t="str">
        <f t="shared" ref="H34:H35" si="34">HYPERLINK("http://www.marinespecies.org/aphia.php?p=taxdetails&amp;id=109500","109500")</f>
        <v>109500</v>
      </c>
      <c r="I34" s="31" t="s">
        <v>1928</v>
      </c>
    </row>
    <row r="35">
      <c r="A35" s="22" t="s">
        <v>1947</v>
      </c>
      <c r="B35" s="22">
        <v>48396.0</v>
      </c>
      <c r="C35" s="23" t="str">
        <f>HYPERLINK("http://ecotaxoserver.obs-vlfr.fr/browsetaxo/?id=58408","58408")</f>
        <v>58408</v>
      </c>
      <c r="D35" s="23" t="str">
        <f t="shared" si="33"/>
        <v>109500</v>
      </c>
      <c r="E35" s="22" t="s">
        <v>1948</v>
      </c>
      <c r="F35" s="22" t="s">
        <v>1948</v>
      </c>
      <c r="H35" s="23" t="str">
        <f t="shared" si="34"/>
        <v>109500</v>
      </c>
      <c r="I35" s="31" t="s">
        <v>1928</v>
      </c>
    </row>
    <row r="36">
      <c r="A36" s="22" t="s">
        <v>1949</v>
      </c>
      <c r="B36" s="22">
        <v>408.0</v>
      </c>
      <c r="C36" s="23" t="str">
        <f>HYPERLINK("http://ecotaxoserver.obs-vlfr.fr/browsetaxo/?id=19326","19326")</f>
        <v>19326</v>
      </c>
      <c r="D36" s="23" t="str">
        <f t="shared" ref="D36:D37" si="35">HYPERLINK("http://www.marinespecies.org/aphia.php?p=taxdetails&amp;id=109921","109921")</f>
        <v>109921</v>
      </c>
      <c r="E36" s="22" t="s">
        <v>1947</v>
      </c>
      <c r="F36" s="22" t="s">
        <v>1947</v>
      </c>
      <c r="G36" s="24" t="s">
        <v>1927</v>
      </c>
      <c r="H36" s="23" t="str">
        <f t="shared" ref="H36:H37" si="36">HYPERLINK("http://www.marinespecies.org/aphia.php?p=taxdetails&amp;id=109921","109921")</f>
        <v>109921</v>
      </c>
      <c r="I36" s="31" t="s">
        <v>1928</v>
      </c>
    </row>
    <row r="37">
      <c r="A37" s="22" t="s">
        <v>1949</v>
      </c>
      <c r="B37" s="22">
        <v>12042.0</v>
      </c>
      <c r="C37" s="23" t="str">
        <f>HYPERLINK("http://ecotaxoserver.obs-vlfr.fr/browsetaxo/?id=78910","78910")</f>
        <v>78910</v>
      </c>
      <c r="D37" s="23" t="str">
        <f t="shared" si="35"/>
        <v>109921</v>
      </c>
      <c r="E37" s="22" t="s">
        <v>1947</v>
      </c>
      <c r="F37" s="22" t="s">
        <v>1947</v>
      </c>
      <c r="G37" s="22" t="s">
        <v>94</v>
      </c>
      <c r="H37" s="23" t="str">
        <f t="shared" si="36"/>
        <v>109921</v>
      </c>
      <c r="I37" s="31" t="s">
        <v>1928</v>
      </c>
    </row>
    <row r="38">
      <c r="A38" s="22" t="s">
        <v>1950</v>
      </c>
      <c r="B38" s="22">
        <v>274.0</v>
      </c>
      <c r="C38" s="23" t="str">
        <f>HYPERLINK("http://ecotaxoserver.obs-vlfr.fr/browsetaxo/?id=58202","58202")</f>
        <v>58202</v>
      </c>
      <c r="D38" s="23" t="str">
        <f t="shared" ref="D38:D39" si="37">HYPERLINK("http://www.marinespecies.org/aphia.php?p=taxdetails&amp;id=109693","109693")</f>
        <v>109693</v>
      </c>
      <c r="E38" s="22" t="s">
        <v>1331</v>
      </c>
      <c r="F38" s="22" t="s">
        <v>1331</v>
      </c>
      <c r="G38" s="22" t="s">
        <v>94</v>
      </c>
      <c r="H38" s="23" t="str">
        <f t="shared" ref="H38:H39" si="38">HYPERLINK("http://www.marinespecies.org/aphia.php?p=taxdetails&amp;id=109693","109693")</f>
        <v>109693</v>
      </c>
      <c r="I38" s="31" t="s">
        <v>1928</v>
      </c>
    </row>
    <row r="39">
      <c r="A39" s="22" t="s">
        <v>1950</v>
      </c>
      <c r="B39" s="22">
        <v>41.0</v>
      </c>
      <c r="C39" s="23" t="str">
        <f>HYPERLINK("http://ecotaxoserver.obs-vlfr.fr/browsetaxo/?id=78784","78784")</f>
        <v>78784</v>
      </c>
      <c r="D39" s="23" t="str">
        <f t="shared" si="37"/>
        <v>109693</v>
      </c>
      <c r="E39" s="22" t="s">
        <v>1951</v>
      </c>
      <c r="F39" s="22" t="s">
        <v>1331</v>
      </c>
      <c r="G39" s="24" t="s">
        <v>1927</v>
      </c>
      <c r="H39" s="23" t="str">
        <f t="shared" si="38"/>
        <v>109693</v>
      </c>
      <c r="I39" s="31" t="s">
        <v>1928</v>
      </c>
    </row>
    <row r="40">
      <c r="A40" s="22" t="s">
        <v>1952</v>
      </c>
      <c r="B40" s="22">
        <v>224.0</v>
      </c>
      <c r="C40" s="23" t="str">
        <f>HYPERLINK("http://ecotaxoserver.obs-vlfr.fr/browsetaxo/?id=58201","58201")</f>
        <v>58201</v>
      </c>
      <c r="D40" s="23" t="str">
        <f t="shared" ref="D40:D41" si="39">HYPERLINK("http://www.marinespecies.org/aphia.php?p=taxdetails&amp;id=109694","109694")</f>
        <v>109694</v>
      </c>
      <c r="E40" s="22" t="s">
        <v>1331</v>
      </c>
      <c r="F40" s="22" t="s">
        <v>1331</v>
      </c>
      <c r="G40" s="22" t="s">
        <v>94</v>
      </c>
      <c r="H40" s="23" t="str">
        <f t="shared" ref="H40:H41" si="40">HYPERLINK("http://www.marinespecies.org/aphia.php?p=taxdetails&amp;id=109694","109694")</f>
        <v>109694</v>
      </c>
      <c r="I40" s="31" t="s">
        <v>1928</v>
      </c>
    </row>
    <row r="41">
      <c r="A41" s="22" t="s">
        <v>1952</v>
      </c>
      <c r="B41" s="22">
        <v>50.0</v>
      </c>
      <c r="C41" s="23" t="str">
        <f>HYPERLINK("http://ecotaxoserver.obs-vlfr.fr/browsetaxo/?id=78782","78782")</f>
        <v>78782</v>
      </c>
      <c r="D41" s="23" t="str">
        <f t="shared" si="39"/>
        <v>109694</v>
      </c>
      <c r="E41" s="22" t="s">
        <v>1953</v>
      </c>
      <c r="F41" s="22" t="s">
        <v>1331</v>
      </c>
      <c r="G41" s="24" t="s">
        <v>1927</v>
      </c>
      <c r="H41" s="23" t="str">
        <f t="shared" si="40"/>
        <v>109694</v>
      </c>
      <c r="I41" s="31" t="s">
        <v>1928</v>
      </c>
    </row>
    <row r="42">
      <c r="A42" s="22" t="s">
        <v>1954</v>
      </c>
      <c r="B42" s="22">
        <v>187.0</v>
      </c>
      <c r="C42" s="23" t="str">
        <f>HYPERLINK("http://ecotaxoserver.obs-vlfr.fr/browsetaxo/?id=58207","58207")</f>
        <v>58207</v>
      </c>
      <c r="D42" s="23" t="str">
        <f t="shared" ref="D42:D43" si="41">HYPERLINK("http://www.marinespecies.org/aphia.php?p=taxdetails&amp;id=232492","232492")</f>
        <v>232492</v>
      </c>
      <c r="E42" s="22" t="s">
        <v>1409</v>
      </c>
      <c r="F42" s="22" t="s">
        <v>1409</v>
      </c>
      <c r="G42" s="22" t="s">
        <v>94</v>
      </c>
      <c r="H42" s="23" t="str">
        <f t="shared" ref="H42:H43" si="42">HYPERLINK("http://www.marinespecies.org/aphia.php?p=taxdetails&amp;id=232492","232492")</f>
        <v>232492</v>
      </c>
      <c r="I42" s="31" t="s">
        <v>1928</v>
      </c>
    </row>
    <row r="43">
      <c r="A43" s="22" t="s">
        <v>1954</v>
      </c>
      <c r="B43" s="22">
        <v>2.0</v>
      </c>
      <c r="C43" s="23" t="str">
        <f>HYPERLINK("http://ecotaxoserver.obs-vlfr.fr/browsetaxo/?id=78787","78787")</f>
        <v>78787</v>
      </c>
      <c r="D43" s="23" t="str">
        <f t="shared" si="41"/>
        <v>232492</v>
      </c>
      <c r="E43" s="22" t="s">
        <v>1955</v>
      </c>
      <c r="F43" s="22" t="s">
        <v>1409</v>
      </c>
      <c r="G43" s="24" t="s">
        <v>1927</v>
      </c>
      <c r="H43" s="23" t="str">
        <f t="shared" si="42"/>
        <v>232492</v>
      </c>
      <c r="I43" s="31" t="s">
        <v>1928</v>
      </c>
    </row>
    <row r="44">
      <c r="A44" s="25" t="s">
        <v>1452</v>
      </c>
      <c r="B44" s="25">
        <v>324.0</v>
      </c>
      <c r="C44" s="26" t="str">
        <f>HYPERLINK("http://ecotaxoserver.obs-vlfr.fr/browsetaxo/?id=18749","18749")</f>
        <v>18749</v>
      </c>
      <c r="D44" s="26" t="str">
        <f t="shared" ref="D44:D45" si="43">HYPERLINK("http://www.marinespecies.org/aphia.php?p=taxdetails&amp;id=109550","109550")</f>
        <v>109550</v>
      </c>
      <c r="E44" s="25" t="s">
        <v>351</v>
      </c>
      <c r="F44" s="25" t="s">
        <v>351</v>
      </c>
      <c r="G44" s="25" t="s">
        <v>94</v>
      </c>
      <c r="H44" s="26" t="str">
        <f t="shared" ref="H44:H45" si="44">HYPERLINK("http://www.marinespecies.org/aphia.php?p=taxdetails&amp;id=109550","109550")</f>
        <v>109550</v>
      </c>
      <c r="I44" s="10" t="s">
        <v>1956</v>
      </c>
    </row>
    <row r="45">
      <c r="A45" s="22" t="s">
        <v>1452</v>
      </c>
      <c r="B45" s="22">
        <v>1236.0</v>
      </c>
      <c r="C45" s="23" t="str">
        <f>HYPERLINK("http://ecotaxoserver.obs-vlfr.fr/browsetaxo/?id=58422","58422")</f>
        <v>58422</v>
      </c>
      <c r="D45" s="23" t="str">
        <f t="shared" si="43"/>
        <v>109550</v>
      </c>
      <c r="E45" s="22" t="s">
        <v>351</v>
      </c>
      <c r="F45" s="22" t="s">
        <v>351</v>
      </c>
      <c r="G45" s="22" t="s">
        <v>94</v>
      </c>
      <c r="H45" s="23" t="str">
        <f t="shared" si="44"/>
        <v>109550</v>
      </c>
      <c r="I45" s="10" t="s">
        <v>1956</v>
      </c>
    </row>
    <row r="46">
      <c r="A46" s="22" t="s">
        <v>1957</v>
      </c>
      <c r="B46" s="22">
        <v>10.0</v>
      </c>
      <c r="C46" s="23" t="str">
        <f>HYPERLINK("http://ecotaxoserver.obs-vlfr.fr/browsetaxo/?id=31888","31888")</f>
        <v>31888</v>
      </c>
      <c r="D46" s="23" t="str">
        <f t="shared" ref="D46:D47" si="45">HYPERLINK("http://www.marinespecies.org/aphia.php?p=taxdetails&amp;id=232248","232248")</f>
        <v>232248</v>
      </c>
      <c r="E46" s="22" t="s">
        <v>1958</v>
      </c>
      <c r="F46" s="22" t="s">
        <v>1958</v>
      </c>
      <c r="G46" s="22" t="s">
        <v>94</v>
      </c>
      <c r="H46" s="23" t="str">
        <f t="shared" ref="H46:H47" si="46">HYPERLINK("http://www.marinespecies.org/aphia.php?p=taxdetails&amp;id=232248","232248")</f>
        <v>232248</v>
      </c>
      <c r="I46" s="31" t="s">
        <v>1928</v>
      </c>
    </row>
    <row r="47">
      <c r="A47" s="22" t="s">
        <v>1957</v>
      </c>
      <c r="B47" s="22">
        <v>3.0</v>
      </c>
      <c r="C47" s="23" t="str">
        <f>HYPERLINK("http://ecotaxoserver.obs-vlfr.fr/browsetaxo/?id=79077","79077")</f>
        <v>79077</v>
      </c>
      <c r="D47" s="23" t="str">
        <f t="shared" si="45"/>
        <v>232248</v>
      </c>
      <c r="E47" s="22" t="s">
        <v>1959</v>
      </c>
      <c r="F47" s="22" t="s">
        <v>1958</v>
      </c>
      <c r="G47" s="24" t="s">
        <v>1927</v>
      </c>
      <c r="H47" s="23" t="str">
        <f t="shared" si="46"/>
        <v>232248</v>
      </c>
      <c r="I47" s="31" t="s">
        <v>1928</v>
      </c>
    </row>
    <row r="48">
      <c r="A48" s="22" t="s">
        <v>1508</v>
      </c>
      <c r="B48" s="22">
        <v>8.0</v>
      </c>
      <c r="C48" s="23" t="str">
        <f>HYPERLINK("http://ecotaxoserver.obs-vlfr.fr/browsetaxo/?id=30853","30853")</f>
        <v>30853</v>
      </c>
      <c r="D48" s="23" t="str">
        <f t="shared" ref="D48:D50" si="47">HYPERLINK("http://www.marinespecies.org/aphia.php?p=taxdetails&amp;id=109566","109566")</f>
        <v>109566</v>
      </c>
      <c r="E48" s="22" t="s">
        <v>1960</v>
      </c>
      <c r="F48" s="22" t="s">
        <v>1505</v>
      </c>
      <c r="G48" s="24" t="s">
        <v>1927</v>
      </c>
      <c r="H48" s="23" t="str">
        <f t="shared" ref="H48:H50" si="48">HYPERLINK("http://www.marinespecies.org/aphia.php?p=taxdetails&amp;id=109566","109566")</f>
        <v>109566</v>
      </c>
      <c r="I48" s="31" t="s">
        <v>1928</v>
      </c>
    </row>
    <row r="49">
      <c r="A49" s="22" t="s">
        <v>1508</v>
      </c>
      <c r="B49" s="22">
        <v>17.0</v>
      </c>
      <c r="C49" s="23" t="str">
        <f>HYPERLINK("http://ecotaxoserver.obs-vlfr.fr/browsetaxo/?id=31873","31873")</f>
        <v>31873</v>
      </c>
      <c r="D49" s="23" t="str">
        <f t="shared" si="47"/>
        <v>109566</v>
      </c>
      <c r="E49" s="22" t="s">
        <v>1505</v>
      </c>
      <c r="F49" s="22" t="s">
        <v>1505</v>
      </c>
      <c r="G49" s="22" t="s">
        <v>94</v>
      </c>
      <c r="H49" s="23" t="str">
        <f t="shared" si="48"/>
        <v>109566</v>
      </c>
      <c r="I49" s="31" t="s">
        <v>1928</v>
      </c>
    </row>
    <row r="50">
      <c r="A50" s="22" t="s">
        <v>1508</v>
      </c>
      <c r="B50" s="22">
        <v>11606.0</v>
      </c>
      <c r="C50" s="23" t="str">
        <f>HYPERLINK("http://ecotaxoserver.obs-vlfr.fr/browsetaxo/?id=58549","58549")</f>
        <v>58549</v>
      </c>
      <c r="D50" s="23" t="str">
        <f t="shared" si="47"/>
        <v>109566</v>
      </c>
      <c r="E50" s="22" t="s">
        <v>1508</v>
      </c>
      <c r="F50" s="22" t="s">
        <v>1505</v>
      </c>
      <c r="G50" s="24" t="s">
        <v>1927</v>
      </c>
      <c r="H50" s="23" t="str">
        <f t="shared" si="48"/>
        <v>109566</v>
      </c>
      <c r="I50" s="31" t="s">
        <v>1928</v>
      </c>
    </row>
    <row r="51">
      <c r="A51" s="22" t="s">
        <v>1961</v>
      </c>
      <c r="B51" s="22">
        <v>1.0</v>
      </c>
      <c r="C51" s="23" t="str">
        <f>HYPERLINK("http://ecotaxoserver.obs-vlfr.fr/browsetaxo/?id=79056","79056")</f>
        <v>79056</v>
      </c>
      <c r="D51" s="23" t="str">
        <f t="shared" ref="D51:D52" si="49">HYPERLINK("http://www.marinespecies.org/aphia.php?p=taxdetails&amp;id=110298","110298")</f>
        <v>110298</v>
      </c>
      <c r="E51" s="22" t="s">
        <v>1962</v>
      </c>
      <c r="F51" s="22" t="s">
        <v>1508</v>
      </c>
      <c r="G51" s="24" t="s">
        <v>1927</v>
      </c>
      <c r="H51" s="23" t="str">
        <f t="shared" ref="H51:H52" si="50">HYPERLINK("http://www.marinespecies.org/aphia.php?p=taxdetails&amp;id=110298","110298")</f>
        <v>110298</v>
      </c>
      <c r="I51" s="31" t="s">
        <v>1928</v>
      </c>
    </row>
    <row r="52">
      <c r="A52" s="22" t="s">
        <v>1961</v>
      </c>
      <c r="B52" s="22">
        <v>10.0</v>
      </c>
      <c r="C52" s="23" t="str">
        <f>HYPERLINK("http://ecotaxoserver.obs-vlfr.fr/browsetaxo/?id=79060","79060")</f>
        <v>79060</v>
      </c>
      <c r="D52" s="23" t="str">
        <f t="shared" si="49"/>
        <v>110298</v>
      </c>
      <c r="E52" s="22" t="s">
        <v>1508</v>
      </c>
      <c r="F52" s="22" t="s">
        <v>1508</v>
      </c>
      <c r="G52" s="22" t="s">
        <v>94</v>
      </c>
      <c r="H52" s="23" t="str">
        <f t="shared" si="50"/>
        <v>110298</v>
      </c>
      <c r="I52" s="31" t="s">
        <v>1928</v>
      </c>
    </row>
    <row r="53">
      <c r="A53" s="22" t="s">
        <v>1963</v>
      </c>
      <c r="B53" s="22">
        <v>3366.0</v>
      </c>
      <c r="C53" s="23" t="str">
        <f>HYPERLINK("http://ecotaxoserver.obs-vlfr.fr/browsetaxo/?id=31219","31219")</f>
        <v>31219</v>
      </c>
      <c r="D53" s="23" t="str">
        <f t="shared" ref="D53:D54" si="51">HYPERLINK("http://www.marinespecies.org/aphia.php?p=taxdetails&amp;id=183566","183566")</f>
        <v>183566</v>
      </c>
      <c r="E53" s="22" t="s">
        <v>209</v>
      </c>
      <c r="F53" s="22" t="s">
        <v>210</v>
      </c>
      <c r="G53" s="24" t="s">
        <v>1927</v>
      </c>
      <c r="H53" s="23" t="str">
        <f t="shared" ref="H53:H54" si="52">HYPERLINK("http://www.marinespecies.org/aphia.php?p=taxdetails&amp;id=183566","183566")</f>
        <v>183566</v>
      </c>
      <c r="I53" s="31" t="s">
        <v>1928</v>
      </c>
    </row>
    <row r="54">
      <c r="A54" s="22" t="s">
        <v>1963</v>
      </c>
      <c r="B54" s="22">
        <v>54.0</v>
      </c>
      <c r="C54" s="23" t="str">
        <f>HYPERLINK("http://ecotaxoserver.obs-vlfr.fr/browsetaxo/?id=57466","57466")</f>
        <v>57466</v>
      </c>
      <c r="D54" s="23" t="str">
        <f t="shared" si="51"/>
        <v>183566</v>
      </c>
      <c r="E54" s="22" t="s">
        <v>1963</v>
      </c>
      <c r="F54" s="22" t="s">
        <v>210</v>
      </c>
      <c r="G54" s="24" t="s">
        <v>1927</v>
      </c>
      <c r="H54" s="23" t="str">
        <f t="shared" si="52"/>
        <v>183566</v>
      </c>
      <c r="I54" s="31" t="s">
        <v>1928</v>
      </c>
    </row>
    <row r="55">
      <c r="A55" s="22" t="s">
        <v>1964</v>
      </c>
      <c r="B55" s="22">
        <v>2.0</v>
      </c>
      <c r="C55" s="23" t="str">
        <f>HYPERLINK("http://ecotaxoserver.obs-vlfr.fr/browsetaxo/?id=58427","58427")</f>
        <v>58427</v>
      </c>
      <c r="D55" s="23" t="str">
        <f t="shared" ref="D55:D56" si="53">HYPERLINK("http://www.marinespecies.org/aphia.php?p=taxdetails&amp;id=109545","109545")</f>
        <v>109545</v>
      </c>
      <c r="E55" s="22" t="s">
        <v>1398</v>
      </c>
      <c r="F55" s="22" t="s">
        <v>796</v>
      </c>
      <c r="G55" s="24" t="s">
        <v>1927</v>
      </c>
      <c r="H55" s="23" t="str">
        <f t="shared" ref="H55:H56" si="54">HYPERLINK("http://www.marinespecies.org/aphia.php?p=taxdetails&amp;id=109545","109545")</f>
        <v>109545</v>
      </c>
      <c r="I55" s="31" t="s">
        <v>1928</v>
      </c>
    </row>
    <row r="56">
      <c r="A56" s="22" t="s">
        <v>1964</v>
      </c>
      <c r="B56" s="22">
        <v>4511.0</v>
      </c>
      <c r="C56" s="23" t="str">
        <f>HYPERLINK("http://ecotaxoserver.obs-vlfr.fr/browsetaxo/?id=58455","58455")</f>
        <v>58455</v>
      </c>
      <c r="D56" s="23" t="str">
        <f t="shared" si="53"/>
        <v>109545</v>
      </c>
      <c r="E56" s="22" t="s">
        <v>1398</v>
      </c>
      <c r="F56" s="22" t="s">
        <v>796</v>
      </c>
      <c r="G56" s="24" t="s">
        <v>1927</v>
      </c>
      <c r="H56" s="23" t="str">
        <f t="shared" si="54"/>
        <v>109545</v>
      </c>
      <c r="I56" s="31" t="s">
        <v>1928</v>
      </c>
    </row>
    <row r="57">
      <c r="A57" s="22" t="s">
        <v>1668</v>
      </c>
      <c r="B57" s="22">
        <v>1.0</v>
      </c>
      <c r="C57" s="23" t="str">
        <f>HYPERLINK("http://ecotaxoserver.obs-vlfr.fr/browsetaxo/?id=25916","25916")</f>
        <v>25916</v>
      </c>
      <c r="D57" s="23" t="str">
        <f t="shared" ref="D57:D58" si="55">HYPERLINK("http://www.marinespecies.org/aphia.php?p=taxdetails&amp;id=105411","105411")</f>
        <v>105411</v>
      </c>
      <c r="E57" s="22" t="s">
        <v>1965</v>
      </c>
      <c r="F57" s="22" t="s">
        <v>863</v>
      </c>
      <c r="G57" s="24" t="s">
        <v>1927</v>
      </c>
      <c r="H57" s="23" t="str">
        <f t="shared" ref="H57:H58" si="56">HYPERLINK("http://www.marinespecies.org/aphia.php?p=taxdetails&amp;id=105411","105411")</f>
        <v>105411</v>
      </c>
      <c r="I57" s="31" t="s">
        <v>1928</v>
      </c>
    </row>
    <row r="58">
      <c r="A58" s="22" t="s">
        <v>1668</v>
      </c>
      <c r="B58" s="22">
        <v>177.0</v>
      </c>
      <c r="C58" s="23" t="str">
        <f>HYPERLINK("http://ecotaxoserver.obs-vlfr.fr/browsetaxo/?id=92115","92115")</f>
        <v>92115</v>
      </c>
      <c r="D58" s="23" t="str">
        <f t="shared" si="55"/>
        <v>105411</v>
      </c>
      <c r="E58" s="22" t="s">
        <v>863</v>
      </c>
      <c r="F58" s="22" t="s">
        <v>863</v>
      </c>
      <c r="G58" s="22" t="s">
        <v>94</v>
      </c>
      <c r="H58" s="23" t="str">
        <f t="shared" si="56"/>
        <v>105411</v>
      </c>
      <c r="I58" s="31" t="s">
        <v>1928</v>
      </c>
    </row>
    <row r="59">
      <c r="A59" s="22" t="s">
        <v>1966</v>
      </c>
      <c r="B59" s="22">
        <v>4.0</v>
      </c>
      <c r="C59" s="23" t="str">
        <f>HYPERLINK("http://ecotaxoserver.obs-vlfr.fr/browsetaxo/?id=18953","18953")</f>
        <v>18953</v>
      </c>
      <c r="D59" s="23" t="str">
        <f t="shared" ref="D59:D60" si="57">HYPERLINK("http://www.marinespecies.org/aphia.php?p=taxdetails&amp;id=109572","109572")</f>
        <v>109572</v>
      </c>
      <c r="E59" s="22" t="s">
        <v>1967</v>
      </c>
      <c r="F59" s="22" t="s">
        <v>1967</v>
      </c>
      <c r="G59" s="22" t="s">
        <v>94</v>
      </c>
      <c r="H59" s="23" t="str">
        <f t="shared" ref="H59:H60" si="58">HYPERLINK("http://www.marinespecies.org/aphia.php?p=taxdetails&amp;id=109572","109572")</f>
        <v>109572</v>
      </c>
      <c r="I59" s="10" t="s">
        <v>1956</v>
      </c>
    </row>
    <row r="60" ht="15.75" customHeight="1">
      <c r="A60" s="25" t="s">
        <v>1966</v>
      </c>
      <c r="B60" s="25">
        <v>1.0</v>
      </c>
      <c r="C60" s="26" t="str">
        <f>HYPERLINK("http://ecotaxoserver.obs-vlfr.fr/browsetaxo/?id=58556","58556")</f>
        <v>58556</v>
      </c>
      <c r="D60" s="26" t="str">
        <f t="shared" si="57"/>
        <v>109572</v>
      </c>
      <c r="E60" s="25" t="s">
        <v>1967</v>
      </c>
      <c r="F60" s="25" t="s">
        <v>1967</v>
      </c>
      <c r="G60" s="25" t="s">
        <v>94</v>
      </c>
      <c r="H60" s="26" t="str">
        <f t="shared" si="58"/>
        <v>109572</v>
      </c>
      <c r="I60" s="10" t="s">
        <v>1968</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0"/>
    <col customWidth="1" min="2" max="2" width="7.57"/>
    <col customWidth="1" min="5" max="5" width="25.29"/>
    <col customWidth="1" min="6" max="6" width="26.57"/>
    <col customWidth="1" min="9" max="9" width="40.86"/>
  </cols>
  <sheetData>
    <row r="1">
      <c r="A1" s="20" t="s">
        <v>78</v>
      </c>
      <c r="B1" s="20" t="s">
        <v>79</v>
      </c>
      <c r="C1" s="20" t="s">
        <v>80</v>
      </c>
      <c r="D1" s="20" t="s">
        <v>81</v>
      </c>
      <c r="E1" s="20" t="s">
        <v>82</v>
      </c>
      <c r="F1" s="20" t="s">
        <v>83</v>
      </c>
      <c r="G1" s="21" t="s">
        <v>84</v>
      </c>
      <c r="H1" s="20" t="s">
        <v>85</v>
      </c>
      <c r="I1" s="29" t="s">
        <v>86</v>
      </c>
    </row>
    <row r="2">
      <c r="A2" s="22" t="s">
        <v>131</v>
      </c>
      <c r="B2" s="22">
        <v>1.0</v>
      </c>
      <c r="C2" s="23" t="str">
        <f t="shared" ref="C2:C3" si="1">HYPERLINK("http://ecotaxoserver.obs-vlfr.fr/browsetaxo/?id=92216","92216")</f>
        <v>92216</v>
      </c>
      <c r="D2" s="23" t="str">
        <f>HYPERLINK("http://www.marinespecies.org/aphia.php?p=taxdetails&amp;id=148944","148944")</f>
        <v>148944</v>
      </c>
      <c r="E2" s="22" t="s">
        <v>304</v>
      </c>
      <c r="F2" s="22" t="s">
        <v>305</v>
      </c>
      <c r="G2" s="22" t="s">
        <v>94</v>
      </c>
      <c r="H2" s="23" t="str">
        <f>HYPERLINK("http://www.marinespecies.org/aphia.php?p=taxdetails&amp;id=148944","148944")</f>
        <v>148944</v>
      </c>
      <c r="I2" s="10" t="s">
        <v>1969</v>
      </c>
    </row>
    <row r="3">
      <c r="A3" s="22" t="s">
        <v>131</v>
      </c>
      <c r="B3" s="22">
        <v>1.0</v>
      </c>
      <c r="C3" s="23" t="str">
        <f t="shared" si="1"/>
        <v>92216</v>
      </c>
      <c r="D3" s="23" t="str">
        <f>HYPERLINK("http://www.marinespecies.org/aphia.php?p=taxdetails&amp;id=196347","196347")</f>
        <v>196347</v>
      </c>
      <c r="E3" s="22" t="s">
        <v>304</v>
      </c>
      <c r="F3" s="22" t="s">
        <v>1970</v>
      </c>
      <c r="G3" s="22" t="s">
        <v>94</v>
      </c>
      <c r="I3" s="10" t="s">
        <v>1969</v>
      </c>
    </row>
    <row r="4">
      <c r="A4" s="22" t="s">
        <v>880</v>
      </c>
      <c r="B4" s="22">
        <v>129014.0</v>
      </c>
      <c r="C4" s="23" t="str">
        <f t="shared" ref="C4:C5" si="2">HYPERLINK("http://ecotaxoserver.obs-vlfr.fr/browsetaxo/?id=85123","85123")</f>
        <v>85123</v>
      </c>
      <c r="D4" s="23" t="str">
        <f>HYPERLINK("http://www.marinespecies.org/aphia.php?p=taxdetails&amp;id=103357","103357")</f>
        <v>103357</v>
      </c>
      <c r="E4" s="22" t="s">
        <v>254</v>
      </c>
      <c r="F4" s="22" t="s">
        <v>1971</v>
      </c>
      <c r="G4" s="22" t="s">
        <v>94</v>
      </c>
      <c r="I4" s="10" t="s">
        <v>91</v>
      </c>
    </row>
    <row r="5">
      <c r="A5" s="22" t="s">
        <v>880</v>
      </c>
      <c r="B5" s="22">
        <v>129014.0</v>
      </c>
      <c r="C5" s="23" t="str">
        <f t="shared" si="2"/>
        <v>85123</v>
      </c>
      <c r="D5" s="23" t="str">
        <f>HYPERLINK("http://www.marinespecies.org/aphia.php?p=taxdetails&amp;id=146421","146421")</f>
        <v>146421</v>
      </c>
      <c r="E5" s="22" t="s">
        <v>254</v>
      </c>
      <c r="F5" s="22" t="s">
        <v>254</v>
      </c>
      <c r="G5" s="22" t="s">
        <v>94</v>
      </c>
      <c r="H5" s="23" t="str">
        <f>HYPERLINK("http://www.marinespecies.org/aphia.php?p=taxdetails&amp;id=146421","146421")</f>
        <v>146421</v>
      </c>
      <c r="I5" s="10" t="s">
        <v>91</v>
      </c>
    </row>
    <row r="6">
      <c r="A6" s="22" t="s">
        <v>1972</v>
      </c>
      <c r="B6" s="22">
        <v>16.0</v>
      </c>
      <c r="C6" s="23" t="str">
        <f t="shared" ref="C6:C7" si="3">HYPERLINK("http://ecotaxoserver.obs-vlfr.fr/browsetaxo/?id=52296","52296")</f>
        <v>52296</v>
      </c>
      <c r="D6" s="23" t="str">
        <f>HYPERLINK("http://www.marinespecies.org/aphia.php?p=taxdetails&amp;id=137676","137676")</f>
        <v>137676</v>
      </c>
      <c r="E6" s="22" t="s">
        <v>89</v>
      </c>
      <c r="F6" s="22" t="s">
        <v>1973</v>
      </c>
      <c r="G6" s="22" t="s">
        <v>94</v>
      </c>
      <c r="H6" s="23" t="str">
        <f>HYPERLINK("http://www.marinespecies.org/aphia.php?p=taxdetails&amp;id=137676","137676")</f>
        <v>137676</v>
      </c>
      <c r="I6" s="10" t="s">
        <v>1974</v>
      </c>
    </row>
    <row r="7">
      <c r="A7" s="22" t="s">
        <v>1972</v>
      </c>
      <c r="B7" s="22">
        <v>16.0</v>
      </c>
      <c r="C7" s="23" t="str">
        <f t="shared" si="3"/>
        <v>52296</v>
      </c>
      <c r="D7" s="23" t="str">
        <f>HYPERLINK("http://www.marinespecies.org/aphia.php?p=taxdetails&amp;id=602335","602335")</f>
        <v>602335</v>
      </c>
      <c r="E7" s="22" t="s">
        <v>89</v>
      </c>
      <c r="F7" s="22" t="s">
        <v>315</v>
      </c>
      <c r="G7" s="22" t="s">
        <v>94</v>
      </c>
      <c r="I7" s="10" t="s">
        <v>1974</v>
      </c>
    </row>
    <row r="8">
      <c r="A8" s="22" t="s">
        <v>1975</v>
      </c>
      <c r="B8" s="22">
        <v>9.0</v>
      </c>
      <c r="C8" s="23" t="str">
        <f t="shared" ref="C8:C9" si="4">HYPERLINK("http://ecotaxoserver.obs-vlfr.fr/browsetaxo/?id=81820","81820")</f>
        <v>81820</v>
      </c>
      <c r="D8" s="23" t="str">
        <f>HYPERLINK("http://www.marinespecies.org/aphia.php?p=taxdetails&amp;id=135362","135362")</f>
        <v>135362</v>
      </c>
      <c r="E8" s="22" t="s">
        <v>495</v>
      </c>
      <c r="F8" s="22" t="s">
        <v>496</v>
      </c>
      <c r="G8" s="22" t="s">
        <v>94</v>
      </c>
      <c r="H8" s="23" t="str">
        <f>HYPERLINK("http://www.marinespecies.org/aphia.php?p=taxdetails&amp;id=135362","135362")</f>
        <v>135362</v>
      </c>
      <c r="I8" s="10" t="s">
        <v>1976</v>
      </c>
    </row>
    <row r="9">
      <c r="A9" s="22" t="s">
        <v>1975</v>
      </c>
      <c r="B9" s="22">
        <v>9.0</v>
      </c>
      <c r="C9" s="23" t="str">
        <f t="shared" si="4"/>
        <v>81820</v>
      </c>
      <c r="D9" s="23" t="str">
        <f>HYPERLINK("http://www.marinespecies.org/aphia.php?p=taxdetails&amp;id=601567","601567")</f>
        <v>601567</v>
      </c>
      <c r="E9" s="22" t="s">
        <v>495</v>
      </c>
      <c r="F9" s="22" t="s">
        <v>1977</v>
      </c>
      <c r="G9" s="22" t="s">
        <v>94</v>
      </c>
      <c r="I9" s="10" t="s">
        <v>1976</v>
      </c>
    </row>
    <row r="10">
      <c r="A10" s="22" t="s">
        <v>1978</v>
      </c>
      <c r="B10" s="22">
        <v>1.0</v>
      </c>
      <c r="C10" s="23" t="str">
        <f t="shared" ref="C10:C11" si="5">HYPERLINK("http://ecotaxoserver.obs-vlfr.fr/browsetaxo/?id=48306","48306")</f>
        <v>48306</v>
      </c>
      <c r="D10" s="23" t="str">
        <f>HYPERLINK("http://www.marinespecies.org/aphia.php?p=taxdetails&amp;id=235815","235815")</f>
        <v>235815</v>
      </c>
      <c r="E10" s="22" t="s">
        <v>499</v>
      </c>
      <c r="F10" s="22" t="s">
        <v>1979</v>
      </c>
      <c r="G10" s="22" t="s">
        <v>94</v>
      </c>
      <c r="H10" s="23" t="str">
        <f>HYPERLINK("http://www.marinespecies.org/aphia.php?p=taxdetails&amp;id=235815","235815")</f>
        <v>235815</v>
      </c>
      <c r="I10" s="10" t="s">
        <v>1980</v>
      </c>
    </row>
    <row r="11">
      <c r="A11" s="22" t="s">
        <v>1978</v>
      </c>
      <c r="B11" s="22">
        <v>1.0</v>
      </c>
      <c r="C11" s="23" t="str">
        <f t="shared" si="5"/>
        <v>48306</v>
      </c>
      <c r="D11" s="23" t="str">
        <f>HYPERLINK("http://www.marinespecies.org/aphia.php?p=taxdetails&amp;id=291403","291403")</f>
        <v>291403</v>
      </c>
      <c r="E11" s="22" t="s">
        <v>499</v>
      </c>
      <c r="F11" s="22" t="s">
        <v>1981</v>
      </c>
      <c r="G11" s="22" t="s">
        <v>94</v>
      </c>
      <c r="I11" s="10" t="s">
        <v>1980</v>
      </c>
    </row>
    <row r="12">
      <c r="A12" s="22" t="s">
        <v>822</v>
      </c>
      <c r="B12" s="22">
        <v>2776.0</v>
      </c>
      <c r="C12" s="23" t="str">
        <f t="shared" ref="C12:C13" si="6">HYPERLINK("http://ecotaxoserver.obs-vlfr.fr/browsetaxo/?id=2381","2381")</f>
        <v>2381</v>
      </c>
      <c r="D12" s="23" t="str">
        <f>HYPERLINK("http://www.marinespecies.org/aphia.php?p=taxdetails&amp;id=536202","536202")</f>
        <v>536202</v>
      </c>
      <c r="E12" s="22" t="s">
        <v>1982</v>
      </c>
      <c r="F12" s="22" t="s">
        <v>822</v>
      </c>
      <c r="G12" s="22" t="s">
        <v>94</v>
      </c>
      <c r="H12" s="23" t="str">
        <f>HYPERLINK("http://www.marinespecies.org/aphia.php?p=taxdetails&amp;id=536202","536202")</f>
        <v>536202</v>
      </c>
      <c r="I12" s="31" t="s">
        <v>1983</v>
      </c>
    </row>
    <row r="13">
      <c r="A13" s="22" t="s">
        <v>822</v>
      </c>
      <c r="B13" s="22">
        <v>2776.0</v>
      </c>
      <c r="C13" s="23" t="str">
        <f t="shared" si="6"/>
        <v>2381</v>
      </c>
      <c r="D13" s="23" t="str">
        <f>HYPERLINK("http://www.marinespecies.org/aphia.php?p=taxdetails&amp;id=582161","582161")</f>
        <v>582161</v>
      </c>
      <c r="E13" s="22" t="s">
        <v>1982</v>
      </c>
      <c r="F13" s="22" t="s">
        <v>1984</v>
      </c>
      <c r="G13" s="22" t="s">
        <v>94</v>
      </c>
      <c r="I13" s="31" t="s">
        <v>1985</v>
      </c>
    </row>
    <row r="14">
      <c r="A14" s="22" t="s">
        <v>1986</v>
      </c>
      <c r="B14" s="22">
        <v>12613.0</v>
      </c>
      <c r="C14" s="23" t="str">
        <f t="shared" ref="C14:C15" si="7">HYPERLINK("http://ecotaxoserver.obs-vlfr.fr/browsetaxo/?id=31200","31200")</f>
        <v>31200</v>
      </c>
      <c r="D14" s="23" t="str">
        <f>HYPERLINK("http://www.marinespecies.org/aphia.php?p=taxdetails&amp;id=172431","172431")</f>
        <v>172431</v>
      </c>
      <c r="E14" s="22" t="s">
        <v>1987</v>
      </c>
      <c r="F14" s="22" t="s">
        <v>1987</v>
      </c>
      <c r="G14" s="22" t="s">
        <v>94</v>
      </c>
      <c r="H14" s="23" t="str">
        <f>HYPERLINK("http://www.marinespecies.org/aphia.php?p=taxdetails&amp;id=172431","172431")</f>
        <v>172431</v>
      </c>
      <c r="I14" s="10" t="s">
        <v>1988</v>
      </c>
    </row>
    <row r="15">
      <c r="A15" s="22" t="s">
        <v>1986</v>
      </c>
      <c r="B15" s="22">
        <v>12613.0</v>
      </c>
      <c r="C15" s="23" t="str">
        <f t="shared" si="7"/>
        <v>31200</v>
      </c>
      <c r="D15" s="23" t="str">
        <f>HYPERLINK("http://www.marinespecies.org/aphia.php?p=taxdetails&amp;id=581996","581996")</f>
        <v>581996</v>
      </c>
      <c r="E15" s="22" t="s">
        <v>1987</v>
      </c>
      <c r="F15" s="22" t="s">
        <v>1989</v>
      </c>
      <c r="G15" s="22" t="s">
        <v>94</v>
      </c>
      <c r="I15" s="10" t="s">
        <v>1988</v>
      </c>
    </row>
    <row r="16">
      <c r="A16" s="22" t="s">
        <v>665</v>
      </c>
      <c r="B16" s="22">
        <v>36.0</v>
      </c>
      <c r="C16" s="23" t="str">
        <f t="shared" ref="C16:C17" si="8">HYPERLINK("http://ecotaxoserver.obs-vlfr.fr/browsetaxo/?id=92903","92903")</f>
        <v>92903</v>
      </c>
      <c r="D16" s="23" t="str">
        <f>HYPERLINK("http://www.marinespecies.org/aphia.php?p=taxdetails&amp;id=125601","125601")</f>
        <v>125601</v>
      </c>
      <c r="E16" s="22" t="s">
        <v>132</v>
      </c>
      <c r="F16" s="22" t="s">
        <v>1742</v>
      </c>
      <c r="G16" s="22" t="s">
        <v>94</v>
      </c>
      <c r="H16" s="23" t="str">
        <f>HYPERLINK("http://www.marinespecies.org/aphia.php?p=taxdetails&amp;id=125601","125601")</f>
        <v>125601</v>
      </c>
      <c r="I16" s="10" t="s">
        <v>1990</v>
      </c>
    </row>
    <row r="17">
      <c r="A17" s="22" t="s">
        <v>665</v>
      </c>
      <c r="B17" s="22">
        <v>36.0</v>
      </c>
      <c r="C17" s="23" t="str">
        <f t="shared" si="8"/>
        <v>92903</v>
      </c>
      <c r="D17" s="23" t="str">
        <f>HYPERLINK("http://www.marinespecies.org/aphia.php?p=taxdetails&amp;id=863613","863613")</f>
        <v>863613</v>
      </c>
      <c r="E17" s="22" t="s">
        <v>132</v>
      </c>
      <c r="F17" s="22" t="s">
        <v>1991</v>
      </c>
      <c r="G17" s="22" t="s">
        <v>94</v>
      </c>
      <c r="I17" s="10" t="s">
        <v>1990</v>
      </c>
    </row>
    <row r="18">
      <c r="A18" s="22" t="s">
        <v>1268</v>
      </c>
      <c r="B18" s="22">
        <v>3410.0</v>
      </c>
      <c r="C18" s="23" t="str">
        <f t="shared" ref="C18:C19" si="9">HYPERLINK("http://ecotaxoserver.obs-vlfr.fr/browsetaxo/?id=28152","28152")</f>
        <v>28152</v>
      </c>
      <c r="D18" s="23" t="str">
        <f>HYPERLINK("http://www.marinespecies.org/aphia.php?p=taxdetails&amp;id=119270","119270")</f>
        <v>119270</v>
      </c>
      <c r="E18" s="22" t="s">
        <v>119</v>
      </c>
      <c r="F18" s="22" t="s">
        <v>1992</v>
      </c>
      <c r="G18" s="22" t="s">
        <v>94</v>
      </c>
      <c r="H18" s="23" t="str">
        <f>HYPERLINK("http://www.marinespecies.org/aphia.php?p=taxdetails&amp;id=119270","119270")</f>
        <v>119270</v>
      </c>
      <c r="I18" s="10" t="s">
        <v>1993</v>
      </c>
    </row>
    <row r="19">
      <c r="A19" s="22" t="s">
        <v>1268</v>
      </c>
      <c r="B19" s="22">
        <v>3410.0</v>
      </c>
      <c r="C19" s="23" t="str">
        <f t="shared" si="9"/>
        <v>28152</v>
      </c>
      <c r="D19" s="23" t="str">
        <f>HYPERLINK("http://www.marinespecies.org/aphia.php?p=taxdetails&amp;id=149045","149045")</f>
        <v>149045</v>
      </c>
      <c r="E19" s="22" t="s">
        <v>119</v>
      </c>
      <c r="F19" s="22" t="s">
        <v>307</v>
      </c>
      <c r="G19" s="22" t="s">
        <v>94</v>
      </c>
      <c r="I19" s="10" t="s">
        <v>1993</v>
      </c>
    </row>
    <row r="20">
      <c r="A20" s="22" t="s">
        <v>1994</v>
      </c>
      <c r="B20" s="22">
        <v>75.0</v>
      </c>
      <c r="C20" s="23" t="str">
        <f t="shared" ref="C20:C21" si="10">HYPERLINK("http://ecotaxoserver.obs-vlfr.fr/browsetaxo/?id=51733","51733")</f>
        <v>51733</v>
      </c>
      <c r="D20" s="23" t="str">
        <f>HYPERLINK("http://www.marinespecies.org/aphia.php?p=taxdetails&amp;id=123626","123626")</f>
        <v>123626</v>
      </c>
      <c r="E20" s="22" t="s">
        <v>1995</v>
      </c>
      <c r="F20" s="22" t="s">
        <v>1995</v>
      </c>
      <c r="G20" s="22" t="s">
        <v>94</v>
      </c>
      <c r="H20" s="23" t="str">
        <f>HYPERLINK("http://www.marinespecies.org/aphia.php?p=taxdetails&amp;id=123626","123626")</f>
        <v>123626</v>
      </c>
      <c r="I20" s="10" t="s">
        <v>91</v>
      </c>
    </row>
    <row r="21">
      <c r="A21" s="22" t="s">
        <v>1994</v>
      </c>
      <c r="B21" s="22">
        <v>75.0</v>
      </c>
      <c r="C21" s="23" t="str">
        <f t="shared" si="10"/>
        <v>51733</v>
      </c>
      <c r="D21" s="23" t="str">
        <f>HYPERLINK("http://www.marinespecies.org/aphia.php?p=taxdetails&amp;id=603257","603257")</f>
        <v>603257</v>
      </c>
      <c r="E21" s="22" t="s">
        <v>1995</v>
      </c>
      <c r="F21" s="22" t="s">
        <v>1996</v>
      </c>
      <c r="G21" s="22" t="s">
        <v>94</v>
      </c>
      <c r="I21" s="10" t="s">
        <v>91</v>
      </c>
    </row>
    <row r="22">
      <c r="A22" s="22" t="s">
        <v>1626</v>
      </c>
      <c r="B22" s="22">
        <v>2896.0</v>
      </c>
      <c r="C22" s="23" t="str">
        <f t="shared" ref="C22:C23" si="11">HYPERLINK("http://ecotaxoserver.obs-vlfr.fr/browsetaxo/?id=51237","51237")</f>
        <v>51237</v>
      </c>
      <c r="D22" s="23" t="str">
        <f>HYPERLINK("http://www.marinespecies.org/aphia.php?p=taxdetails&amp;id=137233","137233")</f>
        <v>137233</v>
      </c>
      <c r="E22" s="22" t="s">
        <v>660</v>
      </c>
      <c r="F22" s="22" t="s">
        <v>1029</v>
      </c>
      <c r="G22" s="22" t="s">
        <v>94</v>
      </c>
      <c r="H22" s="23" t="str">
        <f>HYPERLINK("http://www.marinespecies.org/aphia.php?p=taxdetails&amp;id=137233","137233")</f>
        <v>137233</v>
      </c>
      <c r="I22" s="10" t="s">
        <v>1997</v>
      </c>
    </row>
    <row r="23">
      <c r="A23" s="22" t="s">
        <v>1626</v>
      </c>
      <c r="B23" s="22">
        <v>2896.0</v>
      </c>
      <c r="C23" s="23" t="str">
        <f t="shared" si="11"/>
        <v>51237</v>
      </c>
      <c r="D23" s="23" t="str">
        <f>HYPERLINK("http://www.marinespecies.org/aphia.php?p=taxdetails&amp;id=602637","602637")</f>
        <v>602637</v>
      </c>
      <c r="E23" s="22" t="s">
        <v>660</v>
      </c>
      <c r="F23" s="22" t="s">
        <v>315</v>
      </c>
      <c r="G23" s="22" t="s">
        <v>94</v>
      </c>
      <c r="I23" s="10" t="s">
        <v>1997</v>
      </c>
    </row>
    <row r="24">
      <c r="A24" s="22" t="s">
        <v>1998</v>
      </c>
      <c r="B24" s="22">
        <v>2.0</v>
      </c>
      <c r="C24" s="23" t="str">
        <f t="shared" ref="C24:C25" si="12">HYPERLINK("http://ecotaxoserver.obs-vlfr.fr/browsetaxo/?id=92611","92611")</f>
        <v>92611</v>
      </c>
      <c r="D24" s="23" t="str">
        <f>HYPERLINK("http://www.marinespecies.org/aphia.php?p=taxdetails&amp;id=841260","841260")</f>
        <v>841260</v>
      </c>
      <c r="E24" s="22" t="s">
        <v>128</v>
      </c>
      <c r="F24" s="22" t="s">
        <v>1849</v>
      </c>
      <c r="G24" s="22" t="s">
        <v>94</v>
      </c>
      <c r="H24" s="23" t="str">
        <f>HYPERLINK("http://www.marinespecies.org/aphia.php?p=taxdetails&amp;id=841260","841260")</f>
        <v>841260</v>
      </c>
      <c r="I24" s="10" t="s">
        <v>1999</v>
      </c>
    </row>
    <row r="25">
      <c r="A25" s="22" t="s">
        <v>1998</v>
      </c>
      <c r="B25" s="22">
        <v>2.0</v>
      </c>
      <c r="C25" s="23" t="str">
        <f t="shared" si="12"/>
        <v>92611</v>
      </c>
      <c r="D25" s="23" t="str">
        <f>HYPERLINK("http://www.marinespecies.org/aphia.php?p=taxdetails&amp;id=1391716","1391716")</f>
        <v>1391716</v>
      </c>
      <c r="E25" s="22" t="s">
        <v>128</v>
      </c>
      <c r="F25" s="22" t="s">
        <v>1849</v>
      </c>
      <c r="G25" s="22" t="s">
        <v>94</v>
      </c>
      <c r="I25" s="31" t="s">
        <v>2000</v>
      </c>
    </row>
    <row r="26">
      <c r="I26" s="5"/>
    </row>
    <row r="27">
      <c r="I27" s="5"/>
    </row>
    <row r="28">
      <c r="I28" s="5"/>
    </row>
    <row r="29">
      <c r="I29" s="5"/>
    </row>
    <row r="30">
      <c r="I30" s="5"/>
    </row>
    <row r="31">
      <c r="I31" s="5"/>
    </row>
    <row r="32">
      <c r="I32" s="5"/>
    </row>
    <row r="33">
      <c r="I33" s="5"/>
    </row>
    <row r="34">
      <c r="I34" s="5"/>
    </row>
    <row r="35">
      <c r="I35" s="5"/>
    </row>
    <row r="36">
      <c r="I36" s="5"/>
    </row>
    <row r="37">
      <c r="I37" s="5"/>
    </row>
    <row r="38">
      <c r="I38" s="5"/>
    </row>
    <row r="39">
      <c r="I39" s="5"/>
    </row>
    <row r="40">
      <c r="I40" s="5"/>
    </row>
    <row r="41">
      <c r="I41" s="5"/>
    </row>
    <row r="42">
      <c r="I42" s="5"/>
    </row>
    <row r="43">
      <c r="I43" s="5"/>
    </row>
    <row r="44">
      <c r="I44" s="5"/>
    </row>
    <row r="45">
      <c r="I45" s="5"/>
    </row>
    <row r="46">
      <c r="I46" s="5"/>
    </row>
    <row r="47">
      <c r="I47" s="5"/>
    </row>
    <row r="48">
      <c r="I48" s="5"/>
    </row>
    <row r="49">
      <c r="I49" s="5"/>
    </row>
    <row r="50">
      <c r="I50" s="5"/>
    </row>
    <row r="51">
      <c r="I51" s="5"/>
    </row>
    <row r="52">
      <c r="I52" s="5"/>
    </row>
    <row r="53">
      <c r="I53" s="5"/>
    </row>
    <row r="54">
      <c r="I54" s="5"/>
    </row>
    <row r="55">
      <c r="I55" s="5"/>
    </row>
    <row r="56">
      <c r="I56" s="5"/>
    </row>
    <row r="57">
      <c r="I57" s="5"/>
    </row>
    <row r="58">
      <c r="I58" s="5"/>
    </row>
    <row r="59">
      <c r="I59" s="5"/>
    </row>
    <row r="60">
      <c r="I60" s="5"/>
    </row>
    <row r="61">
      <c r="I61" s="5"/>
    </row>
    <row r="62">
      <c r="I62" s="5"/>
    </row>
    <row r="63">
      <c r="I63" s="5"/>
    </row>
    <row r="64">
      <c r="I64" s="5"/>
    </row>
    <row r="65">
      <c r="I65" s="5"/>
    </row>
    <row r="66">
      <c r="I66" s="5"/>
    </row>
    <row r="67">
      <c r="I67" s="5"/>
    </row>
    <row r="68">
      <c r="I68" s="5"/>
    </row>
    <row r="69">
      <c r="I69" s="5"/>
    </row>
    <row r="70">
      <c r="I70" s="5"/>
    </row>
    <row r="71">
      <c r="I71" s="5"/>
    </row>
    <row r="72">
      <c r="I72" s="5"/>
    </row>
    <row r="73">
      <c r="I73" s="5"/>
    </row>
    <row r="74">
      <c r="I74" s="5"/>
    </row>
    <row r="75">
      <c r="I75" s="5"/>
    </row>
    <row r="76">
      <c r="I76" s="5"/>
    </row>
    <row r="77">
      <c r="I77" s="5"/>
    </row>
    <row r="78">
      <c r="I78" s="5"/>
    </row>
    <row r="79">
      <c r="I79" s="5"/>
    </row>
    <row r="80">
      <c r="I80" s="5"/>
    </row>
    <row r="81">
      <c r="I81" s="5"/>
    </row>
    <row r="82">
      <c r="I82" s="5"/>
    </row>
    <row r="83">
      <c r="I83" s="5"/>
    </row>
    <row r="84">
      <c r="I84" s="5"/>
    </row>
    <row r="85">
      <c r="I85" s="5"/>
    </row>
    <row r="86">
      <c r="I86" s="5"/>
    </row>
    <row r="87">
      <c r="I87" s="5"/>
    </row>
    <row r="88">
      <c r="I88" s="5"/>
    </row>
    <row r="89">
      <c r="I89" s="5"/>
    </row>
    <row r="90">
      <c r="I90" s="5"/>
    </row>
    <row r="91">
      <c r="I91" s="5"/>
    </row>
    <row r="92">
      <c r="I92" s="5"/>
    </row>
    <row r="93">
      <c r="I93" s="5"/>
    </row>
    <row r="94">
      <c r="I94" s="5"/>
    </row>
    <row r="95">
      <c r="I95" s="5"/>
    </row>
    <row r="96">
      <c r="I96" s="5"/>
    </row>
    <row r="97">
      <c r="I97" s="5"/>
    </row>
    <row r="98">
      <c r="I98" s="5"/>
    </row>
    <row r="99">
      <c r="I99" s="5"/>
    </row>
    <row r="100">
      <c r="I100" s="5"/>
    </row>
    <row r="101">
      <c r="I101" s="5"/>
    </row>
    <row r="102">
      <c r="I102" s="5"/>
    </row>
    <row r="103">
      <c r="I103" s="5"/>
    </row>
    <row r="104">
      <c r="I104" s="5"/>
    </row>
    <row r="105">
      <c r="I105" s="5"/>
    </row>
    <row r="106">
      <c r="I106" s="5"/>
    </row>
    <row r="107">
      <c r="I107" s="5"/>
    </row>
    <row r="108">
      <c r="I108" s="5"/>
    </row>
    <row r="109">
      <c r="I109" s="5"/>
    </row>
    <row r="110">
      <c r="I110" s="5"/>
    </row>
    <row r="111">
      <c r="I111" s="5"/>
    </row>
    <row r="112">
      <c r="I112" s="5"/>
    </row>
    <row r="113">
      <c r="I113" s="5"/>
    </row>
    <row r="114">
      <c r="I114" s="5"/>
    </row>
    <row r="115">
      <c r="I115" s="5"/>
    </row>
    <row r="116">
      <c r="I116" s="5"/>
    </row>
    <row r="117">
      <c r="I117" s="5"/>
    </row>
    <row r="118">
      <c r="I118" s="5"/>
    </row>
    <row r="119">
      <c r="I119" s="5"/>
    </row>
    <row r="120">
      <c r="I120" s="5"/>
    </row>
    <row r="121">
      <c r="I121" s="5"/>
    </row>
    <row r="122">
      <c r="I122" s="5"/>
    </row>
    <row r="123">
      <c r="I123" s="5"/>
    </row>
    <row r="124">
      <c r="I124" s="5"/>
    </row>
    <row r="125">
      <c r="I125" s="5"/>
    </row>
    <row r="126">
      <c r="I126" s="5"/>
    </row>
    <row r="127">
      <c r="I127" s="5"/>
    </row>
    <row r="128">
      <c r="I128" s="5"/>
    </row>
    <row r="129">
      <c r="I129" s="5"/>
    </row>
    <row r="130">
      <c r="I130" s="5"/>
    </row>
    <row r="131">
      <c r="I131" s="5"/>
    </row>
    <row r="132">
      <c r="I132" s="5"/>
    </row>
    <row r="133">
      <c r="I133" s="5"/>
    </row>
    <row r="134">
      <c r="I134" s="5"/>
    </row>
    <row r="135">
      <c r="I135" s="5"/>
    </row>
    <row r="136">
      <c r="I136" s="5"/>
    </row>
    <row r="137">
      <c r="I137" s="5"/>
    </row>
    <row r="138">
      <c r="I138" s="5"/>
    </row>
    <row r="139">
      <c r="I139" s="5"/>
    </row>
    <row r="140">
      <c r="I140" s="5"/>
    </row>
    <row r="141">
      <c r="I141" s="5"/>
    </row>
    <row r="142">
      <c r="I142" s="5"/>
    </row>
    <row r="143">
      <c r="I143" s="5"/>
    </row>
    <row r="144">
      <c r="I144" s="5"/>
    </row>
    <row r="145">
      <c r="I145" s="5"/>
    </row>
    <row r="146">
      <c r="I146" s="5"/>
    </row>
    <row r="147">
      <c r="I147" s="5"/>
    </row>
    <row r="148">
      <c r="I148" s="5"/>
    </row>
    <row r="149">
      <c r="I149" s="5"/>
    </row>
    <row r="150">
      <c r="I150" s="5"/>
    </row>
    <row r="151">
      <c r="I151" s="5"/>
    </row>
    <row r="152">
      <c r="I152" s="5"/>
    </row>
    <row r="153">
      <c r="I153" s="5"/>
    </row>
    <row r="154">
      <c r="I154" s="5"/>
    </row>
    <row r="155">
      <c r="I155" s="5"/>
    </row>
    <row r="156">
      <c r="I156" s="5"/>
    </row>
    <row r="157">
      <c r="I157" s="5"/>
    </row>
    <row r="158">
      <c r="I158" s="5"/>
    </row>
    <row r="159">
      <c r="I159" s="5"/>
    </row>
    <row r="160">
      <c r="I160" s="5"/>
    </row>
    <row r="161">
      <c r="I161" s="5"/>
    </row>
    <row r="162">
      <c r="I162" s="5"/>
    </row>
    <row r="163">
      <c r="I163" s="5"/>
    </row>
    <row r="164">
      <c r="I164" s="5"/>
    </row>
    <row r="165">
      <c r="I165" s="5"/>
    </row>
    <row r="166">
      <c r="I166" s="5"/>
    </row>
    <row r="167">
      <c r="I167" s="5"/>
    </row>
    <row r="168">
      <c r="I168" s="5"/>
    </row>
    <row r="169">
      <c r="I169" s="5"/>
    </row>
    <row r="170">
      <c r="I170" s="5"/>
    </row>
    <row r="171">
      <c r="I171" s="5"/>
    </row>
    <row r="172">
      <c r="I172" s="5"/>
    </row>
    <row r="173">
      <c r="I173" s="5"/>
    </row>
    <row r="174">
      <c r="I174" s="5"/>
    </row>
    <row r="175">
      <c r="I175" s="5"/>
    </row>
    <row r="176">
      <c r="I176" s="5"/>
    </row>
    <row r="177">
      <c r="I177" s="5"/>
    </row>
    <row r="178">
      <c r="I178" s="5"/>
    </row>
    <row r="179">
      <c r="I179" s="5"/>
    </row>
    <row r="180">
      <c r="I180" s="5"/>
    </row>
    <row r="181">
      <c r="I181" s="5"/>
    </row>
    <row r="182">
      <c r="I182" s="5"/>
    </row>
    <row r="183">
      <c r="I183" s="5"/>
    </row>
    <row r="184">
      <c r="I184" s="5"/>
    </row>
    <row r="185">
      <c r="I185" s="5"/>
    </row>
    <row r="186">
      <c r="I186" s="5"/>
    </row>
    <row r="187">
      <c r="I187" s="5"/>
    </row>
    <row r="188">
      <c r="I188" s="5"/>
    </row>
    <row r="189">
      <c r="I189" s="5"/>
    </row>
    <row r="190">
      <c r="I190" s="5"/>
    </row>
    <row r="191">
      <c r="I191" s="5"/>
    </row>
    <row r="192">
      <c r="I192" s="5"/>
    </row>
    <row r="193">
      <c r="I193" s="5"/>
    </row>
    <row r="194">
      <c r="I194" s="5"/>
    </row>
    <row r="195">
      <c r="I195" s="5"/>
    </row>
    <row r="196">
      <c r="I196" s="5"/>
    </row>
    <row r="197">
      <c r="I197" s="5"/>
    </row>
    <row r="198">
      <c r="I198" s="5"/>
    </row>
    <row r="199">
      <c r="I199" s="5"/>
    </row>
    <row r="200">
      <c r="I200" s="5"/>
    </row>
    <row r="201">
      <c r="I201" s="5"/>
    </row>
    <row r="202">
      <c r="I202" s="5"/>
    </row>
    <row r="203">
      <c r="I203" s="5"/>
    </row>
    <row r="204">
      <c r="I204" s="5"/>
    </row>
    <row r="205">
      <c r="I205" s="5"/>
    </row>
    <row r="206">
      <c r="I206" s="5"/>
    </row>
    <row r="207">
      <c r="I207" s="5"/>
    </row>
    <row r="208">
      <c r="I208" s="5"/>
    </row>
    <row r="209">
      <c r="I209" s="5"/>
    </row>
    <row r="210">
      <c r="I210" s="5"/>
    </row>
    <row r="211">
      <c r="I211" s="5"/>
    </row>
    <row r="212">
      <c r="I212" s="5"/>
    </row>
    <row r="213">
      <c r="I213" s="5"/>
    </row>
    <row r="214">
      <c r="I214" s="5"/>
    </row>
    <row r="215">
      <c r="I215" s="5"/>
    </row>
    <row r="216">
      <c r="I216" s="5"/>
    </row>
    <row r="217">
      <c r="I217" s="5"/>
    </row>
    <row r="218">
      <c r="I218" s="5"/>
    </row>
    <row r="219">
      <c r="I219" s="5"/>
    </row>
    <row r="220">
      <c r="I220" s="5"/>
    </row>
    <row r="221">
      <c r="I221" s="5"/>
    </row>
    <row r="222">
      <c r="I222" s="5"/>
    </row>
    <row r="223">
      <c r="I223" s="5"/>
    </row>
    <row r="224">
      <c r="I224" s="5"/>
    </row>
    <row r="225">
      <c r="I225" s="5"/>
    </row>
    <row r="226">
      <c r="I226" s="5"/>
    </row>
    <row r="227">
      <c r="I227" s="5"/>
    </row>
    <row r="228">
      <c r="I228" s="5"/>
    </row>
    <row r="229">
      <c r="I229" s="5"/>
    </row>
    <row r="230">
      <c r="I230" s="5"/>
    </row>
    <row r="231">
      <c r="I231" s="5"/>
    </row>
    <row r="232">
      <c r="I232" s="5"/>
    </row>
    <row r="233">
      <c r="I233" s="5"/>
    </row>
    <row r="234">
      <c r="I234" s="5"/>
    </row>
    <row r="235">
      <c r="I235" s="5"/>
    </row>
    <row r="236">
      <c r="I236" s="5"/>
    </row>
    <row r="237">
      <c r="I237" s="5"/>
    </row>
    <row r="238">
      <c r="I238" s="5"/>
    </row>
    <row r="239">
      <c r="I239" s="5"/>
    </row>
    <row r="240">
      <c r="I240" s="5"/>
    </row>
    <row r="241">
      <c r="I241" s="5"/>
    </row>
    <row r="242">
      <c r="I242" s="5"/>
    </row>
    <row r="243">
      <c r="I243" s="5"/>
    </row>
    <row r="244">
      <c r="I244" s="5"/>
    </row>
    <row r="245">
      <c r="I245" s="5"/>
    </row>
    <row r="246">
      <c r="I246" s="5"/>
    </row>
    <row r="247">
      <c r="I247" s="5"/>
    </row>
    <row r="248">
      <c r="I248" s="5"/>
    </row>
    <row r="249">
      <c r="I249" s="5"/>
    </row>
    <row r="250">
      <c r="I250" s="5"/>
    </row>
    <row r="251">
      <c r="I251" s="5"/>
    </row>
    <row r="252">
      <c r="I252" s="5"/>
    </row>
    <row r="253">
      <c r="I253" s="5"/>
    </row>
    <row r="254">
      <c r="I254" s="5"/>
    </row>
    <row r="255">
      <c r="I255" s="5"/>
    </row>
    <row r="256">
      <c r="I256" s="5"/>
    </row>
    <row r="257">
      <c r="I257" s="5"/>
    </row>
    <row r="258">
      <c r="I258" s="5"/>
    </row>
    <row r="259">
      <c r="I259" s="5"/>
    </row>
    <row r="260">
      <c r="I260" s="5"/>
    </row>
    <row r="261">
      <c r="I261" s="5"/>
    </row>
    <row r="262">
      <c r="I262" s="5"/>
    </row>
    <row r="263">
      <c r="I263" s="5"/>
    </row>
    <row r="264">
      <c r="I264" s="5"/>
    </row>
    <row r="265">
      <c r="I265" s="5"/>
    </row>
    <row r="266">
      <c r="I266" s="5"/>
    </row>
    <row r="267">
      <c r="I267" s="5"/>
    </row>
    <row r="268">
      <c r="I268" s="5"/>
    </row>
    <row r="269">
      <c r="I269" s="5"/>
    </row>
    <row r="270">
      <c r="I270" s="5"/>
    </row>
    <row r="271">
      <c r="I271" s="5"/>
    </row>
    <row r="272">
      <c r="I272" s="5"/>
    </row>
    <row r="273">
      <c r="I273" s="5"/>
    </row>
    <row r="274">
      <c r="I274" s="5"/>
    </row>
    <row r="275">
      <c r="I275" s="5"/>
    </row>
    <row r="276">
      <c r="I276" s="5"/>
    </row>
    <row r="277">
      <c r="I277" s="5"/>
    </row>
    <row r="278">
      <c r="I278" s="5"/>
    </row>
    <row r="279">
      <c r="I279" s="5"/>
    </row>
    <row r="280">
      <c r="I280" s="5"/>
    </row>
    <row r="281">
      <c r="I281" s="5"/>
    </row>
    <row r="282">
      <c r="I282" s="5"/>
    </row>
    <row r="283">
      <c r="I283" s="5"/>
    </row>
    <row r="284">
      <c r="I284" s="5"/>
    </row>
    <row r="285">
      <c r="I285" s="5"/>
    </row>
    <row r="286">
      <c r="I286" s="5"/>
    </row>
    <row r="287">
      <c r="I287" s="5"/>
    </row>
    <row r="288">
      <c r="I288" s="5"/>
    </row>
    <row r="289">
      <c r="I289" s="5"/>
    </row>
    <row r="290">
      <c r="I290" s="5"/>
    </row>
    <row r="291">
      <c r="I291" s="5"/>
    </row>
    <row r="292">
      <c r="I292" s="5"/>
    </row>
    <row r="293">
      <c r="I293" s="5"/>
    </row>
    <row r="294">
      <c r="I294" s="5"/>
    </row>
    <row r="295">
      <c r="I295" s="5"/>
    </row>
    <row r="296">
      <c r="I296" s="5"/>
    </row>
    <row r="297">
      <c r="I297" s="5"/>
    </row>
    <row r="298">
      <c r="I298" s="5"/>
    </row>
    <row r="299">
      <c r="I299" s="5"/>
    </row>
    <row r="300">
      <c r="I300" s="5"/>
    </row>
    <row r="301">
      <c r="I301" s="5"/>
    </row>
    <row r="302">
      <c r="I302" s="5"/>
    </row>
    <row r="303">
      <c r="I303" s="5"/>
    </row>
    <row r="304">
      <c r="I304" s="5"/>
    </row>
    <row r="305">
      <c r="I305" s="5"/>
    </row>
    <row r="306">
      <c r="I306" s="5"/>
    </row>
    <row r="307">
      <c r="I307" s="5"/>
    </row>
    <row r="308">
      <c r="I308" s="5"/>
    </row>
    <row r="309">
      <c r="I309" s="5"/>
    </row>
    <row r="310">
      <c r="I310" s="5"/>
    </row>
    <row r="311">
      <c r="I311" s="5"/>
    </row>
    <row r="312">
      <c r="I312" s="5"/>
    </row>
    <row r="313">
      <c r="I313" s="5"/>
    </row>
    <row r="314">
      <c r="I314" s="5"/>
    </row>
    <row r="315">
      <c r="I315" s="5"/>
    </row>
    <row r="316">
      <c r="I316" s="5"/>
    </row>
    <row r="317">
      <c r="I317" s="5"/>
    </row>
    <row r="318">
      <c r="I318" s="5"/>
    </row>
    <row r="319">
      <c r="I319" s="5"/>
    </row>
    <row r="320">
      <c r="I320" s="5"/>
    </row>
    <row r="321">
      <c r="I321" s="5"/>
    </row>
    <row r="322">
      <c r="I322" s="5"/>
    </row>
    <row r="323">
      <c r="I323" s="5"/>
    </row>
    <row r="324">
      <c r="I324" s="5"/>
    </row>
    <row r="325">
      <c r="I325" s="5"/>
    </row>
    <row r="326">
      <c r="I326" s="5"/>
    </row>
    <row r="327">
      <c r="I327" s="5"/>
    </row>
    <row r="328">
      <c r="I328" s="5"/>
    </row>
    <row r="329">
      <c r="I329" s="5"/>
    </row>
    <row r="330">
      <c r="I330" s="5"/>
    </row>
    <row r="331">
      <c r="I331" s="5"/>
    </row>
    <row r="332">
      <c r="I332" s="5"/>
    </row>
    <row r="333">
      <c r="I333" s="5"/>
    </row>
    <row r="334">
      <c r="I334" s="5"/>
    </row>
    <row r="335">
      <c r="I335" s="5"/>
    </row>
    <row r="336">
      <c r="I336" s="5"/>
    </row>
    <row r="337">
      <c r="I337" s="5"/>
    </row>
    <row r="338">
      <c r="I338" s="5"/>
    </row>
    <row r="339">
      <c r="I339" s="5"/>
    </row>
    <row r="340">
      <c r="I340" s="5"/>
    </row>
    <row r="341">
      <c r="I341" s="5"/>
    </row>
    <row r="342">
      <c r="I342" s="5"/>
    </row>
    <row r="343">
      <c r="I343" s="5"/>
    </row>
    <row r="344">
      <c r="I344" s="5"/>
    </row>
    <row r="345">
      <c r="I345" s="5"/>
    </row>
    <row r="346">
      <c r="I346" s="5"/>
    </row>
    <row r="347">
      <c r="I347" s="5"/>
    </row>
    <row r="348">
      <c r="I348" s="5"/>
    </row>
    <row r="349">
      <c r="I349" s="5"/>
    </row>
    <row r="350">
      <c r="I350" s="5"/>
    </row>
    <row r="351">
      <c r="I351" s="5"/>
    </row>
    <row r="352">
      <c r="I352" s="5"/>
    </row>
    <row r="353">
      <c r="I353" s="5"/>
    </row>
    <row r="354">
      <c r="I354" s="5"/>
    </row>
    <row r="355">
      <c r="I355" s="5"/>
    </row>
    <row r="356">
      <c r="I356" s="5"/>
    </row>
    <row r="357">
      <c r="I357" s="5"/>
    </row>
    <row r="358">
      <c r="I358" s="5"/>
    </row>
    <row r="359">
      <c r="I359" s="5"/>
    </row>
    <row r="360">
      <c r="I360" s="5"/>
    </row>
    <row r="361">
      <c r="I361" s="5"/>
    </row>
    <row r="362">
      <c r="I362" s="5"/>
    </row>
    <row r="363">
      <c r="I363" s="5"/>
    </row>
    <row r="364">
      <c r="I364" s="5"/>
    </row>
    <row r="365">
      <c r="I365" s="5"/>
    </row>
    <row r="366">
      <c r="I366" s="5"/>
    </row>
    <row r="367">
      <c r="I367" s="5"/>
    </row>
    <row r="368">
      <c r="I368" s="5"/>
    </row>
    <row r="369">
      <c r="I369" s="5"/>
    </row>
    <row r="370">
      <c r="I370" s="5"/>
    </row>
    <row r="371">
      <c r="I371" s="5"/>
    </row>
    <row r="372">
      <c r="I372" s="5"/>
    </row>
    <row r="373">
      <c r="I373" s="5"/>
    </row>
    <row r="374">
      <c r="I374" s="5"/>
    </row>
    <row r="375">
      <c r="I375" s="5"/>
    </row>
    <row r="376">
      <c r="I376" s="5"/>
    </row>
    <row r="377">
      <c r="I377" s="5"/>
    </row>
    <row r="378">
      <c r="I378" s="5"/>
    </row>
    <row r="379">
      <c r="I379" s="5"/>
    </row>
    <row r="380">
      <c r="I380" s="5"/>
    </row>
    <row r="381">
      <c r="I381" s="5"/>
    </row>
    <row r="382">
      <c r="I382" s="5"/>
    </row>
    <row r="383">
      <c r="I383" s="5"/>
    </row>
    <row r="384">
      <c r="I384" s="5"/>
    </row>
    <row r="385">
      <c r="I385" s="5"/>
    </row>
    <row r="386">
      <c r="I386" s="5"/>
    </row>
    <row r="387">
      <c r="I387" s="5"/>
    </row>
    <row r="388">
      <c r="I388" s="5"/>
    </row>
    <row r="389">
      <c r="I389" s="5"/>
    </row>
    <row r="390">
      <c r="I390" s="5"/>
    </row>
    <row r="391">
      <c r="I391" s="5"/>
    </row>
    <row r="392">
      <c r="I392" s="5"/>
    </row>
    <row r="393">
      <c r="I393" s="5"/>
    </row>
    <row r="394">
      <c r="I394" s="5"/>
    </row>
    <row r="395">
      <c r="I395" s="5"/>
    </row>
    <row r="396">
      <c r="I396" s="5"/>
    </row>
    <row r="397">
      <c r="I397" s="5"/>
    </row>
    <row r="398">
      <c r="I398" s="5"/>
    </row>
    <row r="399">
      <c r="I399" s="5"/>
    </row>
    <row r="400">
      <c r="I400" s="5"/>
    </row>
    <row r="401">
      <c r="I401" s="5"/>
    </row>
    <row r="402">
      <c r="I402" s="5"/>
    </row>
    <row r="403">
      <c r="I403" s="5"/>
    </row>
    <row r="404">
      <c r="I404" s="5"/>
    </row>
    <row r="405">
      <c r="I405" s="5"/>
    </row>
    <row r="406">
      <c r="I406" s="5"/>
    </row>
    <row r="407">
      <c r="I407" s="5"/>
    </row>
    <row r="408">
      <c r="I408" s="5"/>
    </row>
    <row r="409">
      <c r="I409" s="5"/>
    </row>
    <row r="410">
      <c r="I410" s="5"/>
    </row>
    <row r="411">
      <c r="I411" s="5"/>
    </row>
    <row r="412">
      <c r="I412" s="5"/>
    </row>
    <row r="413">
      <c r="I413" s="5"/>
    </row>
    <row r="414">
      <c r="I414" s="5"/>
    </row>
    <row r="415">
      <c r="I415" s="5"/>
    </row>
    <row r="416">
      <c r="I416" s="5"/>
    </row>
    <row r="417">
      <c r="I417" s="5"/>
    </row>
    <row r="418">
      <c r="I418" s="5"/>
    </row>
    <row r="419">
      <c r="I419" s="5"/>
    </row>
    <row r="420">
      <c r="I420" s="5"/>
    </row>
    <row r="421">
      <c r="I421" s="5"/>
    </row>
    <row r="422">
      <c r="I422" s="5"/>
    </row>
    <row r="423">
      <c r="I423" s="5"/>
    </row>
    <row r="424">
      <c r="I424" s="5"/>
    </row>
    <row r="425">
      <c r="I425" s="5"/>
    </row>
    <row r="426">
      <c r="I426" s="5"/>
    </row>
    <row r="427">
      <c r="I427" s="5"/>
    </row>
    <row r="428">
      <c r="I428" s="5"/>
    </row>
    <row r="429">
      <c r="I429" s="5"/>
    </row>
    <row r="430">
      <c r="I430" s="5"/>
    </row>
    <row r="431">
      <c r="I431" s="5"/>
    </row>
    <row r="432">
      <c r="I432" s="5"/>
    </row>
    <row r="433">
      <c r="I433" s="5"/>
    </row>
    <row r="434">
      <c r="I434" s="5"/>
    </row>
    <row r="435">
      <c r="I435" s="5"/>
    </row>
    <row r="436">
      <c r="I436" s="5"/>
    </row>
    <row r="437">
      <c r="I437" s="5"/>
    </row>
    <row r="438">
      <c r="I438" s="5"/>
    </row>
    <row r="439">
      <c r="I439" s="5"/>
    </row>
    <row r="440">
      <c r="I440" s="5"/>
    </row>
    <row r="441">
      <c r="I441" s="5"/>
    </row>
    <row r="442">
      <c r="I442" s="5"/>
    </row>
    <row r="443">
      <c r="I443" s="5"/>
    </row>
    <row r="444">
      <c r="I444" s="5"/>
    </row>
    <row r="445">
      <c r="I445" s="5"/>
    </row>
    <row r="446">
      <c r="I446" s="5"/>
    </row>
    <row r="447">
      <c r="I447" s="5"/>
    </row>
    <row r="448">
      <c r="I448" s="5"/>
    </row>
    <row r="449">
      <c r="I449" s="5"/>
    </row>
    <row r="450">
      <c r="I450" s="5"/>
    </row>
    <row r="451">
      <c r="I451" s="5"/>
    </row>
    <row r="452">
      <c r="I452" s="5"/>
    </row>
    <row r="453">
      <c r="I453" s="5"/>
    </row>
    <row r="454">
      <c r="I454" s="5"/>
    </row>
    <row r="455">
      <c r="I455" s="5"/>
    </row>
    <row r="456">
      <c r="I456" s="5"/>
    </row>
    <row r="457">
      <c r="I457" s="5"/>
    </row>
    <row r="458">
      <c r="I458" s="5"/>
    </row>
    <row r="459">
      <c r="I459" s="5"/>
    </row>
    <row r="460">
      <c r="I460" s="5"/>
    </row>
    <row r="461">
      <c r="I461" s="5"/>
    </row>
    <row r="462">
      <c r="I462" s="5"/>
    </row>
    <row r="463">
      <c r="I463" s="5"/>
    </row>
    <row r="464">
      <c r="I464" s="5"/>
    </row>
    <row r="465">
      <c r="I465" s="5"/>
    </row>
    <row r="466">
      <c r="I466" s="5"/>
    </row>
    <row r="467">
      <c r="I467" s="5"/>
    </row>
    <row r="468">
      <c r="I468" s="5"/>
    </row>
    <row r="469">
      <c r="I469" s="5"/>
    </row>
    <row r="470">
      <c r="I470" s="5"/>
    </row>
    <row r="471">
      <c r="I471" s="5"/>
    </row>
    <row r="472">
      <c r="I472" s="5"/>
    </row>
    <row r="473">
      <c r="I473" s="5"/>
    </row>
    <row r="474">
      <c r="I474" s="5"/>
    </row>
    <row r="475">
      <c r="I475" s="5"/>
    </row>
    <row r="476">
      <c r="I476" s="5"/>
    </row>
    <row r="477">
      <c r="I477" s="5"/>
    </row>
    <row r="478">
      <c r="I478" s="5"/>
    </row>
    <row r="479">
      <c r="I479" s="5"/>
    </row>
    <row r="480">
      <c r="I480" s="5"/>
    </row>
    <row r="481">
      <c r="I481" s="5"/>
    </row>
    <row r="482">
      <c r="I482" s="5"/>
    </row>
    <row r="483">
      <c r="I483" s="5"/>
    </row>
    <row r="484">
      <c r="I484" s="5"/>
    </row>
    <row r="485">
      <c r="I485" s="5"/>
    </row>
    <row r="486">
      <c r="I486" s="5"/>
    </row>
    <row r="487">
      <c r="I487" s="5"/>
    </row>
    <row r="488">
      <c r="I488" s="5"/>
    </row>
    <row r="489">
      <c r="I489" s="5"/>
    </row>
    <row r="490">
      <c r="I490" s="5"/>
    </row>
    <row r="491">
      <c r="I491" s="5"/>
    </row>
    <row r="492">
      <c r="I492" s="5"/>
    </row>
    <row r="493">
      <c r="I493" s="5"/>
    </row>
    <row r="494">
      <c r="I494" s="5"/>
    </row>
    <row r="495">
      <c r="I495" s="5"/>
    </row>
    <row r="496">
      <c r="I496" s="5"/>
    </row>
    <row r="497">
      <c r="I497" s="5"/>
    </row>
    <row r="498">
      <c r="I498" s="5"/>
    </row>
    <row r="499">
      <c r="I499" s="5"/>
    </row>
    <row r="500">
      <c r="I500" s="5"/>
    </row>
    <row r="501">
      <c r="I501" s="5"/>
    </row>
    <row r="502">
      <c r="I502" s="5"/>
    </row>
    <row r="503">
      <c r="I503" s="5"/>
    </row>
    <row r="504">
      <c r="I504" s="5"/>
    </row>
    <row r="505">
      <c r="I505" s="5"/>
    </row>
    <row r="506">
      <c r="I506" s="5"/>
    </row>
    <row r="507">
      <c r="I507" s="5"/>
    </row>
    <row r="508">
      <c r="I508" s="5"/>
    </row>
    <row r="509">
      <c r="I509" s="5"/>
    </row>
    <row r="510">
      <c r="I510" s="5"/>
    </row>
    <row r="511">
      <c r="I511" s="5"/>
    </row>
    <row r="512">
      <c r="I512" s="5"/>
    </row>
    <row r="513">
      <c r="I513" s="5"/>
    </row>
    <row r="514">
      <c r="I514" s="5"/>
    </row>
    <row r="515">
      <c r="I515" s="5"/>
    </row>
    <row r="516">
      <c r="I516" s="5"/>
    </row>
    <row r="517">
      <c r="I517" s="5"/>
    </row>
    <row r="518">
      <c r="I518" s="5"/>
    </row>
    <row r="519">
      <c r="I519" s="5"/>
    </row>
    <row r="520">
      <c r="I520" s="5"/>
    </row>
    <row r="521">
      <c r="I521" s="5"/>
    </row>
    <row r="522">
      <c r="I522" s="5"/>
    </row>
    <row r="523">
      <c r="I523" s="5"/>
    </row>
    <row r="524">
      <c r="I524" s="5"/>
    </row>
    <row r="525">
      <c r="I525" s="5"/>
    </row>
    <row r="526">
      <c r="I526" s="5"/>
    </row>
    <row r="527">
      <c r="I527" s="5"/>
    </row>
    <row r="528">
      <c r="I528" s="5"/>
    </row>
    <row r="529">
      <c r="I529" s="5"/>
    </row>
    <row r="530">
      <c r="I530" s="5"/>
    </row>
    <row r="531">
      <c r="I531" s="5"/>
    </row>
    <row r="532">
      <c r="I532" s="5"/>
    </row>
    <row r="533">
      <c r="I533" s="5"/>
    </row>
    <row r="534">
      <c r="I534" s="5"/>
    </row>
    <row r="535">
      <c r="I535" s="5"/>
    </row>
    <row r="536">
      <c r="I536" s="5"/>
    </row>
    <row r="537">
      <c r="I537" s="5"/>
    </row>
    <row r="538">
      <c r="I538" s="5"/>
    </row>
    <row r="539">
      <c r="I539" s="5"/>
    </row>
    <row r="540">
      <c r="I540" s="5"/>
    </row>
    <row r="541">
      <c r="I541" s="5"/>
    </row>
    <row r="542">
      <c r="I542" s="5"/>
    </row>
    <row r="543">
      <c r="I543" s="5"/>
    </row>
    <row r="544">
      <c r="I544" s="5"/>
    </row>
    <row r="545">
      <c r="I545" s="5"/>
    </row>
    <row r="546">
      <c r="I546" s="5"/>
    </row>
    <row r="547">
      <c r="I547" s="5"/>
    </row>
    <row r="548">
      <c r="I548" s="5"/>
    </row>
    <row r="549">
      <c r="I549" s="5"/>
    </row>
    <row r="550">
      <c r="I550" s="5"/>
    </row>
    <row r="551">
      <c r="I551" s="5"/>
    </row>
    <row r="552">
      <c r="I552" s="5"/>
    </row>
    <row r="553">
      <c r="I553" s="5"/>
    </row>
    <row r="554">
      <c r="I554" s="5"/>
    </row>
    <row r="555">
      <c r="I555" s="5"/>
    </row>
    <row r="556">
      <c r="I556" s="5"/>
    </row>
    <row r="557">
      <c r="I557" s="5"/>
    </row>
    <row r="558">
      <c r="I558" s="5"/>
    </row>
    <row r="559">
      <c r="I559" s="5"/>
    </row>
    <row r="560">
      <c r="I560" s="5"/>
    </row>
    <row r="561">
      <c r="I561" s="5"/>
    </row>
    <row r="562">
      <c r="I562" s="5"/>
    </row>
    <row r="563">
      <c r="I563" s="5"/>
    </row>
    <row r="564">
      <c r="I564" s="5"/>
    </row>
    <row r="565">
      <c r="I565" s="5"/>
    </row>
    <row r="566">
      <c r="I566" s="5"/>
    </row>
    <row r="567">
      <c r="I567" s="5"/>
    </row>
    <row r="568">
      <c r="I568" s="5"/>
    </row>
    <row r="569">
      <c r="I569" s="5"/>
    </row>
    <row r="570">
      <c r="I570" s="5"/>
    </row>
    <row r="571">
      <c r="I571" s="5"/>
    </row>
    <row r="572">
      <c r="I572" s="5"/>
    </row>
    <row r="573">
      <c r="I573" s="5"/>
    </row>
    <row r="574">
      <c r="I574" s="5"/>
    </row>
    <row r="575">
      <c r="I575" s="5"/>
    </row>
    <row r="576">
      <c r="I576" s="5"/>
    </row>
    <row r="577">
      <c r="I577" s="5"/>
    </row>
    <row r="578">
      <c r="I578" s="5"/>
    </row>
    <row r="579">
      <c r="I579" s="5"/>
    </row>
    <row r="580">
      <c r="I580" s="5"/>
    </row>
    <row r="581">
      <c r="I581" s="5"/>
    </row>
    <row r="582">
      <c r="I582" s="5"/>
    </row>
    <row r="583">
      <c r="I583" s="5"/>
    </row>
    <row r="584">
      <c r="I584" s="5"/>
    </row>
    <row r="585">
      <c r="I585" s="5"/>
    </row>
    <row r="586">
      <c r="I586" s="5"/>
    </row>
    <row r="587">
      <c r="I587" s="5"/>
    </row>
    <row r="588">
      <c r="I588" s="5"/>
    </row>
    <row r="589">
      <c r="I589" s="5"/>
    </row>
    <row r="590">
      <c r="I590" s="5"/>
    </row>
    <row r="591">
      <c r="I591" s="5"/>
    </row>
    <row r="592">
      <c r="I592" s="5"/>
    </row>
    <row r="593">
      <c r="I593" s="5"/>
    </row>
    <row r="594">
      <c r="I594" s="5"/>
    </row>
    <row r="595">
      <c r="I595" s="5"/>
    </row>
    <row r="596">
      <c r="I596" s="5"/>
    </row>
    <row r="597">
      <c r="I597" s="5"/>
    </row>
    <row r="598">
      <c r="I598" s="5"/>
    </row>
    <row r="599">
      <c r="I599" s="5"/>
    </row>
    <row r="600">
      <c r="I600" s="5"/>
    </row>
    <row r="601">
      <c r="I601" s="5"/>
    </row>
    <row r="602">
      <c r="I602" s="5"/>
    </row>
    <row r="603">
      <c r="I603" s="5"/>
    </row>
    <row r="604">
      <c r="I604" s="5"/>
    </row>
    <row r="605">
      <c r="I605" s="5"/>
    </row>
    <row r="606">
      <c r="I606" s="5"/>
    </row>
    <row r="607">
      <c r="I607" s="5"/>
    </row>
    <row r="608">
      <c r="I608" s="5"/>
    </row>
    <row r="609">
      <c r="I609" s="5"/>
    </row>
    <row r="610">
      <c r="I610" s="5"/>
    </row>
    <row r="611">
      <c r="I611" s="5"/>
    </row>
    <row r="612">
      <c r="I612" s="5"/>
    </row>
    <row r="613">
      <c r="I613" s="5"/>
    </row>
    <row r="614">
      <c r="I614" s="5"/>
    </row>
    <row r="615">
      <c r="I615" s="5"/>
    </row>
    <row r="616">
      <c r="I616" s="5"/>
    </row>
    <row r="617">
      <c r="I617" s="5"/>
    </row>
    <row r="618">
      <c r="I618" s="5"/>
    </row>
    <row r="619">
      <c r="I619" s="5"/>
    </row>
    <row r="620">
      <c r="I620" s="5"/>
    </row>
    <row r="621">
      <c r="I621" s="5"/>
    </row>
    <row r="622">
      <c r="I622" s="5"/>
    </row>
    <row r="623">
      <c r="I623" s="5"/>
    </row>
    <row r="624">
      <c r="I624" s="5"/>
    </row>
    <row r="625">
      <c r="I625" s="5"/>
    </row>
    <row r="626">
      <c r="I626" s="5"/>
    </row>
    <row r="627">
      <c r="I627" s="5"/>
    </row>
    <row r="628">
      <c r="I628" s="5"/>
    </row>
    <row r="629">
      <c r="I629" s="5"/>
    </row>
    <row r="630">
      <c r="I630" s="5"/>
    </row>
    <row r="631">
      <c r="I631" s="5"/>
    </row>
    <row r="632">
      <c r="I632" s="5"/>
    </row>
    <row r="633">
      <c r="I633" s="5"/>
    </row>
    <row r="634">
      <c r="I634" s="5"/>
    </row>
    <row r="635">
      <c r="I635" s="5"/>
    </row>
    <row r="636">
      <c r="I636" s="5"/>
    </row>
    <row r="637">
      <c r="I637" s="5"/>
    </row>
    <row r="638">
      <c r="I638" s="5"/>
    </row>
    <row r="639">
      <c r="I639" s="5"/>
    </row>
    <row r="640">
      <c r="I640" s="5"/>
    </row>
    <row r="641">
      <c r="I641" s="5"/>
    </row>
    <row r="642">
      <c r="I642" s="5"/>
    </row>
    <row r="643">
      <c r="I643" s="5"/>
    </row>
    <row r="644">
      <c r="I644" s="5"/>
    </row>
    <row r="645">
      <c r="I645" s="5"/>
    </row>
    <row r="646">
      <c r="I646" s="5"/>
    </row>
    <row r="647">
      <c r="I647" s="5"/>
    </row>
    <row r="648">
      <c r="I648" s="5"/>
    </row>
    <row r="649">
      <c r="I649" s="5"/>
    </row>
    <row r="650">
      <c r="I650" s="5"/>
    </row>
    <row r="651">
      <c r="I651" s="5"/>
    </row>
    <row r="652">
      <c r="I652" s="5"/>
    </row>
    <row r="653">
      <c r="I653" s="5"/>
    </row>
    <row r="654">
      <c r="I654" s="5"/>
    </row>
    <row r="655">
      <c r="I655" s="5"/>
    </row>
    <row r="656">
      <c r="I656" s="5"/>
    </row>
    <row r="657">
      <c r="I657" s="5"/>
    </row>
    <row r="658">
      <c r="I658" s="5"/>
    </row>
    <row r="659">
      <c r="I659" s="5"/>
    </row>
    <row r="660">
      <c r="I660" s="5"/>
    </row>
    <row r="661">
      <c r="I661" s="5"/>
    </row>
    <row r="662">
      <c r="I662" s="5"/>
    </row>
    <row r="663">
      <c r="I663" s="5"/>
    </row>
    <row r="664">
      <c r="I664" s="5"/>
    </row>
    <row r="665">
      <c r="I665" s="5"/>
    </row>
    <row r="666">
      <c r="I666" s="5"/>
    </row>
    <row r="667">
      <c r="I667" s="5"/>
    </row>
    <row r="668">
      <c r="I668" s="5"/>
    </row>
    <row r="669">
      <c r="I669" s="5"/>
    </row>
    <row r="670">
      <c r="I670" s="5"/>
    </row>
    <row r="671">
      <c r="I671" s="5"/>
    </row>
    <row r="672">
      <c r="I672" s="5"/>
    </row>
    <row r="673">
      <c r="I673" s="5"/>
    </row>
    <row r="674">
      <c r="I674" s="5"/>
    </row>
    <row r="675">
      <c r="I675" s="5"/>
    </row>
    <row r="676">
      <c r="I676" s="5"/>
    </row>
    <row r="677">
      <c r="I677" s="5"/>
    </row>
    <row r="678">
      <c r="I678" s="5"/>
    </row>
    <row r="679">
      <c r="I679" s="5"/>
    </row>
    <row r="680">
      <c r="I680" s="5"/>
    </row>
    <row r="681">
      <c r="I681" s="5"/>
    </row>
    <row r="682">
      <c r="I682" s="5"/>
    </row>
    <row r="683">
      <c r="I683" s="5"/>
    </row>
    <row r="684">
      <c r="I684" s="5"/>
    </row>
    <row r="685">
      <c r="I685" s="5"/>
    </row>
    <row r="686">
      <c r="I686" s="5"/>
    </row>
    <row r="687">
      <c r="I687" s="5"/>
    </row>
    <row r="688">
      <c r="I688" s="5"/>
    </row>
    <row r="689">
      <c r="I689" s="5"/>
    </row>
    <row r="690">
      <c r="I690" s="5"/>
    </row>
    <row r="691">
      <c r="I691" s="5"/>
    </row>
    <row r="692">
      <c r="I692" s="5"/>
    </row>
    <row r="693">
      <c r="I693" s="5"/>
    </row>
    <row r="694">
      <c r="I694" s="5"/>
    </row>
    <row r="695">
      <c r="I695" s="5"/>
    </row>
    <row r="696">
      <c r="I696" s="5"/>
    </row>
    <row r="697">
      <c r="I697" s="5"/>
    </row>
    <row r="698">
      <c r="I698" s="5"/>
    </row>
    <row r="699">
      <c r="I699" s="5"/>
    </row>
    <row r="700">
      <c r="I700" s="5"/>
    </row>
    <row r="701">
      <c r="I701" s="5"/>
    </row>
    <row r="702">
      <c r="I702" s="5"/>
    </row>
    <row r="703">
      <c r="I703" s="5"/>
    </row>
    <row r="704">
      <c r="I704" s="5"/>
    </row>
    <row r="705">
      <c r="I705" s="5"/>
    </row>
    <row r="706">
      <c r="I706" s="5"/>
    </row>
    <row r="707">
      <c r="I707" s="5"/>
    </row>
    <row r="708">
      <c r="I708" s="5"/>
    </row>
    <row r="709">
      <c r="I709" s="5"/>
    </row>
    <row r="710">
      <c r="I710" s="5"/>
    </row>
    <row r="711">
      <c r="I711" s="5"/>
    </row>
    <row r="712">
      <c r="I712" s="5"/>
    </row>
    <row r="713">
      <c r="I713" s="5"/>
    </row>
    <row r="714">
      <c r="I714" s="5"/>
    </row>
    <row r="715">
      <c r="I715" s="5"/>
    </row>
    <row r="716">
      <c r="I716" s="5"/>
    </row>
    <row r="717">
      <c r="I717" s="5"/>
    </row>
    <row r="718">
      <c r="I718" s="5"/>
    </row>
    <row r="719">
      <c r="I719" s="5"/>
    </row>
    <row r="720">
      <c r="I720" s="5"/>
    </row>
    <row r="721">
      <c r="I721" s="5"/>
    </row>
    <row r="722">
      <c r="I722" s="5"/>
    </row>
    <row r="723">
      <c r="I723" s="5"/>
    </row>
    <row r="724">
      <c r="I724" s="5"/>
    </row>
    <row r="725">
      <c r="I725" s="5"/>
    </row>
    <row r="726">
      <c r="I726" s="5"/>
    </row>
    <row r="727">
      <c r="I727" s="5"/>
    </row>
    <row r="728">
      <c r="I728" s="5"/>
    </row>
    <row r="729">
      <c r="I729" s="5"/>
    </row>
    <row r="730">
      <c r="I730" s="5"/>
    </row>
    <row r="731">
      <c r="I731" s="5"/>
    </row>
    <row r="732">
      <c r="I732" s="5"/>
    </row>
    <row r="733">
      <c r="I733" s="5"/>
    </row>
    <row r="734">
      <c r="I734" s="5"/>
    </row>
    <row r="735">
      <c r="I735" s="5"/>
    </row>
    <row r="736">
      <c r="I736" s="5"/>
    </row>
    <row r="737">
      <c r="I737" s="5"/>
    </row>
    <row r="738">
      <c r="I738" s="5"/>
    </row>
    <row r="739">
      <c r="I739" s="5"/>
    </row>
    <row r="740">
      <c r="I740" s="5"/>
    </row>
    <row r="741">
      <c r="I741" s="5"/>
    </row>
    <row r="742">
      <c r="I742" s="5"/>
    </row>
    <row r="743">
      <c r="I743" s="5"/>
    </row>
    <row r="744">
      <c r="I744" s="5"/>
    </row>
    <row r="745">
      <c r="I745" s="5"/>
    </row>
    <row r="746">
      <c r="I746" s="5"/>
    </row>
    <row r="747">
      <c r="I747" s="5"/>
    </row>
    <row r="748">
      <c r="I748" s="5"/>
    </row>
    <row r="749">
      <c r="I749" s="5"/>
    </row>
    <row r="750">
      <c r="I750" s="5"/>
    </row>
    <row r="751">
      <c r="I751" s="5"/>
    </row>
    <row r="752">
      <c r="I752" s="5"/>
    </row>
    <row r="753">
      <c r="I753" s="5"/>
    </row>
    <row r="754">
      <c r="I754" s="5"/>
    </row>
    <row r="755">
      <c r="I755" s="5"/>
    </row>
    <row r="756">
      <c r="I756" s="5"/>
    </row>
    <row r="757">
      <c r="I757" s="5"/>
    </row>
    <row r="758">
      <c r="I758" s="5"/>
    </row>
    <row r="759">
      <c r="I759" s="5"/>
    </row>
    <row r="760">
      <c r="I760" s="5"/>
    </row>
    <row r="761">
      <c r="I761" s="5"/>
    </row>
    <row r="762">
      <c r="I762" s="5"/>
    </row>
    <row r="763">
      <c r="I763" s="5"/>
    </row>
    <row r="764">
      <c r="I764" s="5"/>
    </row>
    <row r="765">
      <c r="I765" s="5"/>
    </row>
    <row r="766">
      <c r="I766" s="5"/>
    </row>
    <row r="767">
      <c r="I767" s="5"/>
    </row>
    <row r="768">
      <c r="I768" s="5"/>
    </row>
    <row r="769">
      <c r="I769" s="5"/>
    </row>
    <row r="770">
      <c r="I770" s="5"/>
    </row>
    <row r="771">
      <c r="I771" s="5"/>
    </row>
    <row r="772">
      <c r="I772" s="5"/>
    </row>
    <row r="773">
      <c r="I773" s="5"/>
    </row>
    <row r="774">
      <c r="I774" s="5"/>
    </row>
    <row r="775">
      <c r="I775" s="5"/>
    </row>
    <row r="776">
      <c r="I776" s="5"/>
    </row>
    <row r="777">
      <c r="I777" s="5"/>
    </row>
    <row r="778">
      <c r="I778" s="5"/>
    </row>
    <row r="779">
      <c r="I779" s="5"/>
    </row>
    <row r="780">
      <c r="I780" s="5"/>
    </row>
    <row r="781">
      <c r="I781" s="5"/>
    </row>
    <row r="782">
      <c r="I782" s="5"/>
    </row>
    <row r="783">
      <c r="I783" s="5"/>
    </row>
    <row r="784">
      <c r="I784" s="5"/>
    </row>
    <row r="785">
      <c r="I785" s="5"/>
    </row>
    <row r="786">
      <c r="I786" s="5"/>
    </row>
    <row r="787">
      <c r="I787" s="5"/>
    </row>
    <row r="788">
      <c r="I788" s="5"/>
    </row>
    <row r="789">
      <c r="I789" s="5"/>
    </row>
    <row r="790">
      <c r="I790" s="5"/>
    </row>
    <row r="791">
      <c r="I791" s="5"/>
    </row>
    <row r="792">
      <c r="I792" s="5"/>
    </row>
    <row r="793">
      <c r="I793" s="5"/>
    </row>
    <row r="794">
      <c r="I794" s="5"/>
    </row>
    <row r="795">
      <c r="I795" s="5"/>
    </row>
    <row r="796">
      <c r="I796" s="5"/>
    </row>
    <row r="797">
      <c r="I797" s="5"/>
    </row>
    <row r="798">
      <c r="I798" s="5"/>
    </row>
    <row r="799">
      <c r="I799" s="5"/>
    </row>
    <row r="800">
      <c r="I800" s="5"/>
    </row>
    <row r="801">
      <c r="I801" s="5"/>
    </row>
    <row r="802">
      <c r="I802" s="5"/>
    </row>
    <row r="803">
      <c r="I803" s="5"/>
    </row>
    <row r="804">
      <c r="I804" s="5"/>
    </row>
    <row r="805">
      <c r="I805" s="5"/>
    </row>
    <row r="806">
      <c r="I806" s="5"/>
    </row>
    <row r="807">
      <c r="I807" s="5"/>
    </row>
    <row r="808">
      <c r="I808" s="5"/>
    </row>
    <row r="809">
      <c r="I809" s="5"/>
    </row>
    <row r="810">
      <c r="I810" s="5"/>
    </row>
    <row r="811">
      <c r="I811" s="5"/>
    </row>
    <row r="812">
      <c r="I812" s="5"/>
    </row>
    <row r="813">
      <c r="I813" s="5"/>
    </row>
    <row r="814">
      <c r="I814" s="5"/>
    </row>
    <row r="815">
      <c r="I815" s="5"/>
    </row>
    <row r="816">
      <c r="I816" s="5"/>
    </row>
    <row r="817">
      <c r="I817" s="5"/>
    </row>
    <row r="818">
      <c r="I818" s="5"/>
    </row>
    <row r="819">
      <c r="I819" s="5"/>
    </row>
    <row r="820">
      <c r="I820" s="5"/>
    </row>
    <row r="821">
      <c r="I821" s="5"/>
    </row>
    <row r="822">
      <c r="I822" s="5"/>
    </row>
    <row r="823">
      <c r="I823" s="5"/>
    </row>
    <row r="824">
      <c r="I824" s="5"/>
    </row>
    <row r="825">
      <c r="I825" s="5"/>
    </row>
    <row r="826">
      <c r="I826" s="5"/>
    </row>
    <row r="827">
      <c r="I827" s="5"/>
    </row>
    <row r="828">
      <c r="I828" s="5"/>
    </row>
    <row r="829">
      <c r="I829" s="5"/>
    </row>
    <row r="830">
      <c r="I830" s="5"/>
    </row>
    <row r="831">
      <c r="I831" s="5"/>
    </row>
    <row r="832">
      <c r="I832" s="5"/>
    </row>
    <row r="833">
      <c r="I833" s="5"/>
    </row>
    <row r="834">
      <c r="I834" s="5"/>
    </row>
    <row r="835">
      <c r="I835" s="5"/>
    </row>
    <row r="836">
      <c r="I836" s="5"/>
    </row>
    <row r="837">
      <c r="I837" s="5"/>
    </row>
    <row r="838">
      <c r="I838" s="5"/>
    </row>
    <row r="839">
      <c r="I839" s="5"/>
    </row>
    <row r="840">
      <c r="I840" s="5"/>
    </row>
    <row r="841">
      <c r="I841" s="5"/>
    </row>
    <row r="842">
      <c r="I842" s="5"/>
    </row>
    <row r="843">
      <c r="I843" s="5"/>
    </row>
    <row r="844">
      <c r="I844" s="5"/>
    </row>
    <row r="845">
      <c r="I845" s="5"/>
    </row>
    <row r="846">
      <c r="I846" s="5"/>
    </row>
    <row r="847">
      <c r="I847" s="5"/>
    </row>
    <row r="848">
      <c r="I848" s="5"/>
    </row>
    <row r="849">
      <c r="I849" s="5"/>
    </row>
    <row r="850">
      <c r="I850" s="5"/>
    </row>
    <row r="851">
      <c r="I851" s="5"/>
    </row>
    <row r="852">
      <c r="I852" s="5"/>
    </row>
    <row r="853">
      <c r="I853" s="5"/>
    </row>
    <row r="854">
      <c r="I854" s="5"/>
    </row>
    <row r="855">
      <c r="I855" s="5"/>
    </row>
    <row r="856">
      <c r="I856" s="5"/>
    </row>
    <row r="857">
      <c r="I857" s="5"/>
    </row>
    <row r="858">
      <c r="I858" s="5"/>
    </row>
    <row r="859">
      <c r="I859" s="5"/>
    </row>
    <row r="860">
      <c r="I860" s="5"/>
    </row>
    <row r="861">
      <c r="I861" s="5"/>
    </row>
    <row r="862">
      <c r="I862" s="5"/>
    </row>
    <row r="863">
      <c r="I863" s="5"/>
    </row>
    <row r="864">
      <c r="I864" s="5"/>
    </row>
    <row r="865">
      <c r="I865" s="5"/>
    </row>
    <row r="866">
      <c r="I866" s="5"/>
    </row>
    <row r="867">
      <c r="I867" s="5"/>
    </row>
    <row r="868">
      <c r="I868" s="5"/>
    </row>
    <row r="869">
      <c r="I869" s="5"/>
    </row>
    <row r="870">
      <c r="I870" s="5"/>
    </row>
    <row r="871">
      <c r="I871" s="5"/>
    </row>
    <row r="872">
      <c r="I872" s="5"/>
    </row>
    <row r="873">
      <c r="I873" s="5"/>
    </row>
    <row r="874">
      <c r="I874" s="5"/>
    </row>
    <row r="875">
      <c r="I875" s="5"/>
    </row>
    <row r="876">
      <c r="I876" s="5"/>
    </row>
    <row r="877">
      <c r="I877" s="5"/>
    </row>
    <row r="878">
      <c r="I878" s="5"/>
    </row>
    <row r="879">
      <c r="I879" s="5"/>
    </row>
    <row r="880">
      <c r="I880" s="5"/>
    </row>
    <row r="881">
      <c r="I881" s="5"/>
    </row>
    <row r="882">
      <c r="I882" s="5"/>
    </row>
    <row r="883">
      <c r="I883" s="5"/>
    </row>
    <row r="884">
      <c r="I884" s="5"/>
    </row>
    <row r="885">
      <c r="I885" s="5"/>
    </row>
    <row r="886">
      <c r="I886" s="5"/>
    </row>
    <row r="887">
      <c r="I887" s="5"/>
    </row>
    <row r="888">
      <c r="I888" s="5"/>
    </row>
    <row r="889">
      <c r="I889" s="5"/>
    </row>
    <row r="890">
      <c r="I890" s="5"/>
    </row>
    <row r="891">
      <c r="I891" s="5"/>
    </row>
    <row r="892">
      <c r="I892" s="5"/>
    </row>
    <row r="893">
      <c r="I893" s="5"/>
    </row>
    <row r="894">
      <c r="I894" s="5"/>
    </row>
    <row r="895">
      <c r="I895" s="5"/>
    </row>
    <row r="896">
      <c r="I896" s="5"/>
    </row>
    <row r="897">
      <c r="I897" s="5"/>
    </row>
    <row r="898">
      <c r="I898" s="5"/>
    </row>
    <row r="899">
      <c r="I899" s="5"/>
    </row>
    <row r="900">
      <c r="I900" s="5"/>
    </row>
    <row r="901">
      <c r="I901" s="5"/>
    </row>
    <row r="902">
      <c r="I902" s="5"/>
    </row>
    <row r="903">
      <c r="I903" s="5"/>
    </row>
    <row r="904">
      <c r="I904" s="5"/>
    </row>
    <row r="905">
      <c r="I905" s="5"/>
    </row>
    <row r="906">
      <c r="I906" s="5"/>
    </row>
    <row r="907">
      <c r="I907" s="5"/>
    </row>
    <row r="908">
      <c r="I908" s="5"/>
    </row>
    <row r="909">
      <c r="I909" s="5"/>
    </row>
    <row r="910">
      <c r="I910" s="5"/>
    </row>
    <row r="911">
      <c r="I911" s="5"/>
    </row>
    <row r="912">
      <c r="I912" s="5"/>
    </row>
    <row r="913">
      <c r="I913" s="5"/>
    </row>
    <row r="914">
      <c r="I914" s="5"/>
    </row>
    <row r="915">
      <c r="I915" s="5"/>
    </row>
    <row r="916">
      <c r="I916" s="5"/>
    </row>
    <row r="917">
      <c r="I917" s="5"/>
    </row>
    <row r="918">
      <c r="I918" s="5"/>
    </row>
    <row r="919">
      <c r="I919" s="5"/>
    </row>
    <row r="920">
      <c r="I920" s="5"/>
    </row>
    <row r="921">
      <c r="I921" s="5"/>
    </row>
    <row r="922">
      <c r="I922" s="5"/>
    </row>
    <row r="923">
      <c r="I923" s="5"/>
    </row>
    <row r="924">
      <c r="I924" s="5"/>
    </row>
    <row r="925">
      <c r="I925" s="5"/>
    </row>
    <row r="926">
      <c r="I926" s="5"/>
    </row>
    <row r="927">
      <c r="I927" s="5"/>
    </row>
    <row r="928">
      <c r="I928" s="5"/>
    </row>
    <row r="929">
      <c r="I929" s="5"/>
    </row>
    <row r="930">
      <c r="I930" s="5"/>
    </row>
    <row r="931">
      <c r="I931" s="5"/>
    </row>
    <row r="932">
      <c r="I932" s="5"/>
    </row>
    <row r="933">
      <c r="I933" s="5"/>
    </row>
    <row r="934">
      <c r="I934" s="5"/>
    </row>
    <row r="935">
      <c r="I935" s="5"/>
    </row>
    <row r="936">
      <c r="I936" s="5"/>
    </row>
    <row r="937">
      <c r="I937" s="5"/>
    </row>
    <row r="938">
      <c r="I938" s="5"/>
    </row>
    <row r="939">
      <c r="I939" s="5"/>
    </row>
    <row r="940">
      <c r="I940" s="5"/>
    </row>
    <row r="941">
      <c r="I941" s="5"/>
    </row>
    <row r="942">
      <c r="I942" s="5"/>
    </row>
    <row r="943">
      <c r="I943" s="5"/>
    </row>
    <row r="944">
      <c r="I944" s="5"/>
    </row>
    <row r="945">
      <c r="I945" s="5"/>
    </row>
    <row r="946">
      <c r="I946" s="5"/>
    </row>
    <row r="947">
      <c r="I947" s="5"/>
    </row>
    <row r="948">
      <c r="I948" s="5"/>
    </row>
    <row r="949">
      <c r="I949" s="5"/>
    </row>
    <row r="950">
      <c r="I950" s="5"/>
    </row>
    <row r="951">
      <c r="I951" s="5"/>
    </row>
    <row r="952">
      <c r="I952" s="5"/>
    </row>
    <row r="953">
      <c r="I953" s="5"/>
    </row>
    <row r="954">
      <c r="I954" s="5"/>
    </row>
    <row r="955">
      <c r="I955" s="5"/>
    </row>
    <row r="956">
      <c r="I956" s="5"/>
    </row>
    <row r="957">
      <c r="I957" s="5"/>
    </row>
    <row r="958">
      <c r="I958" s="5"/>
    </row>
    <row r="959">
      <c r="I959" s="5"/>
    </row>
    <row r="960">
      <c r="I960" s="5"/>
    </row>
    <row r="961">
      <c r="I961" s="5"/>
    </row>
    <row r="962">
      <c r="I962" s="5"/>
    </row>
    <row r="963">
      <c r="I963" s="5"/>
    </row>
    <row r="964">
      <c r="I964" s="5"/>
    </row>
    <row r="965">
      <c r="I965" s="5"/>
    </row>
    <row r="966">
      <c r="I966" s="5"/>
    </row>
    <row r="967">
      <c r="I967" s="5"/>
    </row>
    <row r="968">
      <c r="I968" s="5"/>
    </row>
    <row r="969">
      <c r="I969" s="5"/>
    </row>
    <row r="970">
      <c r="I970" s="5"/>
    </row>
    <row r="971">
      <c r="I971" s="5"/>
    </row>
    <row r="972">
      <c r="I972" s="5"/>
    </row>
    <row r="973">
      <c r="I973" s="5"/>
    </row>
    <row r="974">
      <c r="I974" s="5"/>
    </row>
    <row r="975">
      <c r="I975" s="5"/>
    </row>
    <row r="976">
      <c r="I976" s="5"/>
    </row>
    <row r="977">
      <c r="I977" s="5"/>
    </row>
    <row r="978">
      <c r="I978" s="5"/>
    </row>
    <row r="979">
      <c r="I979" s="5"/>
    </row>
    <row r="980">
      <c r="I980" s="5"/>
    </row>
    <row r="981">
      <c r="I981" s="5"/>
    </row>
    <row r="982">
      <c r="I982" s="5"/>
    </row>
    <row r="983">
      <c r="I983" s="5"/>
    </row>
    <row r="984">
      <c r="I984" s="5"/>
    </row>
    <row r="985">
      <c r="I985" s="5"/>
    </row>
    <row r="986">
      <c r="I986" s="5"/>
    </row>
    <row r="987">
      <c r="I987" s="5"/>
    </row>
    <row r="988">
      <c r="I988" s="5"/>
    </row>
    <row r="989">
      <c r="I989" s="5"/>
    </row>
    <row r="990">
      <c r="I990" s="5"/>
    </row>
    <row r="991">
      <c r="I991" s="5"/>
    </row>
    <row r="992">
      <c r="I992" s="5"/>
    </row>
    <row r="993">
      <c r="I993" s="5"/>
    </row>
    <row r="994">
      <c r="I994" s="5"/>
    </row>
    <row r="995">
      <c r="I995" s="5"/>
    </row>
    <row r="996">
      <c r="I996" s="5"/>
    </row>
    <row r="997">
      <c r="I997" s="5"/>
    </row>
    <row r="998">
      <c r="I998" s="5"/>
    </row>
    <row r="999">
      <c r="I999" s="5"/>
    </row>
    <row r="1000">
      <c r="I1000" s="5"/>
    </row>
    <row r="1001">
      <c r="I1001" s="5"/>
    </row>
    <row r="1002">
      <c r="I1002" s="5"/>
    </row>
    <row r="1003">
      <c r="I1003" s="5"/>
    </row>
    <row r="1004">
      <c r="I1004" s="5"/>
    </row>
    <row r="1005">
      <c r="I1005" s="5"/>
    </row>
    <row r="1006">
      <c r="I1006" s="5"/>
    </row>
    <row r="1007">
      <c r="I1007" s="5"/>
    </row>
    <row r="1008">
      <c r="I1008" s="5"/>
    </row>
    <row r="1009">
      <c r="I1009" s="5"/>
    </row>
    <row r="1010">
      <c r="I1010" s="5"/>
    </row>
    <row r="1011">
      <c r="I1011" s="5"/>
    </row>
    <row r="1012">
      <c r="I1012" s="5"/>
    </row>
    <row r="1013">
      <c r="I1013" s="5"/>
    </row>
    <row r="1014">
      <c r="I1014" s="5"/>
    </row>
    <row r="1015">
      <c r="I1015" s="5"/>
    </row>
    <row r="1016">
      <c r="I1016" s="5"/>
    </row>
    <row r="1017">
      <c r="I1017" s="5"/>
    </row>
    <row r="1018">
      <c r="I1018" s="5"/>
    </row>
    <row r="1019">
      <c r="I1019" s="5"/>
    </row>
    <row r="1020">
      <c r="I1020" s="5"/>
    </row>
    <row r="1021">
      <c r="I1021" s="5"/>
    </row>
    <row r="1022">
      <c r="I1022" s="5"/>
    </row>
    <row r="1023">
      <c r="I1023" s="5"/>
    </row>
    <row r="1024">
      <c r="I1024" s="5"/>
    </row>
    <row r="1025">
      <c r="I1025"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71"/>
    <col customWidth="1" min="2" max="2" width="5.29"/>
    <col customWidth="1" min="3" max="3" width="7.0"/>
    <col customWidth="1" min="4" max="4" width="8.71"/>
    <col customWidth="1" min="5" max="5" width="25.29"/>
    <col customWidth="1" min="6" max="6" width="27.71"/>
    <col customWidth="1" min="7" max="7" width="9.86"/>
    <col customWidth="1" min="8" max="8" width="13.57"/>
    <col customWidth="1" min="9" max="9" width="51.86"/>
  </cols>
  <sheetData>
    <row r="1">
      <c r="A1" s="20" t="s">
        <v>78</v>
      </c>
      <c r="B1" s="20" t="s">
        <v>79</v>
      </c>
      <c r="C1" s="20" t="s">
        <v>80</v>
      </c>
      <c r="D1" s="20" t="s">
        <v>81</v>
      </c>
      <c r="E1" s="20" t="s">
        <v>82</v>
      </c>
      <c r="F1" s="20" t="s">
        <v>83</v>
      </c>
      <c r="G1" s="21" t="s">
        <v>84</v>
      </c>
      <c r="H1" s="20" t="s">
        <v>85</v>
      </c>
      <c r="I1" s="20" t="s">
        <v>86</v>
      </c>
    </row>
    <row r="2">
      <c r="A2" s="22" t="s">
        <v>2001</v>
      </c>
      <c r="B2" s="22">
        <v>7185.0</v>
      </c>
      <c r="C2" s="23" t="str">
        <f t="shared" ref="C2:C5" si="1">HYPERLINK("http://ecotaxoserver.obs-vlfr.fr/browsetaxo/?id=11511","11511")</f>
        <v>11511</v>
      </c>
      <c r="D2" s="23" t="str">
        <f>HYPERLINK("http://www.marinespecies.org/aphia.php?p=taxdetails&amp;id=1248","1248")</f>
        <v>1248</v>
      </c>
      <c r="E2" s="22" t="s">
        <v>223</v>
      </c>
      <c r="F2" s="22" t="s">
        <v>224</v>
      </c>
      <c r="G2" s="22" t="s">
        <v>94</v>
      </c>
      <c r="H2" s="23" t="str">
        <f>HYPERLINK("http://www.marinespecies.org/aphia.php?p=taxdetails&amp;id=1248","1248")</f>
        <v>1248</v>
      </c>
      <c r="I2" s="24" t="s">
        <v>91</v>
      </c>
    </row>
    <row r="3">
      <c r="A3" s="22" t="s">
        <v>2001</v>
      </c>
      <c r="B3" s="22">
        <v>7185.0</v>
      </c>
      <c r="C3" s="23" t="str">
        <f t="shared" si="1"/>
        <v>11511</v>
      </c>
      <c r="D3" s="23" t="str">
        <f>HYPERLINK("http://www.marinespecies.org/aphia.php?p=taxdetails&amp;id=163921","163921")</f>
        <v>163921</v>
      </c>
      <c r="E3" s="22" t="s">
        <v>223</v>
      </c>
      <c r="F3" s="22" t="s">
        <v>258</v>
      </c>
      <c r="I3" s="24" t="s">
        <v>91</v>
      </c>
    </row>
    <row r="4">
      <c r="A4" s="22" t="s">
        <v>2001</v>
      </c>
      <c r="B4" s="22">
        <v>7185.0</v>
      </c>
      <c r="C4" s="23" t="str">
        <f t="shared" si="1"/>
        <v>11511</v>
      </c>
      <c r="D4" s="23" t="str">
        <f>HYPERLINK("http://www.marinespecies.org/aphia.php?p=taxdetails&amp;id=956054","956054")</f>
        <v>956054</v>
      </c>
      <c r="E4" s="22" t="s">
        <v>223</v>
      </c>
      <c r="F4" s="22" t="s">
        <v>258</v>
      </c>
      <c r="I4" s="24" t="s">
        <v>91</v>
      </c>
    </row>
    <row r="5">
      <c r="A5" s="22" t="s">
        <v>2001</v>
      </c>
      <c r="B5" s="22">
        <v>7185.0</v>
      </c>
      <c r="C5" s="23" t="str">
        <f t="shared" si="1"/>
        <v>11511</v>
      </c>
      <c r="D5" s="23" t="str">
        <f>HYPERLINK("http://www.marinespecies.org/aphia.php?p=taxdetails&amp;id=956065","956065")</f>
        <v>956065</v>
      </c>
      <c r="E5" s="22" t="s">
        <v>223</v>
      </c>
      <c r="F5" s="22" t="s">
        <v>315</v>
      </c>
      <c r="I5" s="24" t="s">
        <v>91</v>
      </c>
    </row>
    <row r="6">
      <c r="A6" s="22" t="s">
        <v>2001</v>
      </c>
      <c r="B6" s="22">
        <v>11.0</v>
      </c>
      <c r="C6" s="23" t="str">
        <f t="shared" ref="C6:C9" si="2">HYPERLINK("http://ecotaxoserver.obs-vlfr.fr/browsetaxo/?id=17513","17513")</f>
        <v>17513</v>
      </c>
      <c r="D6" s="23" t="str">
        <f>HYPERLINK("http://www.marinespecies.org/aphia.php?p=taxdetails&amp;id=1248","1248")</f>
        <v>1248</v>
      </c>
      <c r="E6" s="22" t="s">
        <v>347</v>
      </c>
      <c r="F6" s="22" t="s">
        <v>224</v>
      </c>
      <c r="G6" s="22" t="s">
        <v>94</v>
      </c>
      <c r="I6" s="24" t="s">
        <v>2002</v>
      </c>
    </row>
    <row r="7">
      <c r="A7" s="22" t="s">
        <v>2001</v>
      </c>
      <c r="B7" s="22">
        <v>11.0</v>
      </c>
      <c r="C7" s="23" t="str">
        <f t="shared" si="2"/>
        <v>17513</v>
      </c>
      <c r="D7" s="23" t="str">
        <f>HYPERLINK("http://www.marinespecies.org/aphia.php?p=taxdetails&amp;id=163921","163921")</f>
        <v>163921</v>
      </c>
      <c r="E7" s="22" t="s">
        <v>347</v>
      </c>
      <c r="F7" s="22" t="s">
        <v>258</v>
      </c>
      <c r="G7" s="22" t="s">
        <v>94</v>
      </c>
      <c r="H7" s="23" t="str">
        <f>HYPERLINK("http://www.marinespecies.org/aphia.php?p=taxdetails&amp;id=163921","163921")</f>
        <v>163921</v>
      </c>
      <c r="I7" s="24" t="s">
        <v>2002</v>
      </c>
    </row>
    <row r="8">
      <c r="A8" s="22" t="s">
        <v>2001</v>
      </c>
      <c r="B8" s="22">
        <v>11.0</v>
      </c>
      <c r="C8" s="23" t="str">
        <f t="shared" si="2"/>
        <v>17513</v>
      </c>
      <c r="D8" s="23" t="str">
        <f>HYPERLINK("http://www.marinespecies.org/aphia.php?p=taxdetails&amp;id=956054","956054")</f>
        <v>956054</v>
      </c>
      <c r="E8" s="22" t="s">
        <v>347</v>
      </c>
      <c r="F8" s="22" t="s">
        <v>258</v>
      </c>
      <c r="I8" s="24" t="s">
        <v>2002</v>
      </c>
    </row>
    <row r="9">
      <c r="A9" s="22" t="s">
        <v>2001</v>
      </c>
      <c r="B9" s="22">
        <v>11.0</v>
      </c>
      <c r="C9" s="23" t="str">
        <f t="shared" si="2"/>
        <v>17513</v>
      </c>
      <c r="D9" s="23" t="str">
        <f>HYPERLINK("http://www.marinespecies.org/aphia.php?p=taxdetails&amp;id=956065","956065")</f>
        <v>956065</v>
      </c>
      <c r="E9" s="22" t="s">
        <v>347</v>
      </c>
      <c r="F9" s="22" t="s">
        <v>315</v>
      </c>
      <c r="I9" s="24" t="s">
        <v>2002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14"/>
    <col customWidth="1" min="2" max="2" width="5.29"/>
    <col customWidth="1" min="3" max="3" width="7.0"/>
    <col customWidth="1" min="4" max="4" width="8.71"/>
    <col customWidth="1" min="5" max="5" width="20.0"/>
    <col customWidth="1" min="6" max="7" width="20.71"/>
    <col customWidth="1" min="8" max="8" width="15.43"/>
    <col customWidth="1" min="9" max="9" width="14.0"/>
    <col customWidth="1" min="10" max="10" width="31.14"/>
    <col customWidth="1" min="11" max="11" width="9.86"/>
    <col customWidth="1" min="12" max="12" width="13.57"/>
    <col customWidth="1" min="13" max="13" width="5.57"/>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2007</v>
      </c>
      <c r="B2" s="22">
        <v>4.0</v>
      </c>
      <c r="C2" s="23" t="str">
        <f>HYPERLINK("http://ecotaxoserver.obs-vlfr.fr/browsetaxo/?id=56018","56018")</f>
        <v>56018</v>
      </c>
      <c r="D2" s="23" t="str">
        <f>HYPERLINK("http://www.marinespecies.org/aphia.php?p=taxdetails&amp;id=345847","345847")</f>
        <v>345847</v>
      </c>
      <c r="E2" s="22" t="s">
        <v>131</v>
      </c>
      <c r="F2" s="22" t="s">
        <v>131</v>
      </c>
      <c r="G2" s="22" t="s">
        <v>2008</v>
      </c>
      <c r="H2" s="22" t="s">
        <v>2009</v>
      </c>
      <c r="I2" s="23" t="str">
        <f>HYPERLINK("http://www.marinespecies.org/aphia.php?p=taxdetails&amp;id=345847","345847")</f>
        <v>345847</v>
      </c>
      <c r="J2" s="22" t="s">
        <v>2007</v>
      </c>
      <c r="K2" s="22" t="s">
        <v>94</v>
      </c>
      <c r="L2" s="23" t="str">
        <f>HYPERLINK("http://www.marinespecies.org/aphia.php?p=taxdetails&amp;id=345847","345847")</f>
        <v>345847</v>
      </c>
      <c r="M2" s="22" t="s">
        <v>94</v>
      </c>
    </row>
    <row r="3">
      <c r="A3" s="22" t="s">
        <v>2010</v>
      </c>
      <c r="B3" s="22">
        <v>4.0</v>
      </c>
      <c r="C3" s="23" t="str">
        <f>HYPERLINK("http://ecotaxoserver.obs-vlfr.fr/browsetaxo/?id=92225","92225")</f>
        <v>92225</v>
      </c>
      <c r="D3" s="23" t="str">
        <f>HYPERLINK("http://www.marinespecies.org/aphia.php?p=taxdetails&amp;id=341492","341492")</f>
        <v>341492</v>
      </c>
      <c r="E3" s="22" t="s">
        <v>131</v>
      </c>
      <c r="F3" s="22" t="s">
        <v>131</v>
      </c>
      <c r="G3" s="22" t="s">
        <v>2008</v>
      </c>
      <c r="H3" s="22" t="s">
        <v>2009</v>
      </c>
      <c r="I3" s="23" t="str">
        <f>HYPERLINK("http://www.marinespecies.org/aphia.php?p=taxdetails&amp;id=341492","341492")</f>
        <v>341492</v>
      </c>
      <c r="J3" s="22" t="s">
        <v>2010</v>
      </c>
      <c r="K3" s="22" t="s">
        <v>94</v>
      </c>
      <c r="L3" s="23" t="str">
        <f>HYPERLINK("http://www.marinespecies.org/aphia.php?p=taxdetails&amp;id=341492","341492")</f>
        <v>341492</v>
      </c>
      <c r="M3" s="22" t="s">
        <v>94</v>
      </c>
    </row>
    <row r="4">
      <c r="A4" s="22" t="s">
        <v>2011</v>
      </c>
      <c r="B4" s="22">
        <v>3.0</v>
      </c>
      <c r="C4" s="23" t="str">
        <f>HYPERLINK("http://ecotaxoserver.obs-vlfr.fr/browsetaxo/?id=92155","92155")</f>
        <v>92155</v>
      </c>
      <c r="D4" s="23" t="str">
        <f>HYPERLINK("http://www.marinespecies.org/aphia.php?p=taxdetails&amp;id=464441","464441")</f>
        <v>464441</v>
      </c>
      <c r="E4" s="22" t="s">
        <v>268</v>
      </c>
      <c r="F4" s="22" t="s">
        <v>268</v>
      </c>
      <c r="G4" s="22" t="s">
        <v>2008</v>
      </c>
      <c r="H4" s="22" t="s">
        <v>2009</v>
      </c>
      <c r="I4" s="23" t="str">
        <f>HYPERLINK("http://www.marinespecies.org/aphia.php?p=taxdetails&amp;id=464441","464441")</f>
        <v>464441</v>
      </c>
      <c r="J4" s="22" t="s">
        <v>2011</v>
      </c>
      <c r="K4" s="22" t="s">
        <v>94</v>
      </c>
      <c r="L4" s="23" t="str">
        <f>HYPERLINK("http://www.marinespecies.org/aphia.php?p=taxdetails&amp;id=464441","464441")</f>
        <v>464441</v>
      </c>
      <c r="M4" s="22" t="s">
        <v>94</v>
      </c>
    </row>
    <row r="5">
      <c r="A5" s="22" t="s">
        <v>2012</v>
      </c>
      <c r="B5" s="22">
        <v>3.0</v>
      </c>
      <c r="C5" s="23" t="str">
        <f>HYPERLINK("http://ecotaxoserver.obs-vlfr.fr/browsetaxo/?id=92156","92156")</f>
        <v>92156</v>
      </c>
      <c r="D5" s="23" t="str">
        <f>HYPERLINK("http://www.marinespecies.org/aphia.php?p=taxdetails&amp;id=464442","464442")</f>
        <v>464442</v>
      </c>
      <c r="E5" s="22" t="s">
        <v>268</v>
      </c>
      <c r="F5" s="22" t="s">
        <v>268</v>
      </c>
      <c r="G5" s="22" t="s">
        <v>2008</v>
      </c>
      <c r="H5" s="22" t="s">
        <v>2009</v>
      </c>
      <c r="I5" s="23" t="str">
        <f>HYPERLINK("http://www.marinespecies.org/aphia.php?p=taxdetails&amp;id=464442","464442")</f>
        <v>464442</v>
      </c>
      <c r="J5" s="22" t="s">
        <v>2012</v>
      </c>
      <c r="K5" s="22" t="s">
        <v>94</v>
      </c>
      <c r="L5" s="23" t="str">
        <f>HYPERLINK("http://www.marinespecies.org/aphia.php?p=taxdetails&amp;id=464442","464442")</f>
        <v>464442</v>
      </c>
      <c r="M5" s="22" t="s">
        <v>94</v>
      </c>
    </row>
    <row r="6">
      <c r="A6" s="22" t="s">
        <v>2013</v>
      </c>
      <c r="B6" s="22">
        <v>8.0</v>
      </c>
      <c r="C6" s="23" t="str">
        <f>HYPERLINK("http://ecotaxoserver.obs-vlfr.fr/browsetaxo/?id=92164","92164")</f>
        <v>92164</v>
      </c>
      <c r="D6" s="23" t="str">
        <f>HYPERLINK("http://www.marinespecies.org/aphia.php?p=taxdetails&amp;id=464446","464446")</f>
        <v>464446</v>
      </c>
      <c r="E6" s="22" t="s">
        <v>303</v>
      </c>
      <c r="F6" s="22" t="s">
        <v>303</v>
      </c>
      <c r="G6" s="22" t="s">
        <v>2008</v>
      </c>
      <c r="H6" s="22" t="s">
        <v>2009</v>
      </c>
      <c r="I6" s="23" t="str">
        <f>HYPERLINK("http://www.marinespecies.org/aphia.php?p=taxdetails&amp;id=464446","464446")</f>
        <v>464446</v>
      </c>
      <c r="J6" s="22" t="s">
        <v>2013</v>
      </c>
      <c r="K6" s="22" t="s">
        <v>94</v>
      </c>
      <c r="L6" s="23" t="str">
        <f>HYPERLINK("http://www.marinespecies.org/aphia.php?p=taxdetails&amp;id=464446","464446")</f>
        <v>464446</v>
      </c>
      <c r="M6" s="22" t="s">
        <v>94</v>
      </c>
    </row>
    <row r="7">
      <c r="A7" s="22" t="s">
        <v>2014</v>
      </c>
      <c r="B7" s="22">
        <v>1.0</v>
      </c>
      <c r="C7" s="23" t="str">
        <f>HYPERLINK("http://ecotaxoserver.obs-vlfr.fr/browsetaxo/?id=92168","92168")</f>
        <v>92168</v>
      </c>
      <c r="D7" s="23" t="str">
        <f>HYPERLINK("http://www.marinespecies.org/aphia.php?p=taxdetails&amp;id=418485","418485")</f>
        <v>418485</v>
      </c>
      <c r="E7" s="22" t="s">
        <v>311</v>
      </c>
      <c r="F7" s="22" t="s">
        <v>311</v>
      </c>
      <c r="G7" s="22" t="s">
        <v>2008</v>
      </c>
      <c r="H7" s="22" t="s">
        <v>2009</v>
      </c>
      <c r="I7" s="23" t="str">
        <f>HYPERLINK("http://www.marinespecies.org/aphia.php?p=taxdetails&amp;id=418485","418485")</f>
        <v>418485</v>
      </c>
      <c r="J7" s="22" t="s">
        <v>2014</v>
      </c>
      <c r="K7" s="22" t="s">
        <v>94</v>
      </c>
      <c r="L7" s="23" t="str">
        <f>HYPERLINK("http://www.marinespecies.org/aphia.php?p=taxdetails&amp;id=418485","418485")</f>
        <v>418485</v>
      </c>
      <c r="M7" s="22" t="s">
        <v>94</v>
      </c>
    </row>
    <row r="8">
      <c r="A8" s="22" t="s">
        <v>2015</v>
      </c>
      <c r="B8" s="22">
        <v>2.0</v>
      </c>
      <c r="C8" s="23" t="str">
        <f>HYPERLINK("http://ecotaxoserver.obs-vlfr.fr/browsetaxo/?id=92170","92170")</f>
        <v>92170</v>
      </c>
      <c r="D8" s="23" t="str">
        <f>HYPERLINK("http://www.marinespecies.org/aphia.php?p=taxdetails&amp;id=164110","164110")</f>
        <v>164110</v>
      </c>
      <c r="E8" s="22" t="s">
        <v>311</v>
      </c>
      <c r="F8" s="22" t="s">
        <v>311</v>
      </c>
      <c r="G8" s="22" t="s">
        <v>2008</v>
      </c>
      <c r="H8" s="22" t="s">
        <v>2009</v>
      </c>
      <c r="I8" s="23" t="str">
        <f>HYPERLINK("http://www.marinespecies.org/aphia.php?p=taxdetails&amp;id=164110","164110")</f>
        <v>164110</v>
      </c>
      <c r="J8" s="22" t="s">
        <v>2015</v>
      </c>
      <c r="K8" s="22" t="s">
        <v>94</v>
      </c>
      <c r="L8" s="23" t="str">
        <f>HYPERLINK("http://www.marinespecies.org/aphia.php?p=taxdetails&amp;id=164110","164110")</f>
        <v>164110</v>
      </c>
      <c r="M8" s="22" t="s">
        <v>94</v>
      </c>
    </row>
    <row r="9">
      <c r="A9" s="22" t="s">
        <v>2016</v>
      </c>
      <c r="B9" s="22">
        <v>1.0</v>
      </c>
      <c r="C9" s="23" t="str">
        <f>HYPERLINK("http://ecotaxoserver.obs-vlfr.fr/browsetaxo/?id=92171","92171")</f>
        <v>92171</v>
      </c>
      <c r="D9" s="23" t="str">
        <f>HYPERLINK("http://www.marinespecies.org/aphia.php?p=taxdetails&amp;id=418487","418487")</f>
        <v>418487</v>
      </c>
      <c r="E9" s="22" t="s">
        <v>311</v>
      </c>
      <c r="F9" s="22" t="s">
        <v>311</v>
      </c>
      <c r="G9" s="22" t="s">
        <v>2008</v>
      </c>
      <c r="H9" s="22" t="s">
        <v>2009</v>
      </c>
      <c r="I9" s="23" t="str">
        <f>HYPERLINK("http://www.marinespecies.org/aphia.php?p=taxdetails&amp;id=418487","418487")</f>
        <v>418487</v>
      </c>
      <c r="J9" s="22" t="s">
        <v>2016</v>
      </c>
      <c r="K9" s="22" t="s">
        <v>94</v>
      </c>
      <c r="L9" s="23" t="str">
        <f>HYPERLINK("http://www.marinespecies.org/aphia.php?p=taxdetails&amp;id=418487","418487")</f>
        <v>418487</v>
      </c>
      <c r="M9" s="22" t="s">
        <v>94</v>
      </c>
    </row>
    <row r="10">
      <c r="A10" s="22" t="s">
        <v>2017</v>
      </c>
      <c r="B10" s="22">
        <v>1.0</v>
      </c>
      <c r="C10" s="23" t="str">
        <f>HYPERLINK("http://ecotaxoserver.obs-vlfr.fr/browsetaxo/?id=92172","92172")</f>
        <v>92172</v>
      </c>
      <c r="D10" s="23" t="str">
        <f>HYPERLINK("http://www.marinespecies.org/aphia.php?p=taxdetails&amp;id=656612","656612")</f>
        <v>656612</v>
      </c>
      <c r="E10" s="22" t="s">
        <v>311</v>
      </c>
      <c r="F10" s="22" t="s">
        <v>311</v>
      </c>
      <c r="G10" s="22" t="s">
        <v>2008</v>
      </c>
      <c r="H10" s="22" t="s">
        <v>2009</v>
      </c>
      <c r="I10" s="23" t="str">
        <f>HYPERLINK("http://www.marinespecies.org/aphia.php?p=taxdetails&amp;id=656612","656612")</f>
        <v>656612</v>
      </c>
      <c r="J10" s="22" t="s">
        <v>2017</v>
      </c>
      <c r="K10" s="22" t="s">
        <v>94</v>
      </c>
      <c r="L10" s="23" t="str">
        <f>HYPERLINK("http://www.marinespecies.org/aphia.php?p=taxdetails&amp;id=656612","656612")</f>
        <v>656612</v>
      </c>
      <c r="M10" s="22" t="s">
        <v>94</v>
      </c>
    </row>
    <row r="11">
      <c r="A11" s="22" t="s">
        <v>2018</v>
      </c>
      <c r="B11" s="22">
        <v>124.0</v>
      </c>
      <c r="C11" s="23" t="str">
        <f>HYPERLINK("http://ecotaxoserver.obs-vlfr.fr/browsetaxo/?id=92183","92183")</f>
        <v>92183</v>
      </c>
      <c r="D11" s="23" t="str">
        <f>HYPERLINK("http://www.marinespecies.org/aphia.php?p=taxdetails&amp;id=980583","980583")</f>
        <v>980583</v>
      </c>
      <c r="E11" s="22" t="s">
        <v>467</v>
      </c>
      <c r="F11" s="22" t="s">
        <v>467</v>
      </c>
      <c r="G11" s="22" t="s">
        <v>2008</v>
      </c>
      <c r="H11" s="22" t="s">
        <v>2009</v>
      </c>
      <c r="I11" s="23" t="str">
        <f>HYPERLINK("http://www.marinespecies.org/aphia.php?p=taxdetails&amp;id=980583","980583")</f>
        <v>980583</v>
      </c>
      <c r="J11" s="22" t="s">
        <v>2018</v>
      </c>
      <c r="K11" s="22" t="s">
        <v>94</v>
      </c>
      <c r="L11" s="23" t="str">
        <f>HYPERLINK("http://www.marinespecies.org/aphia.php?p=taxdetails&amp;id=980583","980583")</f>
        <v>980583</v>
      </c>
      <c r="M11" s="22" t="s">
        <v>94</v>
      </c>
    </row>
    <row r="12">
      <c r="A12" s="22" t="s">
        <v>2019</v>
      </c>
      <c r="B12" s="22">
        <v>5.0</v>
      </c>
      <c r="C12" s="23" t="str">
        <f>HYPERLINK("http://ecotaxoserver.obs-vlfr.fr/browsetaxo/?id=85493","85493")</f>
        <v>85493</v>
      </c>
      <c r="D12" s="23" t="str">
        <f>HYPERLINK("http://www.marinespecies.org/aphia.php?p=taxdetails&amp;id=149623","149623")</f>
        <v>149623</v>
      </c>
      <c r="E12" s="22" t="s">
        <v>467</v>
      </c>
      <c r="F12" s="22" t="s">
        <v>467</v>
      </c>
      <c r="G12" s="22" t="s">
        <v>2008</v>
      </c>
      <c r="H12" s="22" t="s">
        <v>2009</v>
      </c>
      <c r="I12" s="23" t="str">
        <f>HYPERLINK("http://www.marinespecies.org/aphia.php?p=taxdetails&amp;id=149623","149623")</f>
        <v>149623</v>
      </c>
      <c r="J12" s="22" t="s">
        <v>2019</v>
      </c>
      <c r="K12" s="22" t="s">
        <v>94</v>
      </c>
      <c r="L12" s="23" t="str">
        <f>HYPERLINK("http://www.marinespecies.org/aphia.php?p=taxdetails&amp;id=149623","149623")</f>
        <v>149623</v>
      </c>
      <c r="M12" s="22" t="s">
        <v>94</v>
      </c>
    </row>
    <row r="13">
      <c r="A13" s="22" t="s">
        <v>2020</v>
      </c>
      <c r="B13" s="22">
        <v>1.0</v>
      </c>
      <c r="C13" s="23" t="str">
        <f>HYPERLINK("http://ecotaxoserver.obs-vlfr.fr/browsetaxo/?id=92187","92187")</f>
        <v>92187</v>
      </c>
      <c r="D13" s="23" t="str">
        <f>HYPERLINK("http://www.marinespecies.org/aphia.php?p=taxdetails&amp;id=149289","149289")</f>
        <v>149289</v>
      </c>
      <c r="E13" s="22" t="s">
        <v>467</v>
      </c>
      <c r="F13" s="22" t="s">
        <v>467</v>
      </c>
      <c r="G13" s="22" t="s">
        <v>2008</v>
      </c>
      <c r="H13" s="22" t="s">
        <v>2009</v>
      </c>
      <c r="I13" s="23" t="str">
        <f>HYPERLINK("http://www.marinespecies.org/aphia.php?p=taxdetails&amp;id=149289","149289")</f>
        <v>149289</v>
      </c>
      <c r="J13" s="22" t="s">
        <v>2020</v>
      </c>
      <c r="K13" s="22" t="s">
        <v>94</v>
      </c>
      <c r="L13" s="23" t="str">
        <f>HYPERLINK("http://www.marinespecies.org/aphia.php?p=taxdetails&amp;id=149289","149289")</f>
        <v>149289</v>
      </c>
      <c r="M13" s="22" t="s">
        <v>94</v>
      </c>
    </row>
    <row r="14">
      <c r="A14" s="22" t="s">
        <v>2021</v>
      </c>
      <c r="B14" s="22">
        <v>117.0</v>
      </c>
      <c r="C14" s="23" t="str">
        <f>HYPERLINK("http://ecotaxoserver.obs-vlfr.fr/browsetaxo/?id=85490","85490")</f>
        <v>85490</v>
      </c>
      <c r="D14" s="23" t="str">
        <f>HYPERLINK("http://www.marinespecies.org/aphia.php?p=taxdetails&amp;id=149624","149624")</f>
        <v>149624</v>
      </c>
      <c r="E14" s="22" t="s">
        <v>467</v>
      </c>
      <c r="F14" s="22" t="s">
        <v>467</v>
      </c>
      <c r="G14" s="22" t="s">
        <v>2008</v>
      </c>
      <c r="H14" s="22" t="s">
        <v>2009</v>
      </c>
      <c r="I14" s="23" t="str">
        <f>HYPERLINK("http://www.marinespecies.org/aphia.php?p=taxdetails&amp;id=149624","149624")</f>
        <v>149624</v>
      </c>
      <c r="J14" s="22" t="s">
        <v>2021</v>
      </c>
      <c r="K14" s="22" t="s">
        <v>94</v>
      </c>
      <c r="L14" s="23" t="str">
        <f>HYPERLINK("http://www.marinespecies.org/aphia.php?p=taxdetails&amp;id=149624","149624")</f>
        <v>149624</v>
      </c>
      <c r="M14" s="22" t="s">
        <v>94</v>
      </c>
    </row>
    <row r="15">
      <c r="A15" s="22" t="s">
        <v>2022</v>
      </c>
      <c r="B15" s="22">
        <v>75.0</v>
      </c>
      <c r="C15" s="23" t="str">
        <f>HYPERLINK("http://ecotaxoserver.obs-vlfr.fr/browsetaxo/?id=92195","92195")</f>
        <v>92195</v>
      </c>
      <c r="D15" s="23" t="str">
        <f>HYPERLINK("http://www.marinespecies.org/aphia.php?p=taxdetails&amp;id=341478","341478")</f>
        <v>341478</v>
      </c>
      <c r="E15" s="22" t="s">
        <v>467</v>
      </c>
      <c r="F15" s="22" t="s">
        <v>467</v>
      </c>
      <c r="G15" s="22" t="s">
        <v>2008</v>
      </c>
      <c r="H15" s="22" t="s">
        <v>2009</v>
      </c>
      <c r="I15" s="23" t="str">
        <f>HYPERLINK("http://www.marinespecies.org/aphia.php?p=taxdetails&amp;id=341478","341478")</f>
        <v>341478</v>
      </c>
      <c r="J15" s="22" t="s">
        <v>2022</v>
      </c>
      <c r="K15" s="22" t="s">
        <v>94</v>
      </c>
      <c r="L15" s="23" t="str">
        <f>HYPERLINK("http://www.marinespecies.org/aphia.php?p=taxdetails&amp;id=341478","341478")</f>
        <v>341478</v>
      </c>
      <c r="M15" s="22" t="s">
        <v>94</v>
      </c>
    </row>
    <row r="16">
      <c r="A16" s="22" t="s">
        <v>2023</v>
      </c>
      <c r="B16" s="22">
        <v>1.0</v>
      </c>
      <c r="C16" s="23" t="str">
        <f>HYPERLINK("http://ecotaxoserver.obs-vlfr.fr/browsetaxo/?id=92198","92198")</f>
        <v>92198</v>
      </c>
      <c r="D16" s="23" t="str">
        <f>HYPERLINK("http://www.marinespecies.org/aphia.php?p=taxdetails&amp;id=418509","418509")</f>
        <v>418509</v>
      </c>
      <c r="E16" s="22" t="s">
        <v>467</v>
      </c>
      <c r="F16" s="22" t="s">
        <v>467</v>
      </c>
      <c r="G16" s="22" t="s">
        <v>2008</v>
      </c>
      <c r="H16" s="22" t="s">
        <v>2009</v>
      </c>
      <c r="I16" s="23" t="str">
        <f>HYPERLINK("http://www.marinespecies.org/aphia.php?p=taxdetails&amp;id=418509","418509")</f>
        <v>418509</v>
      </c>
      <c r="J16" s="22" t="s">
        <v>2023</v>
      </c>
      <c r="K16" s="22" t="s">
        <v>94</v>
      </c>
      <c r="L16" s="23" t="str">
        <f>HYPERLINK("http://www.marinespecies.org/aphia.php?p=taxdetails&amp;id=418509","418509")</f>
        <v>418509</v>
      </c>
      <c r="M16" s="22" t="s">
        <v>94</v>
      </c>
    </row>
    <row r="17">
      <c r="A17" s="22" t="s">
        <v>2024</v>
      </c>
      <c r="B17" s="22">
        <v>2.0</v>
      </c>
      <c r="C17" s="23" t="str">
        <f>HYPERLINK("http://ecotaxoserver.obs-vlfr.fr/browsetaxo/?id=55847","55847")</f>
        <v>55847</v>
      </c>
      <c r="D17" s="23" t="str">
        <f>HYPERLINK("http://www.marinespecies.org/aphia.php?p=taxdetails&amp;id=418510","418510")</f>
        <v>418510</v>
      </c>
      <c r="E17" s="22" t="s">
        <v>467</v>
      </c>
      <c r="F17" s="22" t="s">
        <v>467</v>
      </c>
      <c r="G17" s="22" t="s">
        <v>2008</v>
      </c>
      <c r="H17" s="22" t="s">
        <v>2009</v>
      </c>
      <c r="I17" s="23" t="str">
        <f>HYPERLINK("http://www.marinespecies.org/aphia.php?p=taxdetails&amp;id=418510","418510")</f>
        <v>418510</v>
      </c>
      <c r="J17" s="22" t="s">
        <v>2024</v>
      </c>
      <c r="K17" s="22" t="s">
        <v>94</v>
      </c>
      <c r="L17" s="23" t="str">
        <f>HYPERLINK("http://www.marinespecies.org/aphia.php?p=taxdetails&amp;id=418510","418510")</f>
        <v>418510</v>
      </c>
      <c r="M17" s="22" t="s">
        <v>94</v>
      </c>
    </row>
    <row r="18">
      <c r="A18" s="22" t="s">
        <v>2025</v>
      </c>
      <c r="B18" s="22">
        <v>3.0</v>
      </c>
      <c r="C18" s="23" t="str">
        <f>HYPERLINK("http://ecotaxoserver.obs-vlfr.fr/browsetaxo/?id=55845","55845")</f>
        <v>55845</v>
      </c>
      <c r="D18" s="23" t="str">
        <f>HYPERLINK("http://www.marinespecies.org/aphia.php?p=taxdetails&amp;id=163112","163112")</f>
        <v>163112</v>
      </c>
      <c r="E18" s="22" t="s">
        <v>467</v>
      </c>
      <c r="F18" s="22" t="s">
        <v>467</v>
      </c>
      <c r="G18" s="22" t="s">
        <v>2008</v>
      </c>
      <c r="H18" s="22" t="s">
        <v>2009</v>
      </c>
      <c r="I18" s="23" t="str">
        <f>HYPERLINK("http://www.marinespecies.org/aphia.php?p=taxdetails&amp;id=163112","163112")</f>
        <v>163112</v>
      </c>
      <c r="J18" s="22" t="s">
        <v>2025</v>
      </c>
      <c r="K18" s="22" t="s">
        <v>94</v>
      </c>
      <c r="L18" s="23" t="str">
        <f>HYPERLINK("http://www.marinespecies.org/aphia.php?p=taxdetails&amp;id=163112","163112")</f>
        <v>163112</v>
      </c>
      <c r="M18" s="22" t="s">
        <v>94</v>
      </c>
    </row>
    <row r="19">
      <c r="A19" s="22" t="s">
        <v>2026</v>
      </c>
      <c r="B19" s="22">
        <v>99.0</v>
      </c>
      <c r="C19" s="23" t="str">
        <f>HYPERLINK("http://ecotaxoserver.obs-vlfr.fr/browsetaxo/?id=56015","56015")</f>
        <v>56015</v>
      </c>
      <c r="D19" s="23" t="str">
        <f>HYPERLINK("http://www.marinespecies.org/aphia.php?p=taxdetails&amp;id=179596","179596")</f>
        <v>179596</v>
      </c>
      <c r="E19" s="22" t="s">
        <v>586</v>
      </c>
      <c r="F19" s="22" t="s">
        <v>586</v>
      </c>
      <c r="G19" s="22" t="s">
        <v>2008</v>
      </c>
      <c r="H19" s="22" t="s">
        <v>2009</v>
      </c>
      <c r="I19" s="23" t="str">
        <f>HYPERLINK("http://www.marinespecies.org/aphia.php?p=taxdetails&amp;id=179596","179596")</f>
        <v>179596</v>
      </c>
      <c r="J19" s="22" t="s">
        <v>2026</v>
      </c>
      <c r="K19" s="22" t="s">
        <v>94</v>
      </c>
      <c r="L19" s="23" t="str">
        <f>HYPERLINK("http://www.marinespecies.org/aphia.php?p=taxdetails&amp;id=179596","179596")</f>
        <v>179596</v>
      </c>
      <c r="M19" s="22" t="s">
        <v>94</v>
      </c>
    </row>
    <row r="20">
      <c r="A20" s="22" t="s">
        <v>2027</v>
      </c>
      <c r="B20" s="22">
        <v>36.0</v>
      </c>
      <c r="C20" s="23" t="str">
        <f>HYPERLINK("http://ecotaxoserver.obs-vlfr.fr/browsetaxo/?id=8980","8980")</f>
        <v>8980</v>
      </c>
      <c r="D20" s="23" t="str">
        <f>HYPERLINK("http://www.marinespecies.org/aphia.php?p=taxdetails&amp;id=573269","573269")</f>
        <v>573269</v>
      </c>
      <c r="E20" s="22" t="s">
        <v>215</v>
      </c>
      <c r="F20" s="22" t="s">
        <v>2028</v>
      </c>
      <c r="G20" s="22" t="s">
        <v>2029</v>
      </c>
      <c r="I20" s="23" t="str">
        <f>HYPERLINK("http://www.marinespecies.org/aphia.php?p=taxdetails&amp;id=573269","573269")</f>
        <v>573269</v>
      </c>
      <c r="J20" s="22" t="s">
        <v>2027</v>
      </c>
      <c r="K20" s="22" t="s">
        <v>94</v>
      </c>
      <c r="L20" s="23" t="str">
        <f>HYPERLINK("http://www.marinespecies.org/aphia.php?p=taxdetails&amp;id=573269","573269")</f>
        <v>573269</v>
      </c>
      <c r="M20" s="22" t="s">
        <v>94</v>
      </c>
    </row>
    <row r="21">
      <c r="A21" s="22" t="s">
        <v>2030</v>
      </c>
      <c r="B21" s="22">
        <v>41.0</v>
      </c>
      <c r="C21" s="23" t="str">
        <f>HYPERLINK("http://ecotaxoserver.obs-vlfr.fr/browsetaxo/?id=78156","78156")</f>
        <v>78156</v>
      </c>
      <c r="D21" s="23" t="str">
        <f>HYPERLINK("http://www.marinespecies.org/aphia.php?p=taxdetails&amp;id=267353","267353")</f>
        <v>267353</v>
      </c>
      <c r="E21" s="22" t="s">
        <v>2031</v>
      </c>
      <c r="F21" s="22" t="s">
        <v>2032</v>
      </c>
      <c r="G21" s="22" t="s">
        <v>2033</v>
      </c>
      <c r="I21" s="23" t="str">
        <f>HYPERLINK("http://www.marinespecies.org/aphia.php?p=taxdetails&amp;id=267353","267353")</f>
        <v>267353</v>
      </c>
      <c r="J21" s="22" t="s">
        <v>2030</v>
      </c>
      <c r="K21" s="22" t="s">
        <v>94</v>
      </c>
      <c r="L21" s="23" t="str">
        <f>HYPERLINK("http://www.marinespecies.org/aphia.php?p=taxdetails&amp;id=267353","267353")</f>
        <v>267353</v>
      </c>
      <c r="M21" s="22" t="s">
        <v>94</v>
      </c>
    </row>
    <row r="22">
      <c r="A22" s="22" t="s">
        <v>2034</v>
      </c>
      <c r="B22" s="22">
        <v>19.0</v>
      </c>
      <c r="C22" s="23" t="str">
        <f>HYPERLINK("http://ecotaxoserver.obs-vlfr.fr/browsetaxo/?id=85531","85531")</f>
        <v>85531</v>
      </c>
      <c r="D22" s="23" t="str">
        <f>HYPERLINK("http://www.marinespecies.org/aphia.php?p=taxdetails&amp;id=179785","179785")</f>
        <v>179785</v>
      </c>
      <c r="E22" s="22" t="s">
        <v>687</v>
      </c>
      <c r="F22" s="22" t="s">
        <v>687</v>
      </c>
      <c r="G22" s="22" t="s">
        <v>2008</v>
      </c>
      <c r="H22" s="22" t="s">
        <v>2009</v>
      </c>
      <c r="I22" s="23" t="str">
        <f>HYPERLINK("http://www.marinespecies.org/aphia.php?p=taxdetails&amp;id=179785","179785")</f>
        <v>179785</v>
      </c>
      <c r="J22" s="22" t="s">
        <v>2034</v>
      </c>
      <c r="K22" s="22" t="s">
        <v>94</v>
      </c>
      <c r="L22" s="23" t="str">
        <f>HYPERLINK("http://www.marinespecies.org/aphia.php?p=taxdetails&amp;id=179785","179785")</f>
        <v>179785</v>
      </c>
      <c r="M22" s="22" t="s">
        <v>94</v>
      </c>
    </row>
    <row r="23">
      <c r="A23" s="22" t="s">
        <v>2035</v>
      </c>
      <c r="B23" s="22">
        <v>8.0</v>
      </c>
      <c r="C23" s="23" t="str">
        <f>HYPERLINK("http://ecotaxoserver.obs-vlfr.fr/browsetaxo/?id=55891","55891")</f>
        <v>55891</v>
      </c>
      <c r="D23" s="23" t="str">
        <f>HYPERLINK("http://www.marinespecies.org/aphia.php?p=taxdetails&amp;id=149023","149023")</f>
        <v>149023</v>
      </c>
      <c r="E23" s="22" t="s">
        <v>763</v>
      </c>
      <c r="F23" s="22" t="s">
        <v>763</v>
      </c>
      <c r="G23" s="22" t="s">
        <v>2008</v>
      </c>
      <c r="H23" s="22" t="s">
        <v>2009</v>
      </c>
      <c r="I23" s="23" t="str">
        <f>HYPERLINK("http://www.marinespecies.org/aphia.php?p=taxdetails&amp;id=149023","149023")</f>
        <v>149023</v>
      </c>
      <c r="J23" s="22" t="s">
        <v>2035</v>
      </c>
      <c r="K23" s="22" t="s">
        <v>94</v>
      </c>
      <c r="L23" s="23" t="str">
        <f>HYPERLINK("http://www.marinespecies.org/aphia.php?p=taxdetails&amp;id=149023","149023")</f>
        <v>149023</v>
      </c>
      <c r="M23" s="22" t="s">
        <v>94</v>
      </c>
    </row>
    <row r="24">
      <c r="A24" s="22" t="s">
        <v>2036</v>
      </c>
      <c r="B24" s="22">
        <v>30.0</v>
      </c>
      <c r="C24" s="23" t="str">
        <f>HYPERLINK("http://ecotaxoserver.obs-vlfr.fr/browsetaxo/?id=55895","55895")</f>
        <v>55895</v>
      </c>
      <c r="D24" s="23" t="str">
        <f>HYPERLINK("http://www.marinespecies.org/aphia.php?p=taxdetails&amp;id=157430","157430")</f>
        <v>157430</v>
      </c>
      <c r="E24" s="22" t="s">
        <v>812</v>
      </c>
      <c r="F24" s="22" t="s">
        <v>812</v>
      </c>
      <c r="G24" s="22" t="s">
        <v>2008</v>
      </c>
      <c r="H24" s="22" t="s">
        <v>2009</v>
      </c>
      <c r="I24" s="23" t="str">
        <f>HYPERLINK("http://www.marinespecies.org/aphia.php?p=taxdetails&amp;id=157430","157430")</f>
        <v>157430</v>
      </c>
      <c r="J24" s="22" t="s">
        <v>2036</v>
      </c>
      <c r="K24" s="22" t="s">
        <v>94</v>
      </c>
      <c r="L24" s="23" t="str">
        <f>HYPERLINK("http://www.marinespecies.org/aphia.php?p=taxdetails&amp;id=157430","157430")</f>
        <v>157430</v>
      </c>
      <c r="M24" s="22" t="s">
        <v>94</v>
      </c>
    </row>
    <row r="25">
      <c r="A25" s="22" t="s">
        <v>2037</v>
      </c>
      <c r="B25" s="22">
        <v>9.0</v>
      </c>
      <c r="C25" s="23" t="str">
        <f>HYPERLINK("http://ecotaxoserver.obs-vlfr.fr/browsetaxo/?id=55892","55892")</f>
        <v>55892</v>
      </c>
      <c r="D25" s="23" t="str">
        <f>HYPERLINK("http://www.marinespecies.org/aphia.php?p=taxdetails&amp;id=149131","149131")</f>
        <v>149131</v>
      </c>
      <c r="E25" s="22" t="s">
        <v>812</v>
      </c>
      <c r="F25" s="22" t="s">
        <v>812</v>
      </c>
      <c r="G25" s="22" t="s">
        <v>2008</v>
      </c>
      <c r="H25" s="22" t="s">
        <v>2009</v>
      </c>
      <c r="I25" s="23" t="str">
        <f>HYPERLINK("http://www.marinespecies.org/aphia.php?p=taxdetails&amp;id=149131","149131")</f>
        <v>149131</v>
      </c>
      <c r="J25" s="22" t="s">
        <v>2037</v>
      </c>
      <c r="K25" s="22" t="s">
        <v>94</v>
      </c>
      <c r="L25" s="23" t="str">
        <f>HYPERLINK("http://www.marinespecies.org/aphia.php?p=taxdetails&amp;id=149131","149131")</f>
        <v>149131</v>
      </c>
      <c r="M25" s="22" t="s">
        <v>94</v>
      </c>
    </row>
    <row r="26">
      <c r="A26" s="22" t="s">
        <v>2038</v>
      </c>
      <c r="B26" s="22">
        <v>1.0</v>
      </c>
      <c r="C26" s="23" t="str">
        <f>HYPERLINK("http://ecotaxoserver.obs-vlfr.fr/browsetaxo/?id=91225","91225")</f>
        <v>91225</v>
      </c>
      <c r="D26" s="23" t="str">
        <f>HYPERLINK("http://www.marinespecies.org/aphia.php?p=taxdetails&amp;id=172418","172418")</f>
        <v>172418</v>
      </c>
      <c r="E26" s="22" t="s">
        <v>751</v>
      </c>
      <c r="F26" s="22" t="s">
        <v>875</v>
      </c>
      <c r="G26" s="22" t="s">
        <v>2008</v>
      </c>
      <c r="H26" s="22" t="s">
        <v>2009</v>
      </c>
      <c r="I26" s="23" t="str">
        <f>HYPERLINK("http://www.marinespecies.org/aphia.php?p=taxdetails&amp;id=172418","172418")</f>
        <v>172418</v>
      </c>
      <c r="J26" s="22" t="s">
        <v>2038</v>
      </c>
      <c r="K26" s="22" t="s">
        <v>94</v>
      </c>
      <c r="L26" s="23" t="str">
        <f>HYPERLINK("http://www.marinespecies.org/aphia.php?p=taxdetails&amp;id=172418","172418")</f>
        <v>172418</v>
      </c>
      <c r="M26" s="22" t="s">
        <v>94</v>
      </c>
    </row>
    <row r="27">
      <c r="A27" s="25" t="s">
        <v>2039</v>
      </c>
      <c r="B27" s="25">
        <v>90.0</v>
      </c>
      <c r="C27" s="26" t="str">
        <f>HYPERLINK("http://ecotaxoserver.obs-vlfr.fr/browsetaxo/?id=56062","56062")</f>
        <v>56062</v>
      </c>
      <c r="D27" s="26" t="str">
        <f>HYPERLINK("http://www.marinespecies.org/aphia.php?p=taxdetails&amp;id=967041","967041")</f>
        <v>967041</v>
      </c>
      <c r="E27" s="25" t="s">
        <v>935</v>
      </c>
      <c r="F27" s="25" t="s">
        <v>935</v>
      </c>
      <c r="G27" s="25" t="s">
        <v>2008</v>
      </c>
      <c r="H27" s="25" t="s">
        <v>2009</v>
      </c>
      <c r="I27" s="26" t="str">
        <f>HYPERLINK("http://www.marinespecies.org/aphia.php?p=taxdetails&amp;id=967041","967041")</f>
        <v>967041</v>
      </c>
      <c r="J27" s="25" t="s">
        <v>2039</v>
      </c>
      <c r="K27" s="25" t="s">
        <v>94</v>
      </c>
      <c r="L27" s="26" t="str">
        <f>HYPERLINK("http://www.marinespecies.org/aphia.php?p=taxdetails&amp;id=967041","967041")</f>
        <v>967041</v>
      </c>
      <c r="M27" s="22" t="s">
        <v>94</v>
      </c>
    </row>
    <row r="28">
      <c r="A28" s="22" t="s">
        <v>2040</v>
      </c>
      <c r="B28" s="22">
        <v>3.0</v>
      </c>
      <c r="C28" s="23" t="str">
        <f>HYPERLINK("http://ecotaxoserver.obs-vlfr.fr/browsetaxo/?id=50012","50012")</f>
        <v>50012</v>
      </c>
      <c r="D28" s="23" t="str">
        <f>HYPERLINK("http://www.marinespecies.org/aphia.php?p=taxdetails&amp;id=325078","325078")</f>
        <v>325078</v>
      </c>
      <c r="E28" s="22" t="s">
        <v>499</v>
      </c>
      <c r="F28" s="22" t="s">
        <v>2041</v>
      </c>
      <c r="G28" s="22" t="s">
        <v>2029</v>
      </c>
      <c r="H28" s="22" t="s">
        <v>2042</v>
      </c>
      <c r="I28" s="23" t="str">
        <f>HYPERLINK("http://www.marinespecies.org/aphia.php?p=taxdetails&amp;id=325078","325078")</f>
        <v>325078</v>
      </c>
      <c r="J28" s="22" t="s">
        <v>2040</v>
      </c>
      <c r="K28" s="22" t="s">
        <v>94</v>
      </c>
      <c r="L28" s="23" t="str">
        <f>HYPERLINK("http://www.marinespecies.org/aphia.php?p=taxdetails&amp;id=325078","325078")</f>
        <v>325078</v>
      </c>
      <c r="M28" s="22" t="s">
        <v>94</v>
      </c>
    </row>
    <row r="29">
      <c r="A29" s="22" t="s">
        <v>2043</v>
      </c>
      <c r="B29" s="22">
        <v>4.0</v>
      </c>
      <c r="C29" s="23" t="str">
        <f>HYPERLINK("http://ecotaxoserver.obs-vlfr.fr/browsetaxo/?id=92340","92340")</f>
        <v>92340</v>
      </c>
      <c r="D29" s="23" t="str">
        <f>HYPERLINK("http://www.marinespecies.org/aphia.php?p=taxdetails&amp;id=163249","163249")</f>
        <v>163249</v>
      </c>
      <c r="E29" s="22" t="s">
        <v>128</v>
      </c>
      <c r="F29" s="22" t="s">
        <v>972</v>
      </c>
      <c r="G29" s="22" t="s">
        <v>2008</v>
      </c>
      <c r="H29" s="22" t="s">
        <v>2009</v>
      </c>
      <c r="I29" s="23" t="str">
        <f>HYPERLINK("http://www.marinespecies.org/aphia.php?p=taxdetails&amp;id=163249","163249")</f>
        <v>163249</v>
      </c>
      <c r="J29" s="22" t="s">
        <v>2043</v>
      </c>
      <c r="K29" s="22" t="s">
        <v>94</v>
      </c>
      <c r="L29" s="23" t="str">
        <f>HYPERLINK("http://www.marinespecies.org/aphia.php?p=taxdetails&amp;id=163249","163249")</f>
        <v>163249</v>
      </c>
      <c r="M29" s="22" t="s">
        <v>94</v>
      </c>
    </row>
    <row r="30">
      <c r="A30" s="22" t="s">
        <v>2044</v>
      </c>
      <c r="B30" s="22">
        <v>1.0</v>
      </c>
      <c r="C30" s="23" t="str">
        <f>HYPERLINK("http://ecotaxoserver.obs-vlfr.fr/browsetaxo/?id=92341","92341")</f>
        <v>92341</v>
      </c>
      <c r="D30" s="23" t="str">
        <f>HYPERLINK("http://www.marinespecies.org/aphia.php?p=taxdetails&amp;id=573475","573475")</f>
        <v>573475</v>
      </c>
      <c r="E30" s="22" t="s">
        <v>128</v>
      </c>
      <c r="F30" s="22" t="s">
        <v>972</v>
      </c>
      <c r="G30" s="22" t="s">
        <v>2008</v>
      </c>
      <c r="H30" s="22" t="s">
        <v>2009</v>
      </c>
      <c r="I30" s="23" t="str">
        <f>HYPERLINK("http://www.marinespecies.org/aphia.php?p=taxdetails&amp;id=573475","573475")</f>
        <v>573475</v>
      </c>
      <c r="J30" s="22" t="s">
        <v>2044</v>
      </c>
      <c r="K30" s="22" t="s">
        <v>94</v>
      </c>
      <c r="L30" s="23" t="str">
        <f>HYPERLINK("http://www.marinespecies.org/aphia.php?p=taxdetails&amp;id=573475","573475")</f>
        <v>573475</v>
      </c>
      <c r="M30" s="22" t="s">
        <v>94</v>
      </c>
    </row>
    <row r="31">
      <c r="A31" s="22" t="s">
        <v>2045</v>
      </c>
      <c r="B31" s="22">
        <v>10.0</v>
      </c>
      <c r="C31" s="23" t="str">
        <f>HYPERLINK("http://ecotaxoserver.obs-vlfr.fr/browsetaxo/?id=55902","55902")</f>
        <v>55902</v>
      </c>
      <c r="D31" s="23" t="str">
        <f>HYPERLINK("http://www.marinespecies.org/aphia.php?p=taxdetails&amp;id=163250","163250")</f>
        <v>163250</v>
      </c>
      <c r="E31" s="22" t="s">
        <v>972</v>
      </c>
      <c r="F31" s="22" t="s">
        <v>972</v>
      </c>
      <c r="G31" s="22" t="s">
        <v>2008</v>
      </c>
      <c r="H31" s="22" t="s">
        <v>2009</v>
      </c>
      <c r="I31" s="23" t="str">
        <f>HYPERLINK("http://www.marinespecies.org/aphia.php?p=taxdetails&amp;id=163250","163250")</f>
        <v>163250</v>
      </c>
      <c r="J31" s="22" t="s">
        <v>2045</v>
      </c>
      <c r="K31" s="22" t="s">
        <v>94</v>
      </c>
      <c r="L31" s="23" t="str">
        <f>HYPERLINK("http://www.marinespecies.org/aphia.php?p=taxdetails&amp;id=163250","163250")</f>
        <v>163250</v>
      </c>
      <c r="M31" s="22" t="s">
        <v>94</v>
      </c>
    </row>
    <row r="32">
      <c r="A32" s="22" t="s">
        <v>776</v>
      </c>
      <c r="B32" s="22">
        <v>710.0</v>
      </c>
      <c r="C32" s="23" t="str">
        <f>HYPERLINK("http://ecotaxoserver.obs-vlfr.fr/browsetaxo/?id=26410","26410")</f>
        <v>26410</v>
      </c>
      <c r="D32" s="23" t="str">
        <f>HYPERLINK("http://www.marinespecies.org/aphia.php?p=taxdetails&amp;id=411667","411667")</f>
        <v>411667</v>
      </c>
      <c r="E32" s="22" t="s">
        <v>381</v>
      </c>
      <c r="F32" s="22" t="s">
        <v>381</v>
      </c>
      <c r="G32" s="22" t="s">
        <v>2046</v>
      </c>
      <c r="I32" s="23" t="str">
        <f>HYPERLINK("http://www.marinespecies.org/aphia.php?p=taxdetails&amp;id=411667","411667")</f>
        <v>411667</v>
      </c>
      <c r="J32" s="22" t="s">
        <v>776</v>
      </c>
      <c r="K32" s="22" t="s">
        <v>94</v>
      </c>
      <c r="L32" s="23" t="str">
        <f>HYPERLINK("http://www.marinespecies.org/aphia.php?p=taxdetails&amp;id=411667","411667")</f>
        <v>411667</v>
      </c>
      <c r="M32" s="22" t="s">
        <v>94</v>
      </c>
    </row>
    <row r="33">
      <c r="A33" s="22" t="s">
        <v>2047</v>
      </c>
      <c r="B33" s="22">
        <v>7.0</v>
      </c>
      <c r="C33" s="23" t="str">
        <f>HYPERLINK("http://ecotaxoserver.obs-vlfr.fr/browsetaxo/?id=55908","55908")</f>
        <v>55908</v>
      </c>
      <c r="D33" s="23" t="str">
        <f>HYPERLINK("http://www.marinespecies.org/aphia.php?p=taxdetails&amp;id=149135","149135")</f>
        <v>149135</v>
      </c>
      <c r="E33" s="22" t="s">
        <v>1069</v>
      </c>
      <c r="F33" s="22" t="s">
        <v>1069</v>
      </c>
      <c r="G33" s="22" t="s">
        <v>2008</v>
      </c>
      <c r="H33" s="22" t="s">
        <v>2009</v>
      </c>
      <c r="I33" s="23" t="str">
        <f>HYPERLINK("http://www.marinespecies.org/aphia.php?p=taxdetails&amp;id=149135","149135")</f>
        <v>149135</v>
      </c>
      <c r="J33" s="22" t="s">
        <v>2047</v>
      </c>
      <c r="K33" s="22" t="s">
        <v>94</v>
      </c>
      <c r="L33" s="23" t="str">
        <f>HYPERLINK("http://www.marinespecies.org/aphia.php?p=taxdetails&amp;id=149135","149135")</f>
        <v>149135</v>
      </c>
      <c r="M33" s="22" t="s">
        <v>94</v>
      </c>
    </row>
    <row r="34">
      <c r="A34" s="22" t="s">
        <v>2048</v>
      </c>
      <c r="B34" s="22">
        <v>5.0</v>
      </c>
      <c r="C34" s="23" t="str">
        <f>HYPERLINK("http://ecotaxoserver.obs-vlfr.fr/browsetaxo/?id=56067","56067")</f>
        <v>56067</v>
      </c>
      <c r="D34" s="23" t="str">
        <f>HYPERLINK("http://www.marinespecies.org/aphia.php?p=taxdetails&amp;id=149039","149039")</f>
        <v>149039</v>
      </c>
      <c r="E34" s="22" t="s">
        <v>1081</v>
      </c>
      <c r="F34" s="22" t="s">
        <v>1081</v>
      </c>
      <c r="G34" s="22" t="s">
        <v>2008</v>
      </c>
      <c r="H34" s="22" t="s">
        <v>2009</v>
      </c>
      <c r="I34" s="23" t="str">
        <f>HYPERLINK("http://www.marinespecies.org/aphia.php?p=taxdetails&amp;id=149039","149039")</f>
        <v>149039</v>
      </c>
      <c r="J34" s="22" t="s">
        <v>2048</v>
      </c>
      <c r="K34" s="22" t="s">
        <v>94</v>
      </c>
      <c r="L34" s="23" t="str">
        <f>HYPERLINK("http://www.marinespecies.org/aphia.php?p=taxdetails&amp;id=149039","149039")</f>
        <v>149039</v>
      </c>
      <c r="M34" s="22" t="s">
        <v>94</v>
      </c>
    </row>
    <row r="35">
      <c r="A35" s="22" t="s">
        <v>2049</v>
      </c>
      <c r="B35" s="22">
        <v>85.0</v>
      </c>
      <c r="C35" s="23" t="str">
        <f>HYPERLINK("http://ecotaxoserver.obs-vlfr.fr/browsetaxo/?id=92349","92349")</f>
        <v>92349</v>
      </c>
      <c r="D35" s="23" t="str">
        <f>HYPERLINK("http://www.marinespecies.org/aphia.php?p=taxdetails&amp;id=248180","248180")</f>
        <v>248180</v>
      </c>
      <c r="E35" s="22" t="s">
        <v>128</v>
      </c>
      <c r="F35" s="22" t="s">
        <v>1230</v>
      </c>
      <c r="G35" s="22" t="s">
        <v>2008</v>
      </c>
      <c r="H35" s="22" t="s">
        <v>2009</v>
      </c>
      <c r="I35" s="23" t="str">
        <f>HYPERLINK("http://www.marinespecies.org/aphia.php?p=taxdetails&amp;id=248180","248180")</f>
        <v>248180</v>
      </c>
      <c r="J35" s="22" t="s">
        <v>2049</v>
      </c>
      <c r="K35" s="22" t="s">
        <v>94</v>
      </c>
      <c r="L35" s="23" t="str">
        <f>HYPERLINK("http://www.marinespecies.org/aphia.php?p=taxdetails&amp;id=248180","248180")</f>
        <v>248180</v>
      </c>
      <c r="M35" s="22" t="s">
        <v>94</v>
      </c>
    </row>
    <row r="36">
      <c r="A36" s="22" t="s">
        <v>2050</v>
      </c>
      <c r="B36" s="22">
        <v>2009.0</v>
      </c>
      <c r="C36" s="23" t="str">
        <f>HYPERLINK("http://ecotaxoserver.obs-vlfr.fr/browsetaxo/?id=85443","85443")</f>
        <v>85443</v>
      </c>
      <c r="D36" s="23" t="str">
        <f>HYPERLINK("http://www.marinespecies.org/aphia.php?p=taxdetails&amp;id=172836","172836")</f>
        <v>172836</v>
      </c>
      <c r="E36" s="22" t="s">
        <v>1237</v>
      </c>
      <c r="F36" s="22" t="s">
        <v>1237</v>
      </c>
      <c r="G36" s="22" t="s">
        <v>2008</v>
      </c>
      <c r="H36" s="22" t="s">
        <v>2009</v>
      </c>
      <c r="I36" s="23" t="str">
        <f>HYPERLINK("http://www.marinespecies.org/aphia.php?p=taxdetails&amp;id=172836","172836")</f>
        <v>172836</v>
      </c>
      <c r="J36" s="22" t="s">
        <v>2050</v>
      </c>
      <c r="K36" s="22" t="s">
        <v>94</v>
      </c>
      <c r="L36" s="23" t="str">
        <f>HYPERLINK("http://www.marinespecies.org/aphia.php?p=taxdetails&amp;id=172836","172836")</f>
        <v>172836</v>
      </c>
      <c r="M36" s="22" t="s">
        <v>94</v>
      </c>
    </row>
    <row r="37">
      <c r="A37" s="22" t="s">
        <v>2051</v>
      </c>
      <c r="B37" s="22">
        <v>2.0</v>
      </c>
      <c r="C37" s="23" t="str">
        <f>HYPERLINK("http://ecotaxoserver.obs-vlfr.fr/browsetaxo/?id=92358","92358")</f>
        <v>92358</v>
      </c>
      <c r="D37" s="23" t="str">
        <f>HYPERLINK("http://www.marinespecies.org/aphia.php?p=taxdetails&amp;id=341566","341566")</f>
        <v>341566</v>
      </c>
      <c r="E37" s="22" t="s">
        <v>128</v>
      </c>
      <c r="F37" s="22" t="s">
        <v>1268</v>
      </c>
      <c r="G37" s="22" t="s">
        <v>2008</v>
      </c>
      <c r="H37" s="22" t="s">
        <v>2009</v>
      </c>
      <c r="I37" s="23" t="str">
        <f>HYPERLINK("http://www.marinespecies.org/aphia.php?p=taxdetails&amp;id=341566","341566")</f>
        <v>341566</v>
      </c>
      <c r="J37" s="22" t="s">
        <v>2051</v>
      </c>
      <c r="K37" s="22" t="s">
        <v>94</v>
      </c>
      <c r="L37" s="23" t="str">
        <f>HYPERLINK("http://www.marinespecies.org/aphia.php?p=taxdetails&amp;id=341566","341566")</f>
        <v>341566</v>
      </c>
      <c r="M37" s="22" t="s">
        <v>94</v>
      </c>
    </row>
    <row r="38">
      <c r="A38" s="22" t="s">
        <v>2052</v>
      </c>
      <c r="B38" s="22">
        <v>4197.0</v>
      </c>
      <c r="C38" s="23" t="str">
        <f>HYPERLINK("http://ecotaxoserver.obs-vlfr.fr/browsetaxo/?id=55655","55655")</f>
        <v>55655</v>
      </c>
      <c r="D38" s="23" t="str">
        <f>HYPERLINK("http://www.marinespecies.org/aphia.php?p=taxdetails&amp;id=175400","175400")</f>
        <v>175400</v>
      </c>
      <c r="E38" s="22" t="s">
        <v>1268</v>
      </c>
      <c r="F38" s="22" t="s">
        <v>1268</v>
      </c>
      <c r="G38" s="22" t="s">
        <v>2008</v>
      </c>
      <c r="H38" s="22" t="s">
        <v>2009</v>
      </c>
      <c r="I38" s="23" t="str">
        <f>HYPERLINK("http://www.marinespecies.org/aphia.php?p=taxdetails&amp;id=175400","175400")</f>
        <v>175400</v>
      </c>
      <c r="J38" s="22" t="s">
        <v>2052</v>
      </c>
      <c r="K38" s="22" t="s">
        <v>94</v>
      </c>
      <c r="L38" s="23" t="str">
        <f>HYPERLINK("http://www.marinespecies.org/aphia.php?p=taxdetails&amp;id=175400","175400")</f>
        <v>175400</v>
      </c>
      <c r="M38" s="22" t="s">
        <v>94</v>
      </c>
    </row>
    <row r="39">
      <c r="A39" s="22" t="s">
        <v>2053</v>
      </c>
      <c r="B39" s="22">
        <v>2.0</v>
      </c>
      <c r="C39" s="23" t="str">
        <f>HYPERLINK("http://ecotaxoserver.obs-vlfr.fr/browsetaxo/?id=85503","85503")</f>
        <v>85503</v>
      </c>
      <c r="D39" s="23" t="str">
        <f>HYPERLINK("http://www.marinespecies.org/aphia.php?p=taxdetails&amp;id=164116","164116")</f>
        <v>164116</v>
      </c>
      <c r="E39" s="22" t="s">
        <v>1292</v>
      </c>
      <c r="F39" s="22" t="s">
        <v>1292</v>
      </c>
      <c r="G39" s="22" t="s">
        <v>2008</v>
      </c>
      <c r="H39" s="22" t="s">
        <v>2009</v>
      </c>
      <c r="I39" s="23" t="str">
        <f>HYPERLINK("http://www.marinespecies.org/aphia.php?p=taxdetails&amp;id=164116","164116")</f>
        <v>164116</v>
      </c>
      <c r="J39" s="22" t="s">
        <v>2053</v>
      </c>
      <c r="K39" s="22" t="s">
        <v>94</v>
      </c>
      <c r="L39" s="23" t="str">
        <f>HYPERLINK("http://www.marinespecies.org/aphia.php?p=taxdetails&amp;id=164116","164116")</f>
        <v>164116</v>
      </c>
      <c r="M39" s="22" t="s">
        <v>94</v>
      </c>
    </row>
    <row r="40">
      <c r="A40" s="22" t="s">
        <v>2054</v>
      </c>
      <c r="B40" s="22">
        <v>1.0</v>
      </c>
      <c r="C40" s="23" t="str">
        <f>HYPERLINK("http://ecotaxoserver.obs-vlfr.fr/browsetaxo/?id=18755","18755")</f>
        <v>18755</v>
      </c>
      <c r="D40" s="23" t="str">
        <f>HYPERLINK("http://www.marinespecies.org/aphia.php?p=taxdetails&amp;id=109504","109504")</f>
        <v>109504</v>
      </c>
      <c r="E40" s="22" t="s">
        <v>1398</v>
      </c>
      <c r="F40" s="22" t="s">
        <v>796</v>
      </c>
      <c r="G40" s="22" t="s">
        <v>2029</v>
      </c>
      <c r="I40" s="23" t="str">
        <f>HYPERLINK("http://www.marinespecies.org/aphia.php?p=taxdetails&amp;id=109504","109504")</f>
        <v>109504</v>
      </c>
      <c r="J40" s="22" t="s">
        <v>2054</v>
      </c>
      <c r="K40" s="22" t="s">
        <v>94</v>
      </c>
      <c r="L40" s="23" t="str">
        <f>HYPERLINK("http://www.marinespecies.org/aphia.php?p=taxdetails&amp;id=109504","109504")</f>
        <v>109504</v>
      </c>
      <c r="M40" s="22" t="s">
        <v>94</v>
      </c>
    </row>
    <row r="41">
      <c r="A41" s="22" t="s">
        <v>2055</v>
      </c>
      <c r="B41" s="22">
        <v>13.0</v>
      </c>
      <c r="C41" s="23" t="str">
        <f>HYPERLINK("http://ecotaxoserver.obs-vlfr.fr/browsetaxo/?id=55935","55935")</f>
        <v>55935</v>
      </c>
      <c r="D41" s="23" t="str">
        <f>HYPERLINK("http://www.marinespecies.org/aphia.php?p=taxdetails&amp;id=156689","156689")</f>
        <v>156689</v>
      </c>
      <c r="E41" s="22" t="s">
        <v>2056</v>
      </c>
      <c r="F41" s="22" t="s">
        <v>2056</v>
      </c>
      <c r="G41" s="22" t="s">
        <v>2008</v>
      </c>
      <c r="H41" s="22" t="s">
        <v>2009</v>
      </c>
      <c r="I41" s="23" t="str">
        <f>HYPERLINK("http://www.marinespecies.org/aphia.php?p=taxdetails&amp;id=156689","156689")</f>
        <v>156689</v>
      </c>
      <c r="J41" s="22" t="s">
        <v>2055</v>
      </c>
      <c r="K41" s="22" t="s">
        <v>94</v>
      </c>
      <c r="L41" s="23" t="str">
        <f>HYPERLINK("http://www.marinespecies.org/aphia.php?p=taxdetails&amp;id=156689","156689")</f>
        <v>156689</v>
      </c>
      <c r="M41" s="22" t="s">
        <v>94</v>
      </c>
    </row>
    <row r="42">
      <c r="A42" s="22" t="s">
        <v>2057</v>
      </c>
      <c r="B42" s="22">
        <v>107.0</v>
      </c>
      <c r="C42" s="23" t="str">
        <f>HYPERLINK("http://ecotaxoserver.obs-vlfr.fr/browsetaxo/?id=85526","85526")</f>
        <v>85526</v>
      </c>
      <c r="D42" s="23" t="str">
        <f>HYPERLINK("http://www.marinespecies.org/aphia.php?p=taxdetails&amp;id=156642","156642")</f>
        <v>156642</v>
      </c>
      <c r="E42" s="22" t="s">
        <v>1496</v>
      </c>
      <c r="F42" s="22" t="s">
        <v>1496</v>
      </c>
      <c r="G42" s="22" t="s">
        <v>2008</v>
      </c>
      <c r="H42" s="22" t="s">
        <v>2009</v>
      </c>
      <c r="I42" s="23" t="str">
        <f>HYPERLINK("http://www.marinespecies.org/aphia.php?p=taxdetails&amp;id=156642","156642")</f>
        <v>156642</v>
      </c>
      <c r="J42" s="22" t="s">
        <v>2057</v>
      </c>
      <c r="K42" s="22" t="s">
        <v>94</v>
      </c>
      <c r="L42" s="23" t="str">
        <f>HYPERLINK("http://www.marinespecies.org/aphia.php?p=taxdetails&amp;id=156642","156642")</f>
        <v>156642</v>
      </c>
      <c r="M42" s="22" t="s">
        <v>94</v>
      </c>
    </row>
    <row r="43">
      <c r="A43" s="22" t="s">
        <v>2058</v>
      </c>
      <c r="B43" s="22">
        <v>6.0</v>
      </c>
      <c r="C43" s="23" t="str">
        <f>HYPERLINK("http://ecotaxoserver.obs-vlfr.fr/browsetaxo/?id=89156","89156")</f>
        <v>89156</v>
      </c>
      <c r="D43" s="23" t="str">
        <f>HYPERLINK("http://www.marinespecies.org/aphia.php?p=taxdetails&amp;id=163344","163344")</f>
        <v>163344</v>
      </c>
      <c r="E43" s="22" t="s">
        <v>2059</v>
      </c>
      <c r="F43" s="22" t="s">
        <v>2059</v>
      </c>
      <c r="G43" s="22" t="s">
        <v>2008</v>
      </c>
      <c r="H43" s="22" t="s">
        <v>2009</v>
      </c>
      <c r="I43" s="23" t="str">
        <f>HYPERLINK("http://www.marinespecies.org/aphia.php?p=taxdetails&amp;id=163344","163344")</f>
        <v>163344</v>
      </c>
      <c r="J43" s="22" t="s">
        <v>2058</v>
      </c>
      <c r="K43" s="22" t="s">
        <v>94</v>
      </c>
      <c r="L43" s="23" t="str">
        <f>HYPERLINK("http://www.marinespecies.org/aphia.php?p=taxdetails&amp;id=163344","163344")</f>
        <v>163344</v>
      </c>
      <c r="M43" s="22" t="s">
        <v>94</v>
      </c>
    </row>
    <row r="44">
      <c r="A44" s="22" t="s">
        <v>2060</v>
      </c>
      <c r="B44" s="22">
        <v>4.0</v>
      </c>
      <c r="C44" s="23" t="str">
        <f>HYPERLINK("http://ecotaxoserver.obs-vlfr.fr/browsetaxo/?id=92369","92369")</f>
        <v>92369</v>
      </c>
      <c r="D44" s="23" t="str">
        <f>HYPERLINK("http://www.marinespecies.org/aphia.php?p=taxdetails&amp;id=341502","341502")</f>
        <v>341502</v>
      </c>
      <c r="E44" s="22" t="s">
        <v>128</v>
      </c>
      <c r="F44" s="22" t="s">
        <v>1605</v>
      </c>
      <c r="G44" s="22" t="s">
        <v>2008</v>
      </c>
      <c r="H44" s="22" t="s">
        <v>2009</v>
      </c>
      <c r="I44" s="23" t="str">
        <f>HYPERLINK("http://www.marinespecies.org/aphia.php?p=taxdetails&amp;id=341502","341502")</f>
        <v>341502</v>
      </c>
      <c r="J44" s="22" t="s">
        <v>2060</v>
      </c>
      <c r="K44" s="22" t="s">
        <v>94</v>
      </c>
      <c r="L44" s="23" t="str">
        <f>HYPERLINK("http://www.marinespecies.org/aphia.php?p=taxdetails&amp;id=341502","341502")</f>
        <v>341502</v>
      </c>
      <c r="M44" s="22" t="s">
        <v>94</v>
      </c>
    </row>
    <row r="45">
      <c r="A45" s="22" t="s">
        <v>2061</v>
      </c>
      <c r="B45" s="22">
        <v>2.0</v>
      </c>
      <c r="C45" s="23" t="str">
        <f>HYPERLINK("http://ecotaxoserver.obs-vlfr.fr/browsetaxo/?id=56080","56080")</f>
        <v>56080</v>
      </c>
      <c r="D45" s="23" t="str">
        <f>HYPERLINK("http://www.marinespecies.org/aphia.php?p=taxdetails&amp;id=573572","573572")</f>
        <v>573572</v>
      </c>
      <c r="E45" s="22" t="s">
        <v>1605</v>
      </c>
      <c r="F45" s="22" t="s">
        <v>1605</v>
      </c>
      <c r="G45" s="22" t="s">
        <v>2008</v>
      </c>
      <c r="H45" s="22" t="s">
        <v>2009</v>
      </c>
      <c r="I45" s="23" t="str">
        <f>HYPERLINK("http://www.marinespecies.org/aphia.php?p=taxdetails&amp;id=573572","573572")</f>
        <v>573572</v>
      </c>
      <c r="J45" s="22" t="s">
        <v>2061</v>
      </c>
      <c r="K45" s="22" t="s">
        <v>94</v>
      </c>
      <c r="L45" s="23" t="str">
        <f>HYPERLINK("http://www.marinespecies.org/aphia.php?p=taxdetails&amp;id=573572","573572")</f>
        <v>573572</v>
      </c>
      <c r="M45" s="22" t="s">
        <v>94</v>
      </c>
    </row>
    <row r="46">
      <c r="A46" s="22" t="s">
        <v>2062</v>
      </c>
      <c r="B46" s="22">
        <v>4.0</v>
      </c>
      <c r="C46" s="23" t="str">
        <f>HYPERLINK("http://ecotaxoserver.obs-vlfr.fr/browsetaxo/?id=55941","55941")</f>
        <v>55941</v>
      </c>
      <c r="D46" s="23" t="str">
        <f>HYPERLINK("http://www.marinespecies.org/aphia.php?p=taxdetails&amp;id=375916","375916")</f>
        <v>375916</v>
      </c>
      <c r="E46" s="22" t="s">
        <v>1678</v>
      </c>
      <c r="F46" s="22" t="s">
        <v>1678</v>
      </c>
      <c r="G46" s="22" t="s">
        <v>2008</v>
      </c>
      <c r="H46" s="22" t="s">
        <v>2009</v>
      </c>
      <c r="I46" s="23" t="str">
        <f>HYPERLINK("http://www.marinespecies.org/aphia.php?p=taxdetails&amp;id=375916","375916")</f>
        <v>375916</v>
      </c>
      <c r="J46" s="22" t="s">
        <v>2062</v>
      </c>
      <c r="K46" s="22" t="s">
        <v>94</v>
      </c>
      <c r="L46" s="23" t="str">
        <f>HYPERLINK("http://www.marinespecies.org/aphia.php?p=taxdetails&amp;id=375916","375916")</f>
        <v>375916</v>
      </c>
      <c r="M46" s="22" t="s">
        <v>94</v>
      </c>
    </row>
    <row r="47">
      <c r="A47" s="22" t="s">
        <v>2063</v>
      </c>
      <c r="B47" s="22">
        <v>2.0</v>
      </c>
      <c r="C47" s="23" t="str">
        <f>HYPERLINK("http://ecotaxoserver.obs-vlfr.fr/browsetaxo/?id=55938","55938")</f>
        <v>55938</v>
      </c>
      <c r="D47" s="23" t="str">
        <f>HYPERLINK("http://www.marinespecies.org/aphia.php?p=taxdetails&amp;id=395044","395044")</f>
        <v>395044</v>
      </c>
      <c r="E47" s="22" t="s">
        <v>1678</v>
      </c>
      <c r="F47" s="22" t="s">
        <v>1678</v>
      </c>
      <c r="G47" s="22" t="s">
        <v>2008</v>
      </c>
      <c r="H47" s="22" t="s">
        <v>2009</v>
      </c>
      <c r="I47" s="23" t="str">
        <f>HYPERLINK("http://www.marinespecies.org/aphia.php?p=taxdetails&amp;id=395044","395044")</f>
        <v>395044</v>
      </c>
      <c r="J47" s="22" t="s">
        <v>2063</v>
      </c>
      <c r="K47" s="22" t="s">
        <v>94</v>
      </c>
      <c r="L47" s="23" t="str">
        <f>HYPERLINK("http://www.marinespecies.org/aphia.php?p=taxdetails&amp;id=395044","395044")</f>
        <v>395044</v>
      </c>
      <c r="M47" s="22" t="s">
        <v>94</v>
      </c>
    </row>
    <row r="48">
      <c r="A48" s="22" t="s">
        <v>2064</v>
      </c>
      <c r="B48" s="22">
        <v>8.0</v>
      </c>
      <c r="C48" s="23" t="str">
        <f>HYPERLINK("http://ecotaxoserver.obs-vlfr.fr/browsetaxo/?id=92387","92387")</f>
        <v>92387</v>
      </c>
      <c r="D48" s="23" t="str">
        <f>HYPERLINK("http://www.marinespecies.org/aphia.php?p=taxdetails&amp;id=573628","573628")</f>
        <v>573628</v>
      </c>
      <c r="E48" s="22" t="s">
        <v>128</v>
      </c>
      <c r="F48" s="22" t="s">
        <v>2065</v>
      </c>
      <c r="G48" s="22" t="s">
        <v>2008</v>
      </c>
      <c r="H48" s="22" t="s">
        <v>2009</v>
      </c>
      <c r="I48" s="23" t="str">
        <f>HYPERLINK("http://www.marinespecies.org/aphia.php?p=taxdetails&amp;id=573628","573628")</f>
        <v>573628</v>
      </c>
      <c r="J48" s="22" t="s">
        <v>2064</v>
      </c>
      <c r="K48" s="22" t="s">
        <v>94</v>
      </c>
      <c r="L48" s="23" t="str">
        <f>HYPERLINK("http://www.marinespecies.org/aphia.php?p=taxdetails&amp;id=573628","573628")</f>
        <v>573628</v>
      </c>
      <c r="M48" s="22" t="s">
        <v>94</v>
      </c>
    </row>
    <row r="49">
      <c r="A49" s="22" t="s">
        <v>2066</v>
      </c>
      <c r="B49" s="22">
        <v>1.0</v>
      </c>
      <c r="C49" s="23" t="str">
        <f>HYPERLINK("http://ecotaxoserver.obs-vlfr.fr/browsetaxo/?id=55989","55989")</f>
        <v>55989</v>
      </c>
      <c r="D49" s="23" t="str">
        <f>HYPERLINK("http://www.marinespecies.org/aphia.php?p=taxdetails&amp;id=148922","148922")</f>
        <v>148922</v>
      </c>
      <c r="E49" s="22" t="s">
        <v>1788</v>
      </c>
      <c r="F49" s="22" t="s">
        <v>1788</v>
      </c>
      <c r="G49" s="22" t="s">
        <v>2008</v>
      </c>
      <c r="H49" s="22" t="s">
        <v>2009</v>
      </c>
      <c r="I49" s="23" t="str">
        <f>HYPERLINK("http://www.marinespecies.org/aphia.php?p=taxdetails&amp;id=148922","148922")</f>
        <v>148922</v>
      </c>
      <c r="J49" s="22" t="s">
        <v>2066</v>
      </c>
      <c r="K49" s="22" t="s">
        <v>94</v>
      </c>
      <c r="L49" s="23" t="str">
        <f>HYPERLINK("http://www.marinespecies.org/aphia.php?p=taxdetails&amp;id=148922","148922")</f>
        <v>148922</v>
      </c>
      <c r="M49" s="22" t="s">
        <v>94</v>
      </c>
    </row>
    <row r="50">
      <c r="A50" s="22" t="s">
        <v>2067</v>
      </c>
      <c r="B50" s="22">
        <v>3.0</v>
      </c>
      <c r="C50" s="23" t="str">
        <f>HYPERLINK("http://ecotaxoserver.obs-vlfr.fr/browsetaxo/?id=55984","55984")</f>
        <v>55984</v>
      </c>
      <c r="D50" s="23" t="str">
        <f>HYPERLINK("http://www.marinespecies.org/aphia.php?p=taxdetails&amp;id=495542","495542")</f>
        <v>495542</v>
      </c>
      <c r="E50" s="22" t="s">
        <v>1788</v>
      </c>
      <c r="F50" s="22" t="s">
        <v>1788</v>
      </c>
      <c r="G50" s="22" t="s">
        <v>2008</v>
      </c>
      <c r="H50" s="22" t="s">
        <v>2009</v>
      </c>
      <c r="I50" s="23" t="str">
        <f>HYPERLINK("http://www.marinespecies.org/aphia.php?p=taxdetails&amp;id=495542","495542")</f>
        <v>495542</v>
      </c>
      <c r="J50" s="22" t="s">
        <v>2067</v>
      </c>
      <c r="K50" s="22" t="s">
        <v>94</v>
      </c>
      <c r="L50" s="23" t="str">
        <f>HYPERLINK("http://www.marinespecies.org/aphia.php?p=taxdetails&amp;id=495542","495542")</f>
        <v>495542</v>
      </c>
      <c r="M50" s="22" t="s">
        <v>94</v>
      </c>
    </row>
    <row r="51">
      <c r="A51" s="22" t="s">
        <v>2068</v>
      </c>
      <c r="B51" s="22">
        <v>1.0</v>
      </c>
      <c r="C51" s="23" t="str">
        <f>HYPERLINK("http://ecotaxoserver.obs-vlfr.fr/browsetaxo/?id=55978","55978")</f>
        <v>55978</v>
      </c>
      <c r="D51" s="23" t="str">
        <f>HYPERLINK("http://www.marinespecies.org/aphia.php?p=taxdetails&amp;id=345549","345549")</f>
        <v>345549</v>
      </c>
      <c r="E51" s="22" t="s">
        <v>1788</v>
      </c>
      <c r="F51" s="22" t="s">
        <v>1788</v>
      </c>
      <c r="G51" s="22" t="s">
        <v>2008</v>
      </c>
      <c r="H51" s="22" t="s">
        <v>2009</v>
      </c>
      <c r="I51" s="23" t="str">
        <f>HYPERLINK("http://www.marinespecies.org/aphia.php?p=taxdetails&amp;id=345549","345549")</f>
        <v>345549</v>
      </c>
      <c r="J51" s="22" t="s">
        <v>2068</v>
      </c>
      <c r="K51" s="22" t="s">
        <v>94</v>
      </c>
      <c r="L51" s="23" t="str">
        <f>HYPERLINK("http://www.marinespecies.org/aphia.php?p=taxdetails&amp;id=345549","345549")</f>
        <v>345549</v>
      </c>
      <c r="M51" s="22" t="s">
        <v>94</v>
      </c>
    </row>
    <row r="52">
      <c r="A52" s="22" t="s">
        <v>2069</v>
      </c>
      <c r="B52" s="22">
        <v>67.0</v>
      </c>
      <c r="C52" s="23" t="str">
        <f>HYPERLINK("http://ecotaxoserver.obs-vlfr.fr/browsetaxo/?id=55972","55972")</f>
        <v>55972</v>
      </c>
      <c r="D52" s="23" t="str">
        <f>HYPERLINK("http://www.marinespecies.org/aphia.php?p=taxdetails&amp;id=148942","148942")</f>
        <v>148942</v>
      </c>
      <c r="E52" s="22" t="s">
        <v>1788</v>
      </c>
      <c r="F52" s="22" t="s">
        <v>1788</v>
      </c>
      <c r="G52" s="22" t="s">
        <v>2008</v>
      </c>
      <c r="H52" s="22" t="s">
        <v>2009</v>
      </c>
      <c r="I52" s="23" t="str">
        <f>HYPERLINK("http://www.marinespecies.org/aphia.php?p=taxdetails&amp;id=148942","148942")</f>
        <v>148942</v>
      </c>
      <c r="J52" s="22" t="s">
        <v>2069</v>
      </c>
      <c r="K52" s="22" t="s">
        <v>94</v>
      </c>
      <c r="L52" s="23" t="str">
        <f>HYPERLINK("http://www.marinespecies.org/aphia.php?p=taxdetails&amp;id=148942","148942")</f>
        <v>148942</v>
      </c>
      <c r="M52" s="22" t="s">
        <v>94</v>
      </c>
    </row>
    <row r="53">
      <c r="A53" s="22" t="s">
        <v>2070</v>
      </c>
      <c r="B53" s="22">
        <v>1.0</v>
      </c>
      <c r="C53" s="23" t="str">
        <f>HYPERLINK("http://ecotaxoserver.obs-vlfr.fr/browsetaxo/?id=92397","92397")</f>
        <v>92397</v>
      </c>
      <c r="D53" s="23" t="str">
        <f>HYPERLINK("http://www.marinespecies.org/aphia.php?p=taxdetails&amp;id=149101","149101")</f>
        <v>149101</v>
      </c>
      <c r="E53" s="22" t="s">
        <v>128</v>
      </c>
      <c r="F53" s="22" t="s">
        <v>1788</v>
      </c>
      <c r="G53" s="22" t="s">
        <v>2008</v>
      </c>
      <c r="H53" s="22" t="s">
        <v>2009</v>
      </c>
      <c r="I53" s="23" t="str">
        <f>HYPERLINK("http://www.marinespecies.org/aphia.php?p=taxdetails&amp;id=149101","149101")</f>
        <v>149101</v>
      </c>
      <c r="J53" s="22" t="s">
        <v>2070</v>
      </c>
      <c r="K53" s="22" t="s">
        <v>94</v>
      </c>
      <c r="L53" s="23" t="str">
        <f>HYPERLINK("http://www.marinespecies.org/aphia.php?p=taxdetails&amp;id=149101","149101")</f>
        <v>149101</v>
      </c>
      <c r="M53" s="22" t="s">
        <v>94</v>
      </c>
    </row>
    <row r="54">
      <c r="A54" s="22" t="s">
        <v>2071</v>
      </c>
      <c r="B54" s="22">
        <v>6.0</v>
      </c>
      <c r="C54" s="23" t="str">
        <f>HYPERLINK("http://ecotaxoserver.obs-vlfr.fr/browsetaxo/?id=92398","92398")</f>
        <v>92398</v>
      </c>
      <c r="D54" s="23" t="str">
        <f>HYPERLINK("http://www.marinespecies.org/aphia.php?p=taxdetails&amp;id=231889","231889")</f>
        <v>231889</v>
      </c>
      <c r="E54" s="22" t="s">
        <v>128</v>
      </c>
      <c r="F54" s="22" t="s">
        <v>1788</v>
      </c>
      <c r="G54" s="22" t="s">
        <v>2008</v>
      </c>
      <c r="H54" s="22" t="s">
        <v>2009</v>
      </c>
      <c r="I54" s="23" t="str">
        <f>HYPERLINK("http://www.marinespecies.org/aphia.php?p=taxdetails&amp;id=231889","231889")</f>
        <v>231889</v>
      </c>
      <c r="J54" s="22" t="s">
        <v>2071</v>
      </c>
      <c r="K54" s="22" t="s">
        <v>94</v>
      </c>
      <c r="L54" s="23" t="str">
        <f>HYPERLINK("http://www.marinespecies.org/aphia.php?p=taxdetails&amp;id=231889","231889")</f>
        <v>231889</v>
      </c>
      <c r="M54" s="22" t="s">
        <v>94</v>
      </c>
    </row>
    <row r="55">
      <c r="A55" s="22" t="s">
        <v>2072</v>
      </c>
      <c r="B55" s="22">
        <v>5.0</v>
      </c>
      <c r="C55" s="23" t="str">
        <f>HYPERLINK("http://ecotaxoserver.obs-vlfr.fr/browsetaxo/?id=55969","55969")</f>
        <v>55969</v>
      </c>
      <c r="D55" s="23" t="str">
        <f>HYPERLINK("http://www.marinespecies.org/aphia.php?p=taxdetails&amp;id=345550","345550")</f>
        <v>345550</v>
      </c>
      <c r="E55" s="22" t="s">
        <v>1788</v>
      </c>
      <c r="F55" s="22" t="s">
        <v>1788</v>
      </c>
      <c r="G55" s="22" t="s">
        <v>2008</v>
      </c>
      <c r="H55" s="22" t="s">
        <v>2009</v>
      </c>
      <c r="I55" s="23" t="str">
        <f>HYPERLINK("http://www.marinespecies.org/aphia.php?p=taxdetails&amp;id=345550","345550")</f>
        <v>345550</v>
      </c>
      <c r="J55" s="22" t="s">
        <v>2072</v>
      </c>
      <c r="K55" s="22" t="s">
        <v>94</v>
      </c>
      <c r="L55" s="23" t="str">
        <f>HYPERLINK("http://www.marinespecies.org/aphia.php?p=taxdetails&amp;id=345550","345550")</f>
        <v>345550</v>
      </c>
      <c r="M55" s="22" t="s">
        <v>94</v>
      </c>
    </row>
    <row r="56">
      <c r="A56" s="22" t="s">
        <v>2073</v>
      </c>
      <c r="B56" s="22">
        <v>3.0</v>
      </c>
      <c r="C56" s="23" t="str">
        <f>HYPERLINK("http://ecotaxoserver.obs-vlfr.fr/browsetaxo/?id=92399","92399")</f>
        <v>92399</v>
      </c>
      <c r="D56" s="23" t="str">
        <f>HYPERLINK("http://www.marinespecies.org/aphia.php?p=taxdetails&amp;id=418584","418584")</f>
        <v>418584</v>
      </c>
      <c r="E56" s="22" t="s">
        <v>128</v>
      </c>
      <c r="F56" s="22" t="s">
        <v>1788</v>
      </c>
      <c r="G56" s="22" t="s">
        <v>2008</v>
      </c>
      <c r="H56" s="22" t="s">
        <v>2009</v>
      </c>
      <c r="I56" s="23" t="str">
        <f>HYPERLINK("http://www.marinespecies.org/aphia.php?p=taxdetails&amp;id=418584","418584")</f>
        <v>418584</v>
      </c>
      <c r="J56" s="22" t="s">
        <v>2073</v>
      </c>
      <c r="K56" s="22" t="s">
        <v>94</v>
      </c>
      <c r="L56" s="23" t="str">
        <f>HYPERLINK("http://www.marinespecies.org/aphia.php?p=taxdetails&amp;id=418584","418584")</f>
        <v>418584</v>
      </c>
      <c r="M56" s="22" t="s">
        <v>94</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0"/>
    <col customWidth="1" min="2" max="2" width="3.14"/>
    <col customWidth="1" min="3" max="3" width="7.0"/>
    <col customWidth="1" min="4" max="4" width="8.71"/>
    <col customWidth="1" min="5" max="5" width="17.0"/>
    <col customWidth="1" min="6" max="6" width="18.57"/>
    <col customWidth="1" min="7" max="7" width="8.71"/>
    <col customWidth="1" min="8" max="8" width="15.43"/>
    <col customWidth="1" min="9" max="9" width="14.0"/>
    <col customWidth="1" min="10" max="10" width="17.14"/>
    <col customWidth="1" min="11" max="11" width="9.86"/>
    <col customWidth="1" min="12" max="12" width="13.57"/>
    <col customWidth="1" min="13" max="13" width="5.57"/>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2074</v>
      </c>
      <c r="B2" s="22">
        <v>10.0</v>
      </c>
      <c r="C2" s="23" t="str">
        <f>HYPERLINK("http://ecotaxoserver.obs-vlfr.fr/browsetaxo/?id=56033","56033")</f>
        <v>56033</v>
      </c>
      <c r="D2" s="23" t="str">
        <f t="shared" ref="D2:D3" si="1">HYPERLINK("http://www.marinespecies.org/aphia.php?p=taxdetails&amp;id=149168","149168")</f>
        <v>149168</v>
      </c>
      <c r="E2" s="22" t="s">
        <v>1496</v>
      </c>
      <c r="F2" s="22" t="s">
        <v>1496</v>
      </c>
      <c r="G2" s="22" t="s">
        <v>2008</v>
      </c>
      <c r="H2" s="22" t="s">
        <v>2009</v>
      </c>
      <c r="I2" s="23" t="str">
        <f t="shared" ref="I2:I3" si="2">HYPERLINK("http://www.marinespecies.org/aphia.php?p=taxdetails&amp;id=149168","149168")</f>
        <v>149168</v>
      </c>
      <c r="J2" s="22" t="s">
        <v>2074</v>
      </c>
      <c r="K2" s="22" t="s">
        <v>94</v>
      </c>
      <c r="L2" s="23" t="str">
        <f t="shared" ref="L2:L3" si="3">HYPERLINK("http://www.marinespecies.org/aphia.php?p=taxdetails&amp;id=149168","149168")</f>
        <v>149168</v>
      </c>
      <c r="M2" s="24" t="s">
        <v>91</v>
      </c>
    </row>
    <row r="3">
      <c r="A3" s="22" t="s">
        <v>2074</v>
      </c>
      <c r="B3" s="22">
        <v>3.0</v>
      </c>
      <c r="C3" s="23" t="str">
        <f>HYPERLINK("http://ecotaxoserver.obs-vlfr.fr/browsetaxo/?id=91415","91415")</f>
        <v>91415</v>
      </c>
      <c r="D3" s="23" t="str">
        <f t="shared" si="1"/>
        <v>149168</v>
      </c>
      <c r="E3" s="22" t="s">
        <v>751</v>
      </c>
      <c r="F3" s="22" t="s">
        <v>1496</v>
      </c>
      <c r="G3" s="22" t="s">
        <v>2008</v>
      </c>
      <c r="H3" s="22" t="s">
        <v>2009</v>
      </c>
      <c r="I3" s="23" t="str">
        <f t="shared" si="2"/>
        <v>149168</v>
      </c>
      <c r="J3" s="22" t="s">
        <v>2074</v>
      </c>
      <c r="K3" s="24" t="s">
        <v>1927</v>
      </c>
      <c r="L3" s="23" t="str">
        <f t="shared" si="3"/>
        <v>149168</v>
      </c>
      <c r="M3" s="24" t="s">
        <v>91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29"/>
    <col customWidth="1" min="2" max="2" width="5.86"/>
    <col customWidth="1" min="3" max="3" width="8.71"/>
    <col customWidth="1" min="4" max="4" width="10.57"/>
    <col customWidth="1" min="5" max="5" width="26.14"/>
    <col customWidth="1" min="6" max="6" width="14.43"/>
    <col customWidth="1" min="10" max="10" width="24.71"/>
    <col customWidth="1" min="13" max="13" width="85.0"/>
  </cols>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row r="2">
      <c r="A2" s="22" t="s">
        <v>2075</v>
      </c>
      <c r="B2" s="22">
        <v>4.0</v>
      </c>
      <c r="C2" s="23" t="str">
        <f t="shared" ref="C2:C3" si="1">HYPERLINK("http://ecotaxoserver.obs-vlfr.fr/browsetaxo/?id=92174","92174")</f>
        <v>92174</v>
      </c>
      <c r="D2" s="23" t="str">
        <f>HYPERLINK("http://www.marinespecies.org/aphia.php?p=taxdetails&amp;id=254448","254448")</f>
        <v>254448</v>
      </c>
      <c r="E2" s="22" t="s">
        <v>467</v>
      </c>
      <c r="F2" s="22" t="s">
        <v>467</v>
      </c>
      <c r="G2" s="22" t="s">
        <v>2008</v>
      </c>
      <c r="H2" s="22" t="s">
        <v>2009</v>
      </c>
      <c r="I2" s="23" t="str">
        <f>HYPERLINK("http://www.marinespecies.org/aphia.php?p=taxdetails&amp;id=254448","254448")</f>
        <v>254448</v>
      </c>
      <c r="J2" s="22" t="s">
        <v>2075</v>
      </c>
      <c r="K2" s="22" t="s">
        <v>94</v>
      </c>
      <c r="L2" s="23" t="str">
        <f t="shared" ref="L2:L3" si="2">HYPERLINK("http://www.marinespecies.org/aphia.php?p=taxdetails&amp;id=961740","961740")</f>
        <v>961740</v>
      </c>
      <c r="M2" s="24" t="s">
        <v>2076</v>
      </c>
    </row>
    <row r="3">
      <c r="A3" s="22" t="s">
        <v>2075</v>
      </c>
      <c r="B3" s="22">
        <v>4.0</v>
      </c>
      <c r="C3" s="23" t="str">
        <f t="shared" si="1"/>
        <v>92174</v>
      </c>
      <c r="D3" s="23" t="str">
        <f>HYPERLINK("http://www.marinespecies.org/aphia.php?p=taxdetails&amp;id=961740","961740")</f>
        <v>961740</v>
      </c>
      <c r="E3" s="22" t="s">
        <v>467</v>
      </c>
      <c r="F3" s="22" t="s">
        <v>467</v>
      </c>
      <c r="G3" s="22" t="s">
        <v>2008</v>
      </c>
      <c r="H3" s="22" t="s">
        <v>2009</v>
      </c>
      <c r="I3" s="23" t="str">
        <f>HYPERLINK("http://www.marinespecies.org/aphia.php?p=taxdetails&amp;id=961740","961740")</f>
        <v>961740</v>
      </c>
      <c r="J3" s="22" t="s">
        <v>2075</v>
      </c>
      <c r="K3" s="22" t="s">
        <v>94</v>
      </c>
      <c r="L3" s="23" t="str">
        <f t="shared" si="2"/>
        <v>961740</v>
      </c>
      <c r="M3" s="24" t="s">
        <v>2076</v>
      </c>
    </row>
    <row r="4">
      <c r="A4" s="22" t="s">
        <v>2077</v>
      </c>
      <c r="B4" s="22">
        <v>773.0</v>
      </c>
      <c r="C4" s="23" t="str">
        <f t="shared" ref="C4:C5" si="3">HYPERLINK("http://ecotaxoserver.obs-vlfr.fr/browsetaxo/?id=55855","55855")</f>
        <v>55855</v>
      </c>
      <c r="D4" s="23" t="str">
        <f>HYPERLINK("http://www.marinespecies.org/aphia.php?p=taxdetails&amp;id=149219","149219")</f>
        <v>149219</v>
      </c>
      <c r="E4" s="22" t="s">
        <v>467</v>
      </c>
      <c r="F4" s="22" t="s">
        <v>467</v>
      </c>
      <c r="G4" s="25" t="s">
        <v>2008</v>
      </c>
      <c r="H4" s="25" t="s">
        <v>2009</v>
      </c>
      <c r="I4" s="23" t="str">
        <f>HYPERLINK("http://www.marinespecies.org/aphia.php?p=taxdetails&amp;id=149219","149219")</f>
        <v>149219</v>
      </c>
      <c r="J4" s="22" t="s">
        <v>2077</v>
      </c>
      <c r="K4" s="22" t="s">
        <v>94</v>
      </c>
      <c r="L4" s="23" t="str">
        <f>HYPERLINK("http://www.marinespecies.org/aphia.php?p=taxdetails&amp;id=149219","149219")</f>
        <v>149219</v>
      </c>
      <c r="M4" s="24" t="s">
        <v>2078</v>
      </c>
    </row>
    <row r="5">
      <c r="A5" s="22" t="s">
        <v>2077</v>
      </c>
      <c r="B5" s="22">
        <v>773.0</v>
      </c>
      <c r="C5" s="23" t="str">
        <f t="shared" si="3"/>
        <v>55855</v>
      </c>
      <c r="D5" s="23" t="str">
        <f>HYPERLINK("http://www.marinespecies.org/aphia.php?p=taxdetails&amp;id=961758","961758")</f>
        <v>961758</v>
      </c>
      <c r="E5" s="22" t="s">
        <v>467</v>
      </c>
      <c r="F5" s="22" t="s">
        <v>467</v>
      </c>
      <c r="G5" s="22" t="s">
        <v>2008</v>
      </c>
      <c r="H5" s="22" t="s">
        <v>2009</v>
      </c>
      <c r="I5" s="23" t="str">
        <f>HYPERLINK("http://www.marinespecies.org/aphia.php?p=taxdetails&amp;id=961758","961758")</f>
        <v>961758</v>
      </c>
      <c r="J5" s="22" t="s">
        <v>2077</v>
      </c>
      <c r="K5" s="22" t="s">
        <v>94</v>
      </c>
      <c r="L5" s="33">
        <v>149219.0</v>
      </c>
      <c r="M5" s="24" t="s">
        <v>2079</v>
      </c>
    </row>
    <row r="6">
      <c r="A6" s="22" t="s">
        <v>2080</v>
      </c>
      <c r="B6" s="22">
        <v>4.0</v>
      </c>
      <c r="C6" s="23" t="str">
        <f t="shared" ref="C6:C7" si="4">HYPERLINK("http://ecotaxoserver.obs-vlfr.fr/browsetaxo/?id=92203","92203")</f>
        <v>92203</v>
      </c>
      <c r="D6" s="23" t="str">
        <f>HYPERLINK("http://www.marinespecies.org/aphia.php?p=taxdetails&amp;id=163055","163055")</f>
        <v>163055</v>
      </c>
      <c r="E6" s="22" t="s">
        <v>467</v>
      </c>
      <c r="F6" s="22" t="s">
        <v>467</v>
      </c>
      <c r="G6" s="22" t="s">
        <v>2008</v>
      </c>
      <c r="H6" s="22" t="s">
        <v>2009</v>
      </c>
      <c r="I6" s="23" t="str">
        <f>HYPERLINK("http://www.marinespecies.org/aphia.php?p=taxdetails&amp;id=163055","163055")</f>
        <v>163055</v>
      </c>
      <c r="J6" s="22" t="s">
        <v>2080</v>
      </c>
      <c r="K6" s="22" t="s">
        <v>94</v>
      </c>
      <c r="L6" s="23" t="str">
        <f t="shared" ref="L6:L7" si="5">HYPERLINK("http://www.marinespecies.org/aphia.php?p=taxdetails&amp;id=163055","163055")</f>
        <v>163055</v>
      </c>
      <c r="M6" s="24" t="s">
        <v>2081</v>
      </c>
    </row>
    <row r="7">
      <c r="A7" s="22" t="s">
        <v>2080</v>
      </c>
      <c r="B7" s="22">
        <v>4.0</v>
      </c>
      <c r="C7" s="23" t="str">
        <f t="shared" si="4"/>
        <v>92203</v>
      </c>
      <c r="D7" s="23" t="str">
        <f>HYPERLINK("http://www.marinespecies.org/aphia.php?p=taxdetails&amp;id=961872","961872")</f>
        <v>961872</v>
      </c>
      <c r="E7" s="22" t="s">
        <v>467</v>
      </c>
      <c r="F7" s="22" t="s">
        <v>467</v>
      </c>
      <c r="G7" s="22" t="s">
        <v>2008</v>
      </c>
      <c r="H7" s="22" t="s">
        <v>2009</v>
      </c>
      <c r="I7" s="23" t="str">
        <f>HYPERLINK("http://www.marinespecies.org/aphia.php?p=taxdetails&amp;id=961872","961872")</f>
        <v>961872</v>
      </c>
      <c r="J7" s="22" t="s">
        <v>2080</v>
      </c>
      <c r="K7" s="22" t="s">
        <v>94</v>
      </c>
      <c r="L7" s="23" t="str">
        <f t="shared" si="5"/>
        <v>163055</v>
      </c>
      <c r="M7" s="24" t="s">
        <v>2081</v>
      </c>
    </row>
    <row r="8">
      <c r="A8" s="22" t="s">
        <v>2082</v>
      </c>
      <c r="B8" s="22">
        <v>1.0</v>
      </c>
      <c r="C8" s="23" t="str">
        <f t="shared" ref="C8:C13" si="6">HYPERLINK("http://ecotaxoserver.obs-vlfr.fr/browsetaxo/?id=56016","56016")</f>
        <v>56016</v>
      </c>
      <c r="D8" s="23" t="str">
        <f>HYPERLINK("http://www.marinespecies.org/aphia.php?p=taxdetails&amp;id=149110","149110")</f>
        <v>149110</v>
      </c>
      <c r="E8" s="22" t="s">
        <v>586</v>
      </c>
      <c r="F8" s="22" t="s">
        <v>586</v>
      </c>
      <c r="G8" s="22" t="s">
        <v>2008</v>
      </c>
      <c r="H8" s="22" t="s">
        <v>2009</v>
      </c>
      <c r="I8" s="23" t="str">
        <f>HYPERLINK("http://www.marinespecies.org/aphia.php?p=taxdetails&amp;id=149110","149110")</f>
        <v>149110</v>
      </c>
      <c r="J8" s="22" t="s">
        <v>2082</v>
      </c>
      <c r="K8" s="22" t="s">
        <v>94</v>
      </c>
      <c r="L8" s="24">
        <v>957580.0</v>
      </c>
      <c r="M8" s="24" t="s">
        <v>2083</v>
      </c>
    </row>
    <row r="9">
      <c r="A9" s="22" t="s">
        <v>2082</v>
      </c>
      <c r="B9" s="22">
        <v>1.0</v>
      </c>
      <c r="C9" s="23" t="str">
        <f t="shared" si="6"/>
        <v>56016</v>
      </c>
      <c r="D9" s="23" t="str">
        <f>HYPERLINK("http://www.marinespecies.org/aphia.php?p=taxdetails&amp;id=957579","957579")</f>
        <v>957579</v>
      </c>
      <c r="E9" s="22" t="s">
        <v>586</v>
      </c>
      <c r="F9" s="22" t="s">
        <v>586</v>
      </c>
      <c r="G9" s="22" t="s">
        <v>2008</v>
      </c>
      <c r="H9" s="22" t="s">
        <v>2009</v>
      </c>
      <c r="I9" s="23" t="str">
        <f>HYPERLINK("http://www.marinespecies.org/aphia.php?p=taxdetails&amp;id=957579","957579")</f>
        <v>957579</v>
      </c>
      <c r="J9" s="22" t="s">
        <v>2082</v>
      </c>
      <c r="K9" s="22" t="s">
        <v>94</v>
      </c>
      <c r="L9" s="24">
        <v>957580.0</v>
      </c>
      <c r="M9" s="24" t="s">
        <v>2083</v>
      </c>
    </row>
    <row r="10">
      <c r="A10" s="22" t="s">
        <v>2082</v>
      </c>
      <c r="B10" s="22">
        <v>1.0</v>
      </c>
      <c r="C10" s="23" t="str">
        <f t="shared" si="6"/>
        <v>56016</v>
      </c>
      <c r="D10" s="23" t="str">
        <f>HYPERLINK("http://www.marinespecies.org/aphia.php?p=taxdetails&amp;id=957580","957580")</f>
        <v>957580</v>
      </c>
      <c r="E10" s="22" t="s">
        <v>586</v>
      </c>
      <c r="F10" s="22" t="s">
        <v>586</v>
      </c>
      <c r="G10" s="22" t="s">
        <v>2008</v>
      </c>
      <c r="H10" s="22" t="s">
        <v>2009</v>
      </c>
      <c r="I10" s="23" t="str">
        <f>HYPERLINK("http://www.marinespecies.org/aphia.php?p=taxdetails&amp;id=957580","957580")</f>
        <v>957580</v>
      </c>
      <c r="J10" s="22" t="s">
        <v>2082</v>
      </c>
      <c r="K10" s="22" t="s">
        <v>94</v>
      </c>
      <c r="L10" s="24">
        <v>957580.0</v>
      </c>
      <c r="M10" s="24" t="s">
        <v>2083</v>
      </c>
    </row>
    <row r="11">
      <c r="A11" s="22" t="s">
        <v>2082</v>
      </c>
      <c r="B11" s="22">
        <v>1.0</v>
      </c>
      <c r="C11" s="23" t="str">
        <f t="shared" si="6"/>
        <v>56016</v>
      </c>
      <c r="D11" s="23" t="str">
        <f>HYPERLINK("http://www.marinespecies.org/aphia.php?p=taxdetails&amp;id=957581","957581")</f>
        <v>957581</v>
      </c>
      <c r="E11" s="22" t="s">
        <v>586</v>
      </c>
      <c r="F11" s="22" t="s">
        <v>586</v>
      </c>
      <c r="G11" s="22" t="s">
        <v>2008</v>
      </c>
      <c r="H11" s="22" t="s">
        <v>2009</v>
      </c>
      <c r="I11" s="23" t="str">
        <f>HYPERLINK("http://www.marinespecies.org/aphia.php?p=taxdetails&amp;id=957581","957581")</f>
        <v>957581</v>
      </c>
      <c r="J11" s="22" t="s">
        <v>2082</v>
      </c>
      <c r="K11" s="22" t="s">
        <v>94</v>
      </c>
      <c r="L11" s="24">
        <v>957580.0</v>
      </c>
      <c r="M11" s="24" t="s">
        <v>2083</v>
      </c>
    </row>
    <row r="12">
      <c r="A12" s="22" t="s">
        <v>2082</v>
      </c>
      <c r="B12" s="22">
        <v>1.0</v>
      </c>
      <c r="C12" s="23" t="str">
        <f t="shared" si="6"/>
        <v>56016</v>
      </c>
      <c r="D12" s="23" t="str">
        <f>HYPERLINK("http://www.marinespecies.org/aphia.php?p=taxdetails&amp;id=962113","962113")</f>
        <v>962113</v>
      </c>
      <c r="E12" s="22" t="s">
        <v>586</v>
      </c>
      <c r="F12" s="22" t="s">
        <v>586</v>
      </c>
      <c r="G12" s="22" t="s">
        <v>2008</v>
      </c>
      <c r="H12" s="22" t="s">
        <v>2009</v>
      </c>
      <c r="I12" s="23" t="str">
        <f>HYPERLINK("http://www.marinespecies.org/aphia.php?p=taxdetails&amp;id=962113","962113")</f>
        <v>962113</v>
      </c>
      <c r="J12" s="22" t="s">
        <v>2082</v>
      </c>
      <c r="K12" s="22" t="s">
        <v>94</v>
      </c>
      <c r="L12" s="24">
        <v>957580.0</v>
      </c>
      <c r="M12" s="24" t="s">
        <v>2083</v>
      </c>
    </row>
    <row r="13">
      <c r="A13" s="22" t="s">
        <v>2082</v>
      </c>
      <c r="B13" s="22">
        <v>1.0</v>
      </c>
      <c r="C13" s="23" t="str">
        <f t="shared" si="6"/>
        <v>56016</v>
      </c>
      <c r="D13" s="23" t="str">
        <f>HYPERLINK("http://www.marinespecies.org/aphia.php?p=taxdetails&amp;id=966704","966704")</f>
        <v>966704</v>
      </c>
      <c r="E13" s="22" t="s">
        <v>586</v>
      </c>
      <c r="F13" s="22" t="s">
        <v>586</v>
      </c>
      <c r="G13" s="22" t="s">
        <v>2008</v>
      </c>
      <c r="H13" s="22" t="s">
        <v>2009</v>
      </c>
      <c r="I13" s="23" t="str">
        <f>HYPERLINK("http://www.marinespecies.org/aphia.php?p=taxdetails&amp;id=966704","966704")</f>
        <v>966704</v>
      </c>
      <c r="J13" s="22" t="s">
        <v>2082</v>
      </c>
      <c r="K13" s="22" t="s">
        <v>94</v>
      </c>
      <c r="L13" s="24">
        <v>957580.0</v>
      </c>
      <c r="M13" s="24" t="s">
        <v>2083</v>
      </c>
    </row>
    <row r="14">
      <c r="A14" s="22" t="s">
        <v>2084</v>
      </c>
      <c r="B14" s="22">
        <v>1.0</v>
      </c>
      <c r="C14" s="23" t="str">
        <f t="shared" ref="C14:C18" si="7">HYPERLINK("http://ecotaxoserver.obs-vlfr.fr/browsetaxo/?id=92228","92228")</f>
        <v>92228</v>
      </c>
      <c r="D14" s="23" t="str">
        <f>HYPERLINK("http://www.marinespecies.org/aphia.php?p=taxdetails&amp;id=149159","149159")</f>
        <v>149159</v>
      </c>
      <c r="E14" s="22" t="s">
        <v>613</v>
      </c>
      <c r="F14" s="22" t="s">
        <v>613</v>
      </c>
      <c r="G14" s="22" t="s">
        <v>2008</v>
      </c>
      <c r="H14" s="22" t="s">
        <v>2009</v>
      </c>
      <c r="I14" s="23" t="str">
        <f>HYPERLINK("http://www.marinespecies.org/aphia.php?p=taxdetails&amp;id=149159","149159")</f>
        <v>149159</v>
      </c>
      <c r="J14" s="22" t="s">
        <v>2084</v>
      </c>
      <c r="K14" s="22" t="s">
        <v>94</v>
      </c>
      <c r="L14" s="23" t="str">
        <f>HYPERLINK("http://www.marinespecies.org/aphia.php?p=taxdetails&amp;id=149159","149159")</f>
        <v>149159</v>
      </c>
      <c r="M14" s="24" t="s">
        <v>2085</v>
      </c>
    </row>
    <row r="15">
      <c r="A15" s="22" t="s">
        <v>2084</v>
      </c>
      <c r="B15" s="22">
        <v>1.0</v>
      </c>
      <c r="C15" s="23" t="str">
        <f t="shared" si="7"/>
        <v>92228</v>
      </c>
      <c r="D15" s="23" t="str">
        <f>HYPERLINK("http://www.marinespecies.org/aphia.php?p=taxdetails&amp;id=962228","962228")</f>
        <v>962228</v>
      </c>
      <c r="E15" s="22" t="s">
        <v>613</v>
      </c>
      <c r="F15" s="22" t="s">
        <v>613</v>
      </c>
      <c r="G15" s="22" t="s">
        <v>2008</v>
      </c>
      <c r="H15" s="22" t="s">
        <v>2009</v>
      </c>
      <c r="I15" s="23" t="str">
        <f>HYPERLINK("http://www.marinespecies.org/aphia.php?p=taxdetails&amp;id=962228","962228")</f>
        <v>962228</v>
      </c>
      <c r="J15" s="22" t="s">
        <v>2084</v>
      </c>
      <c r="K15" s="22" t="s">
        <v>94</v>
      </c>
      <c r="L15" s="24">
        <v>149159.0</v>
      </c>
      <c r="M15" s="24" t="s">
        <v>2085</v>
      </c>
    </row>
    <row r="16">
      <c r="A16" s="22" t="s">
        <v>2084</v>
      </c>
      <c r="B16" s="22">
        <v>1.0</v>
      </c>
      <c r="C16" s="23" t="str">
        <f t="shared" si="7"/>
        <v>92228</v>
      </c>
      <c r="D16" s="23" t="str">
        <f>HYPERLINK("http://www.marinespecies.org/aphia.php?p=taxdetails&amp;id=962233","962233")</f>
        <v>962233</v>
      </c>
      <c r="E16" s="22" t="s">
        <v>613</v>
      </c>
      <c r="F16" s="22" t="s">
        <v>613</v>
      </c>
      <c r="G16" s="22" t="s">
        <v>2008</v>
      </c>
      <c r="H16" s="22" t="s">
        <v>2009</v>
      </c>
      <c r="I16" s="23" t="str">
        <f>HYPERLINK("http://www.marinespecies.org/aphia.php?p=taxdetails&amp;id=962233","962233")</f>
        <v>962233</v>
      </c>
      <c r="J16" s="22" t="s">
        <v>2084</v>
      </c>
      <c r="K16" s="22" t="s">
        <v>94</v>
      </c>
      <c r="L16" s="24">
        <v>149159.0</v>
      </c>
      <c r="M16" s="24" t="s">
        <v>2085</v>
      </c>
    </row>
    <row r="17">
      <c r="A17" s="22" t="s">
        <v>2084</v>
      </c>
      <c r="B17" s="22">
        <v>1.0</v>
      </c>
      <c r="C17" s="23" t="str">
        <f t="shared" si="7"/>
        <v>92228</v>
      </c>
      <c r="D17" s="23" t="str">
        <f>HYPERLINK("http://www.marinespecies.org/aphia.php?p=taxdetails&amp;id=962234","962234")</f>
        <v>962234</v>
      </c>
      <c r="E17" s="22" t="s">
        <v>613</v>
      </c>
      <c r="F17" s="22" t="s">
        <v>613</v>
      </c>
      <c r="G17" s="22" t="s">
        <v>2008</v>
      </c>
      <c r="H17" s="22" t="s">
        <v>2009</v>
      </c>
      <c r="I17" s="23" t="str">
        <f>HYPERLINK("http://www.marinespecies.org/aphia.php?p=taxdetails&amp;id=962234","962234")</f>
        <v>962234</v>
      </c>
      <c r="J17" s="22" t="s">
        <v>2084</v>
      </c>
      <c r="K17" s="22" t="s">
        <v>94</v>
      </c>
      <c r="L17" s="24">
        <v>149159.0</v>
      </c>
      <c r="M17" s="24" t="s">
        <v>2085</v>
      </c>
    </row>
    <row r="18">
      <c r="A18" s="22" t="s">
        <v>2084</v>
      </c>
      <c r="B18" s="22">
        <v>1.0</v>
      </c>
      <c r="C18" s="23" t="str">
        <f t="shared" si="7"/>
        <v>92228</v>
      </c>
      <c r="D18" s="23" t="str">
        <f>HYPERLINK("http://www.marinespecies.org/aphia.php?p=taxdetails&amp;id=966480","966480")</f>
        <v>966480</v>
      </c>
      <c r="E18" s="22" t="s">
        <v>613</v>
      </c>
      <c r="F18" s="22" t="s">
        <v>613</v>
      </c>
      <c r="G18" s="22" t="s">
        <v>2008</v>
      </c>
      <c r="H18" s="22" t="s">
        <v>2009</v>
      </c>
      <c r="I18" s="23" t="str">
        <f>HYPERLINK("http://www.marinespecies.org/aphia.php?p=taxdetails&amp;id=966480","966480")</f>
        <v>966480</v>
      </c>
      <c r="J18" s="22" t="s">
        <v>2084</v>
      </c>
      <c r="K18" s="22" t="s">
        <v>94</v>
      </c>
      <c r="L18" s="24">
        <v>149159.0</v>
      </c>
      <c r="M18" s="24" t="s">
        <v>2085</v>
      </c>
    </row>
    <row r="19">
      <c r="A19" s="22" t="s">
        <v>2086</v>
      </c>
      <c r="B19" s="22">
        <v>4.0</v>
      </c>
      <c r="C19" s="23" t="str">
        <f t="shared" ref="C19:C21" si="8">HYPERLINK("http://ecotaxoserver.obs-vlfr.fr/browsetaxo/?id=91076","91076")</f>
        <v>91076</v>
      </c>
      <c r="D19" s="23" t="str">
        <f>HYPERLINK("http://www.marinespecies.org/aphia.php?p=taxdetails&amp;id=149158","149158")</f>
        <v>149158</v>
      </c>
      <c r="E19" s="22" t="s">
        <v>751</v>
      </c>
      <c r="F19" s="22" t="s">
        <v>613</v>
      </c>
      <c r="G19" s="22" t="s">
        <v>2008</v>
      </c>
      <c r="H19" s="22" t="s">
        <v>2009</v>
      </c>
      <c r="I19" s="23" t="str">
        <f>HYPERLINK("http://www.marinespecies.org/aphia.php?p=taxdetails&amp;id=149158","149158")</f>
        <v>149158</v>
      </c>
      <c r="J19" s="22" t="s">
        <v>2086</v>
      </c>
      <c r="K19" s="24" t="s">
        <v>1927</v>
      </c>
      <c r="L19" s="24">
        <v>149158.0</v>
      </c>
      <c r="M19" s="24" t="s">
        <v>2087</v>
      </c>
    </row>
    <row r="20">
      <c r="A20" s="22" t="s">
        <v>2086</v>
      </c>
      <c r="B20" s="22">
        <v>4.0</v>
      </c>
      <c r="C20" s="23" t="str">
        <f t="shared" si="8"/>
        <v>91076</v>
      </c>
      <c r="D20" s="23" t="str">
        <f>HYPERLINK("http://www.marinespecies.org/aphia.php?p=taxdetails&amp;id=962315","962315")</f>
        <v>962315</v>
      </c>
      <c r="E20" s="22" t="s">
        <v>751</v>
      </c>
      <c r="F20" s="22" t="s">
        <v>613</v>
      </c>
      <c r="G20" s="22" t="s">
        <v>2008</v>
      </c>
      <c r="H20" s="22" t="s">
        <v>2009</v>
      </c>
      <c r="I20" s="23" t="str">
        <f>HYPERLINK("http://www.marinespecies.org/aphia.php?p=taxdetails&amp;id=962315","962315")</f>
        <v>962315</v>
      </c>
      <c r="J20" s="22" t="s">
        <v>2086</v>
      </c>
      <c r="K20" s="24" t="s">
        <v>1927</v>
      </c>
      <c r="L20" s="24">
        <v>149158.0</v>
      </c>
      <c r="M20" s="24" t="s">
        <v>2087</v>
      </c>
    </row>
    <row r="21">
      <c r="A21" s="22" t="s">
        <v>2086</v>
      </c>
      <c r="B21" s="22">
        <v>4.0</v>
      </c>
      <c r="C21" s="23" t="str">
        <f t="shared" si="8"/>
        <v>91076</v>
      </c>
      <c r="D21" s="23" t="str">
        <f>HYPERLINK("http://www.marinespecies.org/aphia.php?p=taxdetails&amp;id=962316","962316")</f>
        <v>962316</v>
      </c>
      <c r="E21" s="22" t="s">
        <v>751</v>
      </c>
      <c r="F21" s="22" t="s">
        <v>613</v>
      </c>
      <c r="G21" s="22" t="s">
        <v>2008</v>
      </c>
      <c r="H21" s="22" t="s">
        <v>2009</v>
      </c>
      <c r="I21" s="23" t="str">
        <f>HYPERLINK("http://www.marinespecies.org/aphia.php?p=taxdetails&amp;id=962316","962316")</f>
        <v>962316</v>
      </c>
      <c r="J21" s="22" t="s">
        <v>2086</v>
      </c>
      <c r="K21" s="24" t="s">
        <v>1927</v>
      </c>
      <c r="L21" s="24">
        <v>149158.0</v>
      </c>
      <c r="M21" s="24" t="s">
        <v>2087</v>
      </c>
    </row>
    <row r="22">
      <c r="A22" s="22" t="s">
        <v>2088</v>
      </c>
      <c r="B22" s="22">
        <v>1022.0</v>
      </c>
      <c r="C22" s="23" t="str">
        <f t="shared" ref="C22:C23" si="9">HYPERLINK("http://ecotaxoserver.obs-vlfr.fr/browsetaxo/?id=56070","56070")</f>
        <v>56070</v>
      </c>
      <c r="D22" s="23" t="str">
        <f>HYPERLINK("http://www.marinespecies.org/aphia.php?p=taxdetails&amp;id=149106","149106")</f>
        <v>149106</v>
      </c>
      <c r="E22" s="22" t="s">
        <v>1081</v>
      </c>
      <c r="F22" s="22" t="s">
        <v>1081</v>
      </c>
      <c r="G22" s="22" t="s">
        <v>2008</v>
      </c>
      <c r="H22" s="22" t="s">
        <v>2009</v>
      </c>
      <c r="I22" s="23" t="str">
        <f>HYPERLINK("http://www.marinespecies.org/aphia.php?p=taxdetails&amp;id=149106","149106")</f>
        <v>149106</v>
      </c>
      <c r="J22" s="22" t="s">
        <v>2088</v>
      </c>
      <c r="K22" s="22" t="s">
        <v>94</v>
      </c>
      <c r="L22" s="24">
        <v>149106.0</v>
      </c>
      <c r="M22" s="24" t="s">
        <v>2085</v>
      </c>
    </row>
    <row r="23">
      <c r="A23" s="22" t="s">
        <v>2088</v>
      </c>
      <c r="B23" s="22">
        <v>1022.0</v>
      </c>
      <c r="C23" s="23" t="str">
        <f t="shared" si="9"/>
        <v>56070</v>
      </c>
      <c r="D23" s="23" t="str">
        <f>HYPERLINK("http://www.marinespecies.org/aphia.php?p=taxdetails&amp;id=962746","962746")</f>
        <v>962746</v>
      </c>
      <c r="E23" s="22" t="s">
        <v>1081</v>
      </c>
      <c r="F23" s="22" t="s">
        <v>1081</v>
      </c>
      <c r="G23" s="22" t="s">
        <v>2008</v>
      </c>
      <c r="H23" s="22" t="s">
        <v>2009</v>
      </c>
      <c r="I23" s="23" t="str">
        <f>HYPERLINK("http://www.marinespecies.org/aphia.php?p=taxdetails&amp;id=962746","962746")</f>
        <v>962746</v>
      </c>
      <c r="J23" s="22" t="s">
        <v>2088</v>
      </c>
      <c r="K23" s="22" t="s">
        <v>94</v>
      </c>
      <c r="L23" s="24">
        <v>149106.0</v>
      </c>
      <c r="M23" s="24" t="s">
        <v>2085</v>
      </c>
    </row>
    <row r="24">
      <c r="A24" s="22" t="s">
        <v>2089</v>
      </c>
      <c r="B24" s="22">
        <v>4.0</v>
      </c>
      <c r="C24" s="23" t="str">
        <f t="shared" ref="C24:C25" si="10">HYPERLINK("http://ecotaxoserver.obs-vlfr.fr/browsetaxo/?id=55990","55990")</f>
        <v>55990</v>
      </c>
      <c r="D24" s="23" t="str">
        <f>HYPERLINK("http://www.marinespecies.org/aphia.php?p=taxdetails&amp;id=345533","345533")</f>
        <v>345533</v>
      </c>
      <c r="E24" s="22" t="s">
        <v>1788</v>
      </c>
      <c r="F24" s="22" t="s">
        <v>1788</v>
      </c>
      <c r="G24" s="22" t="s">
        <v>2008</v>
      </c>
      <c r="H24" s="22" t="s">
        <v>2009</v>
      </c>
      <c r="I24" s="23" t="str">
        <f>HYPERLINK("http://www.marinespecies.org/aphia.php?p=taxdetails&amp;id=345533","345533")</f>
        <v>345533</v>
      </c>
      <c r="J24" s="22" t="s">
        <v>2089</v>
      </c>
      <c r="K24" s="22" t="s">
        <v>94</v>
      </c>
      <c r="L24" s="24">
        <v>345533.0</v>
      </c>
      <c r="M24" s="24" t="s">
        <v>2090</v>
      </c>
    </row>
    <row r="25">
      <c r="A25" s="22" t="s">
        <v>2089</v>
      </c>
      <c r="B25" s="22">
        <v>4.0</v>
      </c>
      <c r="C25" s="23" t="str">
        <f t="shared" si="10"/>
        <v>55990</v>
      </c>
      <c r="D25" s="23" t="str">
        <f>HYPERLINK("http://www.marinespecies.org/aphia.php?p=taxdetails&amp;id=555264","555264")</f>
        <v>555264</v>
      </c>
      <c r="E25" s="22" t="s">
        <v>1788</v>
      </c>
      <c r="F25" s="22" t="s">
        <v>1788</v>
      </c>
      <c r="G25" s="22" t="s">
        <v>2008</v>
      </c>
      <c r="H25" s="22" t="s">
        <v>2009</v>
      </c>
      <c r="I25" s="23" t="str">
        <f>HYPERLINK("http://www.marinespecies.org/aphia.php?p=taxdetails&amp;id=555264","555264")</f>
        <v>555264</v>
      </c>
      <c r="J25" s="22" t="s">
        <v>2089</v>
      </c>
      <c r="K25" s="22" t="s">
        <v>94</v>
      </c>
      <c r="L25" s="24">
        <v>345533.0</v>
      </c>
      <c r="M25" s="24" t="s">
        <v>2090</v>
      </c>
    </row>
    <row r="29">
      <c r="M29" s="2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0" t="s">
        <v>78</v>
      </c>
      <c r="B1" s="20" t="s">
        <v>79</v>
      </c>
      <c r="C1" s="20" t="s">
        <v>80</v>
      </c>
      <c r="D1" s="20" t="s">
        <v>81</v>
      </c>
      <c r="E1" s="20" t="s">
        <v>82</v>
      </c>
      <c r="F1" s="20" t="s">
        <v>83</v>
      </c>
      <c r="G1" s="20" t="s">
        <v>2003</v>
      </c>
      <c r="H1" s="20" t="s">
        <v>2004</v>
      </c>
      <c r="I1" s="20" t="s">
        <v>2005</v>
      </c>
      <c r="J1" s="20" t="s">
        <v>2006</v>
      </c>
      <c r="K1" s="21" t="s">
        <v>84</v>
      </c>
      <c r="L1" s="20" t="s">
        <v>85</v>
      </c>
      <c r="M1" s="20" t="s">
        <v>86</v>
      </c>
    </row>
  </sheetData>
  <drawing r:id="rId1"/>
</worksheet>
</file>