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r GPU+Solar" sheetId="1" r:id="rId4"/>
  </sheets>
  <definedNames/>
  <calcPr/>
  <extLst>
    <ext uri="GoogleSheetsCustomDataVersion2">
      <go:sheetsCustomData xmlns:go="http://customooxmlschemas.google.com/" r:id="rId5" roundtripDataChecksum="wt4rcg1YzMAd4mypap4t1yXlv/YVavsDZxZMUjJpY60="/>
    </ext>
  </extLst>
</workbook>
</file>

<file path=xl/sharedStrings.xml><?xml version="1.0" encoding="utf-8"?>
<sst xmlns="http://schemas.openxmlformats.org/spreadsheetml/2006/main" count="85" uniqueCount="76">
  <si>
    <t>GPU+ 800KW Solar project</t>
  </si>
  <si>
    <t>Investment Summary Dashboard</t>
  </si>
  <si>
    <t>PROJECT RETURN</t>
  </si>
  <si>
    <t>INVESTMENT</t>
  </si>
  <si>
    <t>ANNUAL PERFORMANCE</t>
  </si>
  <si>
    <t>Gross IRR</t>
  </si>
  <si>
    <t>Initial Capital</t>
  </si>
  <si>
    <t>Payback Period (years)</t>
  </si>
  <si>
    <t>Total Return</t>
  </si>
  <si>
    <t>Year 1 Net Cash</t>
  </si>
  <si>
    <t>NPV</t>
  </si>
  <si>
    <t>Net IRR</t>
  </si>
  <si>
    <t>PROJECT INPUTS</t>
  </si>
  <si>
    <t>SCENARIO CONTROLLER</t>
  </si>
  <si>
    <t>Fee Parameters</t>
  </si>
  <si>
    <t>Solar Inputs</t>
  </si>
  <si>
    <t>Select Scenario:</t>
  </si>
  <si>
    <t>Base</t>
  </si>
  <si>
    <t>Base Fee</t>
  </si>
  <si>
    <t>Size of Array (kW)</t>
  </si>
  <si>
    <t>(Options: Worst, Base, Best)</t>
  </si>
  <si>
    <t>Hurdle Rate</t>
  </si>
  <si>
    <t>Estimated Annual Generation (kWh)</t>
  </si>
  <si>
    <t>SCENARIO VALUES</t>
  </si>
  <si>
    <t>Performance Fee</t>
  </si>
  <si>
    <t>Self Consumption %</t>
  </si>
  <si>
    <t>Variable</t>
  </si>
  <si>
    <t>Worst</t>
  </si>
  <si>
    <t>Best</t>
  </si>
  <si>
    <t>Energy Saved (kWh)</t>
  </si>
  <si>
    <t>Electricity Rate (£/kWh)</t>
  </si>
  <si>
    <t>Energy Exported (kWh)</t>
  </si>
  <si>
    <t>Installation Time (months)</t>
  </si>
  <si>
    <t>Solar Cost</t>
  </si>
  <si>
    <t>Annual O &amp; M</t>
  </si>
  <si>
    <t>GPU Leasing Rate</t>
  </si>
  <si>
    <t>Solar Approximate Cost (£)</t>
  </si>
  <si>
    <t>GPU Power Draw (kW)</t>
  </si>
  <si>
    <t>Per GPU Cost</t>
  </si>
  <si>
    <t>Project IRR</t>
  </si>
  <si>
    <t>Energy Inflation (Annual)</t>
  </si>
  <si>
    <t>SEG Rate (£/kWh)</t>
  </si>
  <si>
    <t>Assumed Length of SEG (Years)</t>
  </si>
  <si>
    <t>SEG Rate Increment to (£/kWh)</t>
  </si>
  <si>
    <t>PPA Length (Years)</t>
  </si>
  <si>
    <t>Discount Rate for PV</t>
  </si>
  <si>
    <t>Infllation (%) Annual</t>
  </si>
  <si>
    <t>GPU Inputs</t>
  </si>
  <si>
    <t>Number of GPUs</t>
  </si>
  <si>
    <t>GPU Leasing Rate (£/h)</t>
  </si>
  <si>
    <t>GPU Leasing Rate Index (%)</t>
  </si>
  <si>
    <t>Utilization %</t>
  </si>
  <si>
    <t>GPU Setup Cost (Incl, racks, cooling, fibre, power dist)</t>
  </si>
  <si>
    <t>Total GPU Cost</t>
  </si>
  <si>
    <t>Ancillaries Cost</t>
  </si>
  <si>
    <t>Salvage Value</t>
  </si>
  <si>
    <t>Calculations</t>
  </si>
  <si>
    <t>Total Funding Requirement</t>
  </si>
  <si>
    <t>Energy Required (kWh) for GPUs</t>
  </si>
  <si>
    <t>Additional Energy Required (kWh)</t>
  </si>
  <si>
    <t>GPU replacement Time (years)</t>
  </si>
  <si>
    <t>CASH FLOW ANALYSIS</t>
  </si>
  <si>
    <t>Year 1</t>
  </si>
  <si>
    <t>Year</t>
  </si>
  <si>
    <t>Investment</t>
  </si>
  <si>
    <t>GPU replacement Cost</t>
  </si>
  <si>
    <t>GPU Leasing Rate Increase</t>
  </si>
  <si>
    <t>Annual GPU CashFlow (Gross Revenue)</t>
  </si>
  <si>
    <t>Electricity Rate</t>
  </si>
  <si>
    <t>Export Rate (£/kWh)</t>
  </si>
  <si>
    <t>Additional Electricity Cost</t>
  </si>
  <si>
    <t>O&amp;M Costs</t>
  </si>
  <si>
    <t>Net Cash Flow</t>
  </si>
  <si>
    <t>Present Value</t>
  </si>
  <si>
    <t>Cumulative Cash Flow</t>
  </si>
  <si>
    <t>Note: All values in GBP (£). Cash flows include protocol share, and O&amp;M costs.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</si>
</sst>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.00_);_(* \(#,##0.00\);_(* &quot;-&quot;??_);_(@_)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0.0%"/>
    <numFmt numFmtId="168" formatCode="\£#,##0.00"/>
    <numFmt numFmtId="169" formatCode="0.0000"/>
  </numFmts>
  <fonts count="25">
    <font>
      <sz val="10.0"/>
      <color rgb="FF000000"/>
      <name val="Arial"/>
      <scheme val="minor"/>
    </font>
    <font>
      <b/>
      <sz val="12.0"/>
      <color rgb="FFFFFFFF"/>
      <name val="Arial"/>
    </font>
    <font/>
    <font>
      <sz val="11.0"/>
      <color theme="1"/>
      <name val="Aptos Narrow"/>
    </font>
    <font>
      <b/>
      <sz val="10.0"/>
      <color rgb="FF404040"/>
      <name val="Sans-serif"/>
    </font>
    <font>
      <b/>
      <sz val="9.0"/>
      <color rgb="FFFFFFFF"/>
      <name val="Sans-serif"/>
    </font>
    <font>
      <b/>
      <sz val="8.0"/>
      <color rgb="FF404040"/>
      <name val="Arial"/>
    </font>
    <font>
      <b/>
      <sz val="9.0"/>
      <color rgb="FF404040"/>
      <name val="Sans-serif"/>
    </font>
    <font>
      <b/>
      <sz val="8.0"/>
      <color rgb="FF404040"/>
      <name val="Sans-serif"/>
    </font>
    <font>
      <b/>
      <sz val="10.0"/>
      <color rgb="FFFFFFFF"/>
      <name val="Sans-serif"/>
    </font>
    <font>
      <sz val="8.0"/>
      <color rgb="FF404040"/>
      <name val="Sans-serif"/>
    </font>
    <font>
      <b/>
      <sz val="8.0"/>
      <color theme="1"/>
      <name val="Arial"/>
    </font>
    <font>
      <b/>
      <sz val="8.0"/>
      <color rgb="FF0000FF"/>
      <name val="Arial"/>
    </font>
    <font>
      <i/>
      <sz val="7.0"/>
      <color rgb="FF404040"/>
      <name val="Arial"/>
    </font>
    <font>
      <i/>
      <sz val="7.0"/>
      <color rgb="FF404040"/>
      <name val="Sans-serif"/>
    </font>
    <font>
      <b/>
      <sz val="8.0"/>
      <color rgb="FFFFFFFF"/>
      <name val="Sans-serif"/>
    </font>
    <font>
      <sz val="8.0"/>
      <color rgb="FF0000FF"/>
      <name val="Arial"/>
    </font>
    <font>
      <sz val="8.0"/>
      <color rgb="FF0000FF"/>
      <name val="Sans-serif"/>
    </font>
    <font>
      <b/>
      <sz val="8.0"/>
      <color rgb="FF0000FF"/>
      <name val="Sans-serif"/>
    </font>
    <font>
      <sz val="8.0"/>
      <color rgb="FF404040"/>
      <name val="Arial"/>
    </font>
    <font>
      <i/>
      <sz val="7.0"/>
      <color rgb="FF666666"/>
      <name val="Sans-serif"/>
    </font>
    <font>
      <sz val="11.0"/>
      <color theme="1"/>
      <name val="Calibri"/>
    </font>
    <font>
      <b/>
      <sz val="7.0"/>
      <color theme="1"/>
      <name val="Sans-serif"/>
    </font>
    <font>
      <sz val="7.0"/>
      <color theme="1"/>
      <name val="Sans-serif"/>
    </font>
    <font>
      <sz val="7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2B579A"/>
        <bgColor rgb="FF2B579A"/>
      </patternFill>
    </fill>
    <fill>
      <patternFill patternType="solid">
        <fgColor rgb="FFB4D2F7"/>
        <bgColor rgb="FFB4D2F7"/>
      </patternFill>
    </fill>
    <fill>
      <patternFill patternType="solid">
        <fgColor rgb="FFF2F2F2"/>
        <bgColor rgb="FFF2F2F2"/>
      </patternFill>
    </fill>
    <fill>
      <patternFill patternType="solid">
        <fgColor rgb="FFE3EFFF"/>
        <bgColor rgb="FFE3EFFF"/>
      </patternFill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ECF0F1"/>
        <bgColor rgb="FFECF0F1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48">
    <border/>
    <border>
      <left/>
      <top/>
      <bottom/>
    </border>
    <border>
      <top/>
      <bottom/>
    </border>
    <border>
      <left style="medium">
        <color rgb="FF404040"/>
      </left>
      <top style="medium">
        <color rgb="FF404040"/>
      </top>
      <bottom style="medium">
        <color rgb="FF404040"/>
      </bottom>
    </border>
    <border>
      <top style="medium">
        <color rgb="FF404040"/>
      </top>
      <bottom style="medium">
        <color rgb="FF404040"/>
      </bottom>
    </border>
    <border>
      <right style="medium">
        <color rgb="FF404040"/>
      </right>
      <top style="medium">
        <color rgb="FF404040"/>
      </top>
      <bottom style="medium">
        <color rgb="FF404040"/>
      </bottom>
    </border>
    <border>
      <left style="thin">
        <color rgb="FF404040"/>
      </left>
      <right/>
      <top/>
      <bottom style="thin">
        <color rgb="FFD9D9D9"/>
      </bottom>
    </border>
    <border>
      <left/>
      <right style="thin">
        <color rgb="FF404040"/>
      </right>
      <top/>
      <bottom style="thin">
        <color rgb="FFD9D9D9"/>
      </bottom>
    </border>
    <border>
      <left style="thin">
        <color rgb="FF404040"/>
      </left>
      <right style="thin">
        <color rgb="FFD9D9D9"/>
      </right>
      <top/>
      <bottom style="thin">
        <color rgb="FF404040"/>
      </bottom>
    </border>
    <border>
      <left/>
      <right style="thin">
        <color rgb="FF404040"/>
      </right>
      <top/>
      <bottom style="thin">
        <color rgb="FF404040"/>
      </bottom>
    </border>
    <border>
      <left style="thin">
        <color rgb="FF404040"/>
      </left>
      <right/>
      <top/>
      <bottom style="thin">
        <color rgb="FF404040"/>
      </bottom>
    </border>
    <border>
      <left style="thin">
        <color rgb="FF404040"/>
      </left>
      <right/>
      <top/>
      <bottom style="thin">
        <color rgb="FF000000"/>
      </bottom>
    </border>
    <border>
      <left/>
      <right style="thin">
        <color rgb="FF40404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404040"/>
      </bottom>
    </border>
    <border>
      <right style="thin">
        <color rgb="FF000000"/>
      </right>
      <top style="thin">
        <color rgb="FF000000"/>
      </top>
      <bottom style="medium">
        <color rgb="FF404040"/>
      </bottom>
    </border>
    <border>
      <top style="thin">
        <color rgb="FF000000"/>
      </top>
      <bottom style="medium">
        <color rgb="FF40404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D9D9D9"/>
      </bottom>
    </border>
    <border>
      <left style="medium">
        <color rgb="FF404040"/>
      </left>
      <right style="medium">
        <color rgb="FF404040"/>
      </right>
      <top/>
      <bottom style="medium">
        <color rgb="FF404040"/>
      </bottom>
    </border>
    <border>
      <left/>
      <right style="thin">
        <color rgb="FF000000"/>
      </right>
      <top/>
      <bottom style="thin">
        <color rgb="FFD9D9D9"/>
      </bottom>
    </border>
    <border>
      <left style="thin">
        <color rgb="FF000000"/>
      </left>
      <right style="thin">
        <color rgb="FF404040"/>
      </right>
      <top/>
      <bottom/>
    </border>
    <border>
      <left style="thin">
        <color rgb="FF404040"/>
      </left>
      <right style="thin">
        <color rgb="FF404040"/>
      </right>
      <top/>
      <bottom/>
    </border>
    <border>
      <left style="thin">
        <color rgb="FF404040"/>
      </left>
      <right style="thin">
        <color rgb="FF000000"/>
      </right>
      <top/>
      <bottom/>
    </border>
    <border>
      <left style="thin">
        <color rgb="FF000000"/>
      </left>
      <top style="medium">
        <color rgb="FF404040"/>
      </top>
      <bottom style="medium">
        <color rgb="FF404040"/>
      </bottom>
    </border>
    <border>
      <right style="thin">
        <color rgb="FF000000"/>
      </right>
      <top style="medium">
        <color rgb="FF404040"/>
      </top>
      <bottom style="medium">
        <color rgb="FF40404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404040"/>
      </bottom>
    </border>
    <border>
      <left style="thin">
        <color rgb="FFD9D9D9"/>
      </left>
      <right style="thin">
        <color rgb="FF404040"/>
      </right>
      <top/>
      <bottom style="thin">
        <color rgb="FF404040"/>
      </bottom>
    </border>
    <border>
      <left style="thin">
        <color rgb="FFD9D9D9"/>
      </left>
      <right style="thin">
        <color rgb="FF000000"/>
      </right>
      <top/>
      <bottom style="thin">
        <color rgb="FF404040"/>
      </bottom>
    </border>
    <border>
      <left style="thin">
        <color rgb="FFD9D9D9"/>
      </left>
      <right style="thin">
        <color rgb="FF404040"/>
      </right>
      <top/>
      <bottom style="thin">
        <color rgb="FFD9D9D9"/>
      </bottom>
    </border>
    <border>
      <left style="thin">
        <color rgb="FFD9D9D9"/>
      </left>
      <right style="thin">
        <color rgb="FF000000"/>
      </right>
      <top/>
      <bottom style="thin">
        <color rgb="FFD9D9D9"/>
      </bottom>
    </border>
    <border>
      <left style="thin">
        <color rgb="FF000000"/>
      </left>
      <right/>
      <top/>
      <bottom/>
    </border>
    <border>
      <left style="thin">
        <color rgb="FFD9D9D9"/>
      </left>
      <right style="thin">
        <color rgb="FF404040"/>
      </right>
      <top/>
      <bottom style="thin">
        <color rgb="FF000000"/>
      </bottom>
    </border>
    <border>
      <left style="thin">
        <color rgb="FFD9D9D9"/>
      </left>
      <right style="thin">
        <color rgb="FF000000"/>
      </right>
      <top/>
      <bottom style="thin">
        <color rgb="FF000000"/>
      </bottom>
    </border>
    <border>
      <right style="medium">
        <color rgb="FF404040"/>
      </right>
      <top/>
      <bottom/>
    </border>
    <border>
      <left style="thin">
        <color rgb="FF404040"/>
      </left>
      <right style="thin">
        <color rgb="FF404040"/>
      </right>
      <top/>
      <bottom style="thin">
        <color rgb="FFD9D9D9"/>
      </bottom>
    </border>
    <border>
      <left style="thin">
        <color rgb="FF2C3E50"/>
      </left>
      <right style="thin">
        <color rgb="FF2C3E50"/>
      </right>
      <top/>
      <bottom style="thin">
        <color rgb="FF2C3E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000000"/>
      </bottom>
    </border>
    <border>
      <top style="thick">
        <color rgb="FF4472C4"/>
      </top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vertical="top"/>
    </xf>
    <xf borderId="1" fillId="3" fontId="4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4" fontId="6" numFmtId="0" xfId="0" applyAlignment="1" applyBorder="1" applyFill="1" applyFont="1">
      <alignment vertical="center"/>
    </xf>
    <xf borderId="7" fillId="5" fontId="7" numFmtId="10" xfId="0" applyAlignment="1" applyBorder="1" applyFill="1" applyFont="1" applyNumberFormat="1">
      <alignment horizontal="right" vertical="center"/>
    </xf>
    <xf borderId="7" fillId="5" fontId="7" numFmtId="0" xfId="0" applyAlignment="1" applyBorder="1" applyFont="1">
      <alignment horizontal="right" vertical="center"/>
    </xf>
    <xf borderId="6" fillId="4" fontId="8" numFmtId="0" xfId="0" applyAlignment="1" applyBorder="1" applyFont="1">
      <alignment vertical="center"/>
    </xf>
    <xf borderId="7" fillId="5" fontId="7" numFmtId="4" xfId="0" applyAlignment="1" applyBorder="1" applyFont="1" applyNumberFormat="1">
      <alignment horizontal="right" vertical="center"/>
    </xf>
    <xf borderId="8" fillId="4" fontId="8" numFmtId="0" xfId="0" applyAlignment="1" applyBorder="1" applyFont="1">
      <alignment vertical="center"/>
    </xf>
    <xf borderId="9" fillId="6" fontId="7" numFmtId="2" xfId="0" applyAlignment="1" applyBorder="1" applyFill="1" applyFont="1" applyNumberFormat="1">
      <alignment horizontal="right" vertical="center"/>
    </xf>
    <xf borderId="9" fillId="5" fontId="7" numFmtId="0" xfId="0" applyAlignment="1" applyBorder="1" applyFont="1">
      <alignment horizontal="right" vertical="center"/>
    </xf>
    <xf borderId="10" fillId="4" fontId="8" numFmtId="0" xfId="0" applyAlignment="1" applyBorder="1" applyFont="1">
      <alignment vertical="center"/>
    </xf>
    <xf borderId="9" fillId="5" fontId="7" numFmtId="4" xfId="0" applyAlignment="1" applyBorder="1" applyFont="1" applyNumberFormat="1">
      <alignment horizontal="right" vertical="center"/>
    </xf>
    <xf borderId="9" fillId="6" fontId="7" numFmtId="164" xfId="0" applyAlignment="1" applyBorder="1" applyFont="1" applyNumberFormat="1">
      <alignment horizontal="right" vertical="center"/>
    </xf>
    <xf borderId="11" fillId="4" fontId="6" numFmtId="0" xfId="0" applyAlignment="1" applyBorder="1" applyFont="1">
      <alignment vertical="center"/>
    </xf>
    <xf borderId="12" fillId="5" fontId="7" numFmtId="10" xfId="0" applyAlignment="1" applyBorder="1" applyFont="1" applyNumberFormat="1">
      <alignment horizontal="right" vertical="center"/>
    </xf>
    <xf borderId="13" fillId="2" fontId="9" numFmtId="0" xfId="0" applyAlignment="1" applyBorder="1" applyFont="1">
      <alignment horizontal="center" vertical="center"/>
    </xf>
    <xf borderId="14" fillId="0" fontId="2" numFmtId="0" xfId="0" applyBorder="1" applyFont="1"/>
    <xf borderId="13" fillId="2" fontId="5" numFmtId="0" xfId="0" applyAlignment="1" applyBorder="1" applyFont="1">
      <alignment horizontal="center" vertical="center"/>
    </xf>
    <xf borderId="15" fillId="0" fontId="2" numFmtId="0" xfId="0" applyBorder="1" applyFont="1"/>
    <xf borderId="16" fillId="7" fontId="8" numFmtId="0" xfId="0" applyAlignment="1" applyBorder="1" applyFill="1" applyFont="1">
      <alignment horizontal="center" vertical="center"/>
    </xf>
    <xf borderId="17" fillId="0" fontId="2" numFmtId="0" xfId="0" applyBorder="1" applyFont="1"/>
    <xf borderId="18" fillId="4" fontId="8" numFmtId="0" xfId="0" applyAlignment="1" applyBorder="1" applyFont="1">
      <alignment horizontal="right" vertical="center"/>
    </xf>
    <xf borderId="6" fillId="4" fontId="8" numFmtId="0" xfId="0" applyAlignment="1" applyBorder="1" applyFont="1">
      <alignment horizontal="right" vertical="center"/>
    </xf>
    <xf borderId="19" fillId="8" fontId="7" numFmtId="0" xfId="0" applyAlignment="1" applyBorder="1" applyFill="1" applyFont="1">
      <alignment horizontal="center" vertical="center"/>
    </xf>
    <xf borderId="20" fillId="4" fontId="10" numFmtId="0" xfId="0" applyAlignment="1" applyBorder="1" applyFont="1">
      <alignment vertical="center"/>
    </xf>
    <xf borderId="18" fillId="4" fontId="10" numFmtId="0" xfId="0" applyAlignment="1" applyBorder="1" applyFont="1">
      <alignment horizontal="left" vertical="center"/>
    </xf>
    <xf borderId="20" fillId="5" fontId="11" numFmtId="10" xfId="0" applyAlignment="1" applyBorder="1" applyFont="1" applyNumberFormat="1">
      <alignment horizontal="center" vertical="center"/>
    </xf>
    <xf borderId="20" fillId="5" fontId="12" numFmtId="1" xfId="0" applyAlignment="1" applyBorder="1" applyFont="1" applyNumberFormat="1">
      <alignment horizontal="right" vertical="center"/>
    </xf>
    <xf borderId="21" fillId="4" fontId="13" numFmtId="0" xfId="0" applyAlignment="1" applyBorder="1" applyFont="1">
      <alignment horizontal="center" vertical="center"/>
    </xf>
    <xf borderId="22" fillId="4" fontId="14" numFmtId="0" xfId="0" applyAlignment="1" applyBorder="1" applyFont="1">
      <alignment horizontal="center" vertical="center"/>
    </xf>
    <xf borderId="23" fillId="4" fontId="14" numFmtId="0" xfId="0" applyAlignment="1" applyBorder="1" applyFont="1">
      <alignment horizontal="center" vertical="center"/>
    </xf>
    <xf borderId="20" fillId="5" fontId="12" numFmtId="165" xfId="0" applyAlignment="1" applyBorder="1" applyFont="1" applyNumberFormat="1">
      <alignment horizontal="right" vertical="center"/>
    </xf>
    <xf borderId="24" fillId="2" fontId="15" numFmtId="0" xfId="0" applyAlignment="1" applyBorder="1" applyFont="1">
      <alignment horizontal="center" vertical="center"/>
    </xf>
    <xf borderId="25" fillId="0" fontId="2" numFmtId="0" xfId="0" applyBorder="1" applyFont="1"/>
    <xf borderId="26" fillId="4" fontId="10" numFmtId="0" xfId="0" applyAlignment="1" applyBorder="1" applyFont="1">
      <alignment horizontal="left" vertical="center"/>
    </xf>
    <xf borderId="27" fillId="5" fontId="11" numFmtId="10" xfId="0" applyAlignment="1" applyBorder="1" applyFont="1" applyNumberFormat="1">
      <alignment horizontal="center" vertical="center"/>
    </xf>
    <xf borderId="20" fillId="5" fontId="12" numFmtId="10" xfId="0" applyAlignment="1" applyBorder="1" applyFont="1" applyNumberFormat="1">
      <alignment horizontal="right" readingOrder="0" vertical="center"/>
    </xf>
    <xf borderId="28" fillId="9" fontId="8" numFmtId="0" xfId="0" applyAlignment="1" applyBorder="1" applyFill="1" applyFont="1">
      <alignment horizontal="left" vertical="center"/>
    </xf>
    <xf borderId="29" fillId="9" fontId="8" numFmtId="0" xfId="0" applyAlignment="1" applyBorder="1" applyFont="1">
      <alignment horizontal="center" vertical="center"/>
    </xf>
    <xf borderId="30" fillId="9" fontId="8" numFmtId="0" xfId="0" applyAlignment="1" applyBorder="1" applyFont="1">
      <alignment horizontal="center" vertical="center"/>
    </xf>
    <xf borderId="20" fillId="5" fontId="8" numFmtId="164" xfId="0" applyAlignment="1" applyBorder="1" applyFont="1" applyNumberFormat="1">
      <alignment horizontal="right" vertical="center"/>
    </xf>
    <xf borderId="31" fillId="5" fontId="16" numFmtId="166" xfId="0" applyAlignment="1" applyBorder="1" applyFont="1" applyNumberFormat="1">
      <alignment horizontal="center" readingOrder="0" vertical="center"/>
    </xf>
    <xf borderId="32" fillId="5" fontId="16" numFmtId="166" xfId="0" applyAlignment="1" applyBorder="1" applyFont="1" applyNumberFormat="1">
      <alignment horizontal="center" readingOrder="0" vertical="center"/>
    </xf>
    <xf borderId="20" fillId="5" fontId="8" numFmtId="4" xfId="0" applyAlignment="1" applyBorder="1" applyFont="1" applyNumberFormat="1">
      <alignment horizontal="right" vertical="center"/>
    </xf>
    <xf borderId="31" fillId="5" fontId="16" numFmtId="0" xfId="0" applyAlignment="1" applyBorder="1" applyFont="1">
      <alignment horizontal="center" vertical="center"/>
    </xf>
    <xf borderId="32" fillId="5" fontId="16" numFmtId="0" xfId="0" applyAlignment="1" applyBorder="1" applyFont="1">
      <alignment horizontal="center" vertical="center"/>
    </xf>
    <xf borderId="20" fillId="5" fontId="8" numFmtId="166" xfId="0" applyAlignment="1" applyBorder="1" applyFont="1" applyNumberFormat="1">
      <alignment horizontal="right" vertical="center"/>
    </xf>
    <xf borderId="31" fillId="5" fontId="17" numFmtId="166" xfId="0" applyAlignment="1" applyBorder="1" applyFont="1" applyNumberFormat="1">
      <alignment horizontal="center" vertical="center"/>
    </xf>
    <xf borderId="32" fillId="5" fontId="17" numFmtId="166" xfId="0" applyAlignment="1" applyBorder="1" applyFont="1" applyNumberFormat="1">
      <alignment horizontal="center" vertical="center"/>
    </xf>
    <xf borderId="20" fillId="5" fontId="12" numFmtId="166" xfId="0" applyAlignment="1" applyBorder="1" applyFont="1" applyNumberFormat="1">
      <alignment horizontal="right" vertical="center"/>
    </xf>
    <xf borderId="33" fillId="4" fontId="10" numFmtId="0" xfId="0" applyAlignment="1" applyBorder="1" applyFont="1">
      <alignment horizontal="left" vertical="center"/>
    </xf>
    <xf borderId="31" fillId="5" fontId="16" numFmtId="0" xfId="0" applyAlignment="1" applyBorder="1" applyFont="1">
      <alignment horizontal="center" readingOrder="0" vertical="center"/>
    </xf>
    <xf borderId="32" fillId="5" fontId="16" numFmtId="0" xfId="0" applyAlignment="1" applyBorder="1" applyFont="1">
      <alignment horizontal="center" readingOrder="0" vertical="center"/>
    </xf>
    <xf borderId="20" fillId="5" fontId="8" numFmtId="0" xfId="0" applyAlignment="1" applyBorder="1" applyFont="1">
      <alignment horizontal="right" vertical="center"/>
    </xf>
    <xf borderId="34" fillId="5" fontId="16" numFmtId="166" xfId="0" applyAlignment="1" applyBorder="1" applyFont="1" applyNumberFormat="1">
      <alignment horizontal="center" vertical="center"/>
    </xf>
    <xf borderId="35" fillId="5" fontId="16" numFmtId="166" xfId="0" applyAlignment="1" applyBorder="1" applyFont="1" applyNumberFormat="1">
      <alignment horizontal="center" vertical="center"/>
    </xf>
    <xf borderId="20" fillId="5" fontId="8" numFmtId="10" xfId="0" applyAlignment="1" applyBorder="1" applyFont="1" applyNumberFormat="1">
      <alignment horizontal="right" vertical="center"/>
    </xf>
    <xf borderId="20" fillId="5" fontId="18" numFmtId="10" xfId="0" applyAlignment="1" applyBorder="1" applyFont="1" applyNumberFormat="1">
      <alignment horizontal="right" vertical="center"/>
    </xf>
    <xf borderId="20" fillId="5" fontId="18" numFmtId="4" xfId="0" applyAlignment="1" applyBorder="1" applyFont="1" applyNumberFormat="1">
      <alignment horizontal="right" vertical="center"/>
    </xf>
    <xf borderId="20" fillId="5" fontId="18" numFmtId="166" xfId="0" applyAlignment="1" applyBorder="1" applyFont="1" applyNumberFormat="1">
      <alignment horizontal="right" vertical="center"/>
    </xf>
    <xf borderId="20" fillId="5" fontId="8" numFmtId="2" xfId="0" applyAlignment="1" applyBorder="1" applyFont="1" applyNumberFormat="1">
      <alignment horizontal="right" vertical="center"/>
    </xf>
    <xf borderId="20" fillId="5" fontId="12" numFmtId="167" xfId="0" applyAlignment="1" applyBorder="1" applyFont="1" applyNumberFormat="1">
      <alignment horizontal="right" readingOrder="0" vertical="center"/>
    </xf>
    <xf borderId="27" fillId="5" fontId="12" numFmtId="167" xfId="0" applyAlignment="1" applyBorder="1" applyFont="1" applyNumberFormat="1">
      <alignment horizontal="right" readingOrder="0" vertical="center"/>
    </xf>
    <xf borderId="0" fillId="0" fontId="3" numFmtId="4" xfId="0" applyAlignment="1" applyFont="1" applyNumberFormat="1">
      <alignment vertical="top"/>
    </xf>
    <xf borderId="18" fillId="4" fontId="19" numFmtId="0" xfId="0" applyAlignment="1" applyBorder="1" applyFont="1">
      <alignment horizontal="left" vertical="center"/>
    </xf>
    <xf borderId="20" fillId="5" fontId="12" numFmtId="10" xfId="0" applyAlignment="1" applyBorder="1" applyFont="1" applyNumberFormat="1">
      <alignment horizontal="right" vertical="center"/>
    </xf>
    <xf borderId="27" fillId="5" fontId="18" numFmtId="164" xfId="0" applyAlignment="1" applyBorder="1" applyFont="1" applyNumberFormat="1">
      <alignment horizontal="right" vertical="center"/>
    </xf>
    <xf borderId="0" fillId="0" fontId="20" numFmtId="0" xfId="0" applyAlignment="1" applyFont="1">
      <alignment vertical="top"/>
    </xf>
    <xf borderId="1" fillId="10" fontId="5" numFmtId="0" xfId="0" applyAlignment="1" applyBorder="1" applyFill="1" applyFont="1">
      <alignment horizontal="center" vertical="center"/>
    </xf>
    <xf borderId="36" fillId="0" fontId="2" numFmtId="0" xfId="0" applyBorder="1" applyFont="1"/>
    <xf borderId="37" fillId="4" fontId="8" numFmtId="0" xfId="0" applyAlignment="1" applyBorder="1" applyFont="1">
      <alignment vertical="center"/>
    </xf>
    <xf borderId="38" fillId="11" fontId="21" numFmtId="0" xfId="0" applyAlignment="1" applyBorder="1" applyFill="1" applyFont="1">
      <alignment vertical="top"/>
    </xf>
    <xf borderId="39" fillId="12" fontId="22" numFmtId="0" xfId="0" applyAlignment="1" applyBorder="1" applyFill="1" applyFont="1">
      <alignment horizontal="center" vertical="top"/>
    </xf>
    <xf borderId="40" fillId="4" fontId="23" numFmtId="0" xfId="0" applyAlignment="1" applyBorder="1" applyFont="1">
      <alignment vertical="top"/>
    </xf>
    <xf borderId="41" fillId="0" fontId="21" numFmtId="4" xfId="0" applyAlignment="1" applyBorder="1" applyFont="1" applyNumberFormat="1">
      <alignment horizontal="right" vertical="top"/>
    </xf>
    <xf borderId="40" fillId="4" fontId="24" numFmtId="0" xfId="0" applyAlignment="1" applyBorder="1" applyFont="1">
      <alignment vertical="top"/>
    </xf>
    <xf borderId="41" fillId="0" fontId="21" numFmtId="168" xfId="0" applyAlignment="1" applyBorder="1" applyFont="1" applyNumberFormat="1">
      <alignment horizontal="right" vertical="top"/>
    </xf>
    <xf borderId="41" fillId="0" fontId="21" numFmtId="2" xfId="0" applyAlignment="1" applyBorder="1" applyFont="1" applyNumberFormat="1">
      <alignment horizontal="right" vertical="top"/>
    </xf>
    <xf borderId="41" fillId="0" fontId="21" numFmtId="164" xfId="0" applyAlignment="1" applyBorder="1" applyFont="1" applyNumberFormat="1">
      <alignment horizontal="right" vertical="top"/>
    </xf>
    <xf borderId="41" fillId="0" fontId="21" numFmtId="0" xfId="0" applyAlignment="1" applyBorder="1" applyFont="1">
      <alignment horizontal="right" vertical="top"/>
    </xf>
    <xf borderId="41" fillId="0" fontId="21" numFmtId="169" xfId="0" applyAlignment="1" applyBorder="1" applyFont="1" applyNumberFormat="1">
      <alignment horizontal="right" vertical="top"/>
    </xf>
    <xf borderId="0" fillId="0" fontId="21" numFmtId="169" xfId="0" applyAlignment="1" applyFont="1" applyNumberFormat="1">
      <alignment horizontal="right" vertical="top"/>
    </xf>
    <xf borderId="42" fillId="0" fontId="21" numFmtId="4" xfId="0" applyAlignment="1" applyBorder="1" applyFont="1" applyNumberFormat="1">
      <alignment horizontal="right" vertical="top"/>
    </xf>
    <xf borderId="0" fillId="0" fontId="21" numFmtId="4" xfId="0" applyAlignment="1" applyFont="1" applyNumberFormat="1">
      <alignment horizontal="right" vertical="top"/>
    </xf>
    <xf borderId="26" fillId="4" fontId="23" numFmtId="0" xfId="0" applyAlignment="1" applyBorder="1" applyFont="1">
      <alignment vertical="top"/>
    </xf>
    <xf borderId="43" fillId="0" fontId="21" numFmtId="4" xfId="0" applyAlignment="1" applyBorder="1" applyFont="1" applyNumberFormat="1">
      <alignment horizontal="right" vertical="top"/>
    </xf>
    <xf borderId="44" fillId="0" fontId="21" numFmtId="0" xfId="0" applyAlignment="1" applyBorder="1" applyFont="1">
      <alignment vertical="top"/>
    </xf>
    <xf borderId="45" fillId="0" fontId="20" numFmtId="0" xfId="0" applyAlignment="1" applyBorder="1" applyFont="1">
      <alignment vertical="top"/>
    </xf>
    <xf borderId="45" fillId="0" fontId="2" numFmtId="0" xfId="0" applyBorder="1" applyFont="1"/>
    <xf borderId="46" fillId="0" fontId="2" numFmtId="0" xfId="0" applyBorder="1" applyFont="1"/>
    <xf borderId="0" fillId="0" fontId="21" numFmtId="0" xfId="0" applyAlignment="1" applyFont="1">
      <alignment vertical="top"/>
    </xf>
    <xf borderId="47" fillId="2" fontId="15" numFmtId="0" xfId="0" applyAlignment="1" applyBorder="1" applyFont="1">
      <alignment horizontal="center" vertical="center"/>
    </xf>
    <xf borderId="47" fillId="4" fontId="10" numFmtId="0" xfId="0" applyAlignment="1" applyBorder="1" applyFont="1">
      <alignment horizontal="center" vertical="center"/>
    </xf>
    <xf borderId="47" fillId="13" fontId="10" numFmtId="165" xfId="0" applyAlignment="1" applyBorder="1" applyFill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Project Cash Flows Over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Year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val>
            <c:numRef>
              <c:f>'Larger GPU+Solar'!$A$68:$A$93</c:f>
              <c:numCache/>
            </c:numRef>
          </c:val>
        </c:ser>
        <c:ser>
          <c:idx val="1"/>
          <c:order val="1"/>
          <c:tx>
            <c:v>Net Cash 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val>
            <c:numRef>
              <c:f>'Larger GPU+Solar'!$B$68:$B$93</c:f>
              <c:numCache/>
            </c:numRef>
          </c:val>
        </c:ser>
        <c:ser>
          <c:idx val="2"/>
          <c:order val="2"/>
          <c:tx>
            <c:v>Cumulative Cash Flow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val>
            <c:numRef>
              <c:f>'Larger GPU+Solar'!$C$68:$C$93</c:f>
              <c:numCache/>
            </c:numRef>
          </c:val>
        </c:ser>
        <c:axId val="678373421"/>
        <c:axId val="1100692037"/>
      </c:barChart>
      <c:catAx>
        <c:axId val="678373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100692037"/>
      </c:catAx>
      <c:valAx>
        <c:axId val="1100692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7837342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828675</xdr:colOff>
      <xdr:row>65</xdr:row>
      <xdr:rowOff>66675</xdr:rowOff>
    </xdr:from>
    <xdr:ext cx="6276975" cy="2771775"/>
    <xdr:graphicFrame>
      <xdr:nvGraphicFramePr>
        <xdr:cNvPr id="131161479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5.75"/>
    <col customWidth="1" min="2" max="2" width="14.25"/>
    <col customWidth="1" min="3" max="3" width="18.75"/>
    <col customWidth="1" min="4" max="4" width="27.38"/>
    <col customWidth="1" min="5" max="5" width="21.0"/>
    <col customWidth="1" min="6" max="6" width="13.25"/>
    <col customWidth="1" min="7" max="7" width="17.13"/>
    <col customWidth="1" min="8" max="8" width="13.25"/>
    <col customWidth="1" min="9" max="9" width="14.75"/>
    <col customWidth="1" min="10" max="10" width="12.88"/>
    <col customWidth="1" min="11" max="11" width="21.75"/>
    <col customWidth="1" min="12" max="12" width="20.13"/>
    <col customWidth="1" min="13" max="15" width="14.25"/>
    <col customWidth="1" min="16" max="20" width="12.75"/>
    <col customWidth="1" min="21" max="27" width="12.88"/>
    <col customWidth="1" min="28" max="28" width="8.88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8.7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8.75" customHeight="1">
      <c r="A4" s="5" t="s">
        <v>2</v>
      </c>
      <c r="B4" s="6"/>
      <c r="C4" s="7"/>
      <c r="D4" s="5" t="s">
        <v>3</v>
      </c>
      <c r="E4" s="6"/>
      <c r="F4" s="7"/>
      <c r="G4" s="5" t="s">
        <v>4</v>
      </c>
      <c r="H4" s="6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0" customHeight="1">
      <c r="A5" s="8" t="s">
        <v>5</v>
      </c>
      <c r="B5" s="9">
        <f>B22</f>
        <v>0.2992582396</v>
      </c>
      <c r="C5" s="10"/>
      <c r="D5" s="11" t="s">
        <v>6</v>
      </c>
      <c r="E5" s="12">
        <f>B20</f>
        <v>652800</v>
      </c>
      <c r="F5" s="10"/>
      <c r="G5" s="11"/>
      <c r="H5" s="12"/>
      <c r="I5" s="1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0" customHeight="1">
      <c r="A6" s="13" t="s">
        <v>7</v>
      </c>
      <c r="B6" s="14">
        <f>B27</f>
        <v>3.827989495</v>
      </c>
      <c r="C6" s="15"/>
      <c r="D6" s="16" t="s">
        <v>8</v>
      </c>
      <c r="E6" s="17">
        <f>AA62</f>
        <v>53568981.34</v>
      </c>
      <c r="F6" s="15"/>
      <c r="G6" s="16" t="s">
        <v>9</v>
      </c>
      <c r="H6" s="17">
        <f>C60</f>
        <v>248307.3637</v>
      </c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0" customHeight="1">
      <c r="A7" s="13" t="s">
        <v>10</v>
      </c>
      <c r="B7" s="18">
        <f>SUM(B61:AA61)</f>
        <v>20460598.23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19" t="s">
        <v>11</v>
      </c>
      <c r="B8" s="20">
        <f>$B$5*(1-IF($B$5&lt;=$J$13,$J$12,$J$12+$J$14*($B$5-$J$13)))</f>
        <v>0.242510163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8.75" customHeight="1">
      <c r="A11" s="21" t="s">
        <v>12</v>
      </c>
      <c r="B11" s="22"/>
      <c r="C11" s="3"/>
      <c r="D11" s="5" t="s">
        <v>13</v>
      </c>
      <c r="E11" s="6"/>
      <c r="F11" s="6"/>
      <c r="G11" s="7"/>
      <c r="H11" s="3"/>
      <c r="I11" s="23" t="s">
        <v>14</v>
      </c>
      <c r="J11" s="2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0" customHeight="1">
      <c r="A12" s="25" t="s">
        <v>15</v>
      </c>
      <c r="B12" s="26"/>
      <c r="C12" s="3"/>
      <c r="D12" s="27" t="s">
        <v>16</v>
      </c>
      <c r="E12" s="28"/>
      <c r="F12" s="29" t="s">
        <v>17</v>
      </c>
      <c r="G12" s="30"/>
      <c r="H12" s="3"/>
      <c r="I12" s="31" t="s">
        <v>18</v>
      </c>
      <c r="J12" s="32">
        <v>0.1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0" customHeight="1">
      <c r="A13" s="31" t="s">
        <v>19</v>
      </c>
      <c r="B13" s="33">
        <v>800.0</v>
      </c>
      <c r="C13" s="3"/>
      <c r="D13" s="34" t="s">
        <v>20</v>
      </c>
      <c r="E13" s="35"/>
      <c r="F13" s="35"/>
      <c r="G13" s="36"/>
      <c r="H13" s="3"/>
      <c r="I13" s="31" t="s">
        <v>21</v>
      </c>
      <c r="J13" s="32">
        <v>0.12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0" customHeight="1">
      <c r="A14" s="31" t="s">
        <v>22</v>
      </c>
      <c r="B14" s="37">
        <v>1508000.0</v>
      </c>
      <c r="C14" s="3"/>
      <c r="D14" s="38" t="s">
        <v>23</v>
      </c>
      <c r="E14" s="6"/>
      <c r="F14" s="6"/>
      <c r="G14" s="39"/>
      <c r="H14" s="3"/>
      <c r="I14" s="40" t="s">
        <v>24</v>
      </c>
      <c r="J14" s="41">
        <v>0.5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0" customHeight="1">
      <c r="A15" s="31" t="s">
        <v>25</v>
      </c>
      <c r="B15" s="42">
        <v>0.688</v>
      </c>
      <c r="C15" s="3"/>
      <c r="D15" s="43" t="s">
        <v>26</v>
      </c>
      <c r="E15" s="44" t="s">
        <v>27</v>
      </c>
      <c r="F15" s="44" t="s">
        <v>17</v>
      </c>
      <c r="G15" s="45" t="s">
        <v>28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0" customHeight="1">
      <c r="A16" s="31" t="s">
        <v>29</v>
      </c>
      <c r="B16" s="46">
        <f>B14*B15</f>
        <v>1037504</v>
      </c>
      <c r="C16" s="3"/>
      <c r="D16" s="31" t="s">
        <v>30</v>
      </c>
      <c r="E16" s="47">
        <v>0.09</v>
      </c>
      <c r="F16" s="47">
        <v>0.08</v>
      </c>
      <c r="G16" s="48">
        <v>0.07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0" customHeight="1">
      <c r="A17" s="31" t="s">
        <v>31</v>
      </c>
      <c r="B17" s="49">
        <f>B14*(1-B15)</f>
        <v>470496</v>
      </c>
      <c r="C17" s="3"/>
      <c r="D17" s="31" t="s">
        <v>32</v>
      </c>
      <c r="E17" s="50">
        <v>3.5</v>
      </c>
      <c r="F17" s="50">
        <v>3.0</v>
      </c>
      <c r="G17" s="51">
        <v>2.5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0" customHeight="1">
      <c r="A18" s="31" t="s">
        <v>30</v>
      </c>
      <c r="B18" s="52">
        <f t="array" ref="B18">INDEX($E$16:$G$16,1,MATCH($F$12,$E$15:$G$15,0))</f>
        <v>0.08</v>
      </c>
      <c r="C18" s="3"/>
      <c r="D18" s="31" t="s">
        <v>33</v>
      </c>
      <c r="E18" s="53">
        <f>(B13*850)</f>
        <v>680000</v>
      </c>
      <c r="F18" s="53">
        <f>(B13*816)</f>
        <v>652800</v>
      </c>
      <c r="G18" s="54">
        <f>(B13*550)</f>
        <v>440000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0" customHeight="1">
      <c r="A19" s="31" t="s">
        <v>34</v>
      </c>
      <c r="B19" s="55">
        <v>72000.0</v>
      </c>
      <c r="C19" s="3"/>
      <c r="D19" s="56" t="s">
        <v>35</v>
      </c>
      <c r="E19" s="53">
        <v>2.0</v>
      </c>
      <c r="F19" s="53">
        <v>2.5</v>
      </c>
      <c r="G19" s="54">
        <v>3.0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0" customHeight="1">
      <c r="A20" s="31" t="s">
        <v>36</v>
      </c>
      <c r="B20" s="52">
        <f t="array" ref="B20">INDEX($E$18:$G$18,1,MATCH($F$12,$E$15:$G$15,0))</f>
        <v>652800</v>
      </c>
      <c r="C20" s="3"/>
      <c r="D20" s="56" t="s">
        <v>37</v>
      </c>
      <c r="E20" s="57">
        <v>2.0</v>
      </c>
      <c r="F20" s="57">
        <v>1.5</v>
      </c>
      <c r="G20" s="58">
        <v>1.0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0" customHeight="1">
      <c r="A21" s="31" t="s">
        <v>32</v>
      </c>
      <c r="B21" s="59">
        <f t="array" ref="B21">INDEX($E$17:$G$17,1,MATCH($F$12,$E$15:$G$15,0))</f>
        <v>3</v>
      </c>
      <c r="C21" s="3"/>
      <c r="D21" s="40" t="s">
        <v>38</v>
      </c>
      <c r="E21" s="60">
        <v>27500.0</v>
      </c>
      <c r="F21" s="60">
        <v>25000.0</v>
      </c>
      <c r="G21" s="61">
        <v>22500.0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0" customHeight="1">
      <c r="A22" s="31" t="s">
        <v>39</v>
      </c>
      <c r="B22" s="62">
        <f>IRR(B60:AA60)</f>
        <v>0.2992582396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0" customHeight="1">
      <c r="A23" s="31" t="s">
        <v>40</v>
      </c>
      <c r="B23" s="63">
        <v>0.05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0" customHeight="1">
      <c r="A24" s="31" t="s">
        <v>41</v>
      </c>
      <c r="B24" s="52">
        <f>0.12</f>
        <v>0.12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0" customHeight="1">
      <c r="A25" s="31" t="s">
        <v>42</v>
      </c>
      <c r="B25" s="64">
        <v>10.0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0" customHeight="1">
      <c r="A26" s="31" t="s">
        <v>43</v>
      </c>
      <c r="B26" s="65">
        <v>0.01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0" customHeight="1">
      <c r="A27" s="31" t="s">
        <v>7</v>
      </c>
      <c r="B27" s="66">
        <f t="array" ref="B27">IF(B62&gt;=0,0,IF(AA62&lt;0,"Payback not achieved in 25 years",MATCH(TRUE,C62:AA62&gt;=0,0)-1+(-INDEX(B62:AA62,MATCH(TRUE,C62:AA62&gt;=0,0))/INDEX(B60:AA60,MATCH(TRUE,C62:AA62&gt;=0,0)+1))))</f>
        <v>3.827989495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0" customHeight="1">
      <c r="A28" s="31" t="s">
        <v>44</v>
      </c>
      <c r="B28" s="64">
        <v>25.0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0" customHeight="1">
      <c r="A29" s="31" t="s">
        <v>45</v>
      </c>
      <c r="B29" s="67">
        <v>0.06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0" customHeight="1">
      <c r="A30" s="40" t="s">
        <v>46</v>
      </c>
      <c r="B30" s="68">
        <v>0.04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0" customHeight="1">
      <c r="A32" s="25" t="s">
        <v>47</v>
      </c>
      <c r="B32" s="26"/>
      <c r="C32" s="3"/>
      <c r="D32" s="3"/>
      <c r="E32" s="3"/>
      <c r="F32" s="6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0" customHeight="1">
      <c r="A33" s="31" t="s">
        <v>37</v>
      </c>
      <c r="B33" s="59">
        <f t="array" ref="B33">INDEX($E$20:$G$20,1,MATCH($F$12,$E$15:$G$15,0))</f>
        <v>1.5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0" customHeight="1">
      <c r="A34" s="31" t="s">
        <v>48</v>
      </c>
      <c r="B34" s="37">
        <v>100.0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0" customHeight="1">
      <c r="A35" s="31" t="s">
        <v>49</v>
      </c>
      <c r="B35" s="52">
        <f t="array" ref="B35">INDEX($E$19:$G$19,1,MATCH($F$12,$E$15:$G$15,0))</f>
        <v>2.5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0" customHeight="1">
      <c r="A36" s="31" t="s">
        <v>50</v>
      </c>
      <c r="B36" s="42">
        <v>0.05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0" customHeight="1">
      <c r="A37" s="31" t="s">
        <v>51</v>
      </c>
      <c r="B37" s="42">
        <v>0.8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0" customHeight="1">
      <c r="A38" s="31" t="s">
        <v>52</v>
      </c>
      <c r="B38" s="52">
        <f t="array" ref="B38">INDEX($E$21:$G$21,1,MATCH($F$12,$E$15:$G$15,0))</f>
        <v>25000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0" customHeight="1">
      <c r="A39" s="31" t="s">
        <v>53</v>
      </c>
      <c r="B39" s="52">
        <f>B34*B38</f>
        <v>2500000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0" customHeight="1">
      <c r="A40" s="70" t="s">
        <v>54</v>
      </c>
      <c r="B40" s="55">
        <v>500000.0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0" customHeight="1">
      <c r="A41" s="70" t="s">
        <v>55</v>
      </c>
      <c r="B41" s="71">
        <v>0.5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0" customHeight="1">
      <c r="A42" s="25" t="s">
        <v>56</v>
      </c>
      <c r="B42" s="2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0" customHeight="1">
      <c r="A43" s="31" t="s">
        <v>57</v>
      </c>
      <c r="B43" s="52">
        <f>B39+B20+B40</f>
        <v>3652800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0" customHeight="1">
      <c r="A44" s="31" t="s">
        <v>58</v>
      </c>
      <c r="B44" s="46">
        <f>B33*B34*B37*24*365</f>
        <v>1051200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0" customHeight="1">
      <c r="A45" s="31" t="s">
        <v>59</v>
      </c>
      <c r="B45" s="46">
        <f>B44-B16</f>
        <v>13696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0" customHeight="1">
      <c r="A46" s="40" t="s">
        <v>60</v>
      </c>
      <c r="B46" s="72">
        <v>3.0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7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8.75" customHeight="1">
      <c r="A48" s="74" t="s">
        <v>61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75"/>
      <c r="AB48" s="3"/>
    </row>
    <row r="49" ht="15.0" customHeight="1">
      <c r="A49" s="73"/>
      <c r="B49" s="73"/>
      <c r="C49" s="76" t="s">
        <v>62</v>
      </c>
      <c r="D49" s="76"/>
      <c r="E49" s="76"/>
      <c r="F49" s="76"/>
      <c r="G49" s="76"/>
      <c r="H49" s="76"/>
      <c r="I49" s="76"/>
      <c r="J49" s="76"/>
      <c r="K49" s="77"/>
      <c r="L49" s="77"/>
      <c r="M49" s="77"/>
      <c r="N49" s="77"/>
      <c r="O49" s="76"/>
      <c r="P49" s="76"/>
      <c r="Q49" s="76"/>
      <c r="R49" s="76"/>
      <c r="S49" s="76"/>
      <c r="T49" s="76"/>
      <c r="U49" s="76"/>
      <c r="V49" s="76"/>
      <c r="W49" s="77"/>
      <c r="X49" s="77"/>
      <c r="Y49" s="77"/>
      <c r="Z49" s="77"/>
      <c r="AA49" s="76"/>
      <c r="AB49" s="3"/>
    </row>
    <row r="50" ht="15.0" customHeight="1">
      <c r="A50" s="78" t="s">
        <v>63</v>
      </c>
      <c r="B50" s="78">
        <v>0.0</v>
      </c>
      <c r="C50" s="78">
        <f t="shared" ref="C50:AA50" si="1">B50+1</f>
        <v>1</v>
      </c>
      <c r="D50" s="78">
        <f t="shared" si="1"/>
        <v>2</v>
      </c>
      <c r="E50" s="78">
        <f t="shared" si="1"/>
        <v>3</v>
      </c>
      <c r="F50" s="78">
        <f t="shared" si="1"/>
        <v>4</v>
      </c>
      <c r="G50" s="78">
        <f t="shared" si="1"/>
        <v>5</v>
      </c>
      <c r="H50" s="78">
        <f t="shared" si="1"/>
        <v>6</v>
      </c>
      <c r="I50" s="78">
        <f t="shared" si="1"/>
        <v>7</v>
      </c>
      <c r="J50" s="78">
        <f t="shared" si="1"/>
        <v>8</v>
      </c>
      <c r="K50" s="78">
        <f t="shared" si="1"/>
        <v>9</v>
      </c>
      <c r="L50" s="78">
        <f t="shared" si="1"/>
        <v>10</v>
      </c>
      <c r="M50" s="78">
        <f t="shared" si="1"/>
        <v>11</v>
      </c>
      <c r="N50" s="78">
        <f t="shared" si="1"/>
        <v>12</v>
      </c>
      <c r="O50" s="78">
        <f t="shared" si="1"/>
        <v>13</v>
      </c>
      <c r="P50" s="78">
        <f t="shared" si="1"/>
        <v>14</v>
      </c>
      <c r="Q50" s="78">
        <f t="shared" si="1"/>
        <v>15</v>
      </c>
      <c r="R50" s="78">
        <f t="shared" si="1"/>
        <v>16</v>
      </c>
      <c r="S50" s="78">
        <f t="shared" si="1"/>
        <v>17</v>
      </c>
      <c r="T50" s="78">
        <f t="shared" si="1"/>
        <v>18</v>
      </c>
      <c r="U50" s="78">
        <f t="shared" si="1"/>
        <v>19</v>
      </c>
      <c r="V50" s="78">
        <f t="shared" si="1"/>
        <v>20</v>
      </c>
      <c r="W50" s="78">
        <f t="shared" si="1"/>
        <v>21</v>
      </c>
      <c r="X50" s="78">
        <f t="shared" si="1"/>
        <v>22</v>
      </c>
      <c r="Y50" s="78">
        <f t="shared" si="1"/>
        <v>23</v>
      </c>
      <c r="Z50" s="78">
        <f t="shared" si="1"/>
        <v>24</v>
      </c>
      <c r="AA50" s="78">
        <f t="shared" si="1"/>
        <v>25</v>
      </c>
      <c r="AB50" s="3"/>
    </row>
    <row r="51" ht="15.0" customHeight="1">
      <c r="A51" s="79" t="s">
        <v>64</v>
      </c>
      <c r="B51" s="80">
        <f>-$B$43</f>
        <v>-3652800</v>
      </c>
      <c r="C51" s="80">
        <f t="shared" ref="C51:AA51" si="2">IF(AND(C50&gt;=($B$46+1),MOD(C50-1,$B$46)=0),-$B$39*(1+$B$30)^C50,0)</f>
        <v>0</v>
      </c>
      <c r="D51" s="80">
        <f t="shared" si="2"/>
        <v>0</v>
      </c>
      <c r="E51" s="80">
        <f t="shared" si="2"/>
        <v>0</v>
      </c>
      <c r="F51" s="80">
        <f t="shared" si="2"/>
        <v>-2924646.4</v>
      </c>
      <c r="G51" s="80">
        <f t="shared" si="2"/>
        <v>0</v>
      </c>
      <c r="H51" s="80">
        <f t="shared" si="2"/>
        <v>0</v>
      </c>
      <c r="I51" s="80">
        <f t="shared" si="2"/>
        <v>-3289829.448</v>
      </c>
      <c r="J51" s="80">
        <f t="shared" si="2"/>
        <v>0</v>
      </c>
      <c r="K51" s="80">
        <f t="shared" si="2"/>
        <v>0</v>
      </c>
      <c r="L51" s="80">
        <f t="shared" si="2"/>
        <v>-3700610.712</v>
      </c>
      <c r="M51" s="80">
        <f t="shared" si="2"/>
        <v>0</v>
      </c>
      <c r="N51" s="80">
        <f t="shared" si="2"/>
        <v>0</v>
      </c>
      <c r="O51" s="80">
        <f t="shared" si="2"/>
        <v>-4162683.768</v>
      </c>
      <c r="P51" s="80">
        <f t="shared" si="2"/>
        <v>0</v>
      </c>
      <c r="Q51" s="80">
        <f t="shared" si="2"/>
        <v>0</v>
      </c>
      <c r="R51" s="80">
        <f t="shared" si="2"/>
        <v>-4682453.114</v>
      </c>
      <c r="S51" s="80">
        <f t="shared" si="2"/>
        <v>0</v>
      </c>
      <c r="T51" s="80">
        <f t="shared" si="2"/>
        <v>0</v>
      </c>
      <c r="U51" s="80">
        <f t="shared" si="2"/>
        <v>-5267122.94</v>
      </c>
      <c r="V51" s="80">
        <f t="shared" si="2"/>
        <v>0</v>
      </c>
      <c r="W51" s="80">
        <f t="shared" si="2"/>
        <v>0</v>
      </c>
      <c r="X51" s="80">
        <f t="shared" si="2"/>
        <v>-5924796.979</v>
      </c>
      <c r="Y51" s="80">
        <f t="shared" si="2"/>
        <v>0</v>
      </c>
      <c r="Z51" s="80">
        <f t="shared" si="2"/>
        <v>0</v>
      </c>
      <c r="AA51" s="80">
        <f t="shared" si="2"/>
        <v>-6664590.829</v>
      </c>
      <c r="AB51" s="3"/>
    </row>
    <row r="52" ht="15.0" customHeight="1">
      <c r="A52" s="81" t="s">
        <v>65</v>
      </c>
      <c r="B52" s="80"/>
      <c r="C52" s="82">
        <f t="shared" ref="C52:AA52" si="3">$B$39*(1+$B$30)^((INT((C50-1)/$B$46)+1)*$B$46+1)/$B$46</f>
        <v>974882.1333</v>
      </c>
      <c r="D52" s="82">
        <f t="shared" si="3"/>
        <v>974882.1333</v>
      </c>
      <c r="E52" s="82">
        <f t="shared" si="3"/>
        <v>974882.1333</v>
      </c>
      <c r="F52" s="82">
        <f t="shared" si="3"/>
        <v>1096609.816</v>
      </c>
      <c r="G52" s="82">
        <f t="shared" si="3"/>
        <v>1096609.816</v>
      </c>
      <c r="H52" s="82">
        <f t="shared" si="3"/>
        <v>1096609.816</v>
      </c>
      <c r="I52" s="82">
        <f t="shared" si="3"/>
        <v>1233536.904</v>
      </c>
      <c r="J52" s="82">
        <f t="shared" si="3"/>
        <v>1233536.904</v>
      </c>
      <c r="K52" s="82">
        <f t="shared" si="3"/>
        <v>1233536.904</v>
      </c>
      <c r="L52" s="82">
        <f t="shared" si="3"/>
        <v>1387561.256</v>
      </c>
      <c r="M52" s="82">
        <f t="shared" si="3"/>
        <v>1387561.256</v>
      </c>
      <c r="N52" s="82">
        <f t="shared" si="3"/>
        <v>1387561.256</v>
      </c>
      <c r="O52" s="82">
        <f t="shared" si="3"/>
        <v>1560817.705</v>
      </c>
      <c r="P52" s="82">
        <f t="shared" si="3"/>
        <v>1560817.705</v>
      </c>
      <c r="Q52" s="82">
        <f t="shared" si="3"/>
        <v>1560817.705</v>
      </c>
      <c r="R52" s="82">
        <f t="shared" si="3"/>
        <v>1755707.647</v>
      </c>
      <c r="S52" s="82">
        <f t="shared" si="3"/>
        <v>1755707.647</v>
      </c>
      <c r="T52" s="82">
        <f t="shared" si="3"/>
        <v>1755707.647</v>
      </c>
      <c r="U52" s="82">
        <f t="shared" si="3"/>
        <v>1974932.326</v>
      </c>
      <c r="V52" s="82">
        <f t="shared" si="3"/>
        <v>1974932.326</v>
      </c>
      <c r="W52" s="82">
        <f t="shared" si="3"/>
        <v>1974932.326</v>
      </c>
      <c r="X52" s="82">
        <f t="shared" si="3"/>
        <v>2221530.276</v>
      </c>
      <c r="Y52" s="82">
        <f t="shared" si="3"/>
        <v>2221530.276</v>
      </c>
      <c r="Z52" s="82">
        <f t="shared" si="3"/>
        <v>2221530.276</v>
      </c>
      <c r="AA52" s="82">
        <f t="shared" si="3"/>
        <v>2498919.433</v>
      </c>
      <c r="AB52" s="3"/>
    </row>
    <row r="53" ht="15.0" customHeight="1">
      <c r="A53" s="81" t="s">
        <v>55</v>
      </c>
      <c r="B53" s="80"/>
      <c r="C53" s="82">
        <f t="shared" ref="C53:AA53" si="4">IF(C50=($B$46+1),$B$41*$B$39,IF(AND(C50&gt;($B$46+1),MOD(C50-1,$B$46)=0),$B$41*$B$39*(1+$B$30)^(C50-$B$46),0))</f>
        <v>0</v>
      </c>
      <c r="D53" s="82">
        <f t="shared" si="4"/>
        <v>0</v>
      </c>
      <c r="E53" s="82">
        <f t="shared" si="4"/>
        <v>0</v>
      </c>
      <c r="F53" s="82">
        <f t="shared" si="4"/>
        <v>1250000</v>
      </c>
      <c r="G53" s="82">
        <f t="shared" si="4"/>
        <v>0</v>
      </c>
      <c r="H53" s="82">
        <f t="shared" si="4"/>
        <v>0</v>
      </c>
      <c r="I53" s="82">
        <f t="shared" si="4"/>
        <v>1462323.2</v>
      </c>
      <c r="J53" s="82">
        <f t="shared" si="4"/>
        <v>0</v>
      </c>
      <c r="K53" s="82">
        <f t="shared" si="4"/>
        <v>0</v>
      </c>
      <c r="L53" s="82">
        <f t="shared" si="4"/>
        <v>1644914.724</v>
      </c>
      <c r="M53" s="82">
        <f t="shared" si="4"/>
        <v>0</v>
      </c>
      <c r="N53" s="82">
        <f t="shared" si="4"/>
        <v>0</v>
      </c>
      <c r="O53" s="82">
        <f t="shared" si="4"/>
        <v>1850305.356</v>
      </c>
      <c r="P53" s="82">
        <f t="shared" si="4"/>
        <v>0</v>
      </c>
      <c r="Q53" s="82">
        <f t="shared" si="4"/>
        <v>0</v>
      </c>
      <c r="R53" s="82">
        <f t="shared" si="4"/>
        <v>2081341.884</v>
      </c>
      <c r="S53" s="82">
        <f t="shared" si="4"/>
        <v>0</v>
      </c>
      <c r="T53" s="82">
        <f t="shared" si="4"/>
        <v>0</v>
      </c>
      <c r="U53" s="82">
        <f t="shared" si="4"/>
        <v>2341226.557</v>
      </c>
      <c r="V53" s="82">
        <f t="shared" si="4"/>
        <v>0</v>
      </c>
      <c r="W53" s="82">
        <f t="shared" si="4"/>
        <v>0</v>
      </c>
      <c r="X53" s="82">
        <f t="shared" si="4"/>
        <v>2633561.47</v>
      </c>
      <c r="Y53" s="82">
        <f t="shared" si="4"/>
        <v>0</v>
      </c>
      <c r="Z53" s="82">
        <f t="shared" si="4"/>
        <v>0</v>
      </c>
      <c r="AA53" s="82">
        <f t="shared" si="4"/>
        <v>2962398.489</v>
      </c>
      <c r="AB53" s="3"/>
    </row>
    <row r="54" ht="15.0" customHeight="1">
      <c r="A54" s="79" t="s">
        <v>66</v>
      </c>
      <c r="B54" s="80"/>
      <c r="C54" s="82">
        <f>$B$35</f>
        <v>2.5</v>
      </c>
      <c r="D54" s="83">
        <f t="shared" ref="D54:AA54" si="5">C54*(1+$B$36)</f>
        <v>2.625</v>
      </c>
      <c r="E54" s="83">
        <f t="shared" si="5"/>
        <v>2.75625</v>
      </c>
      <c r="F54" s="83">
        <f t="shared" si="5"/>
        <v>2.8940625</v>
      </c>
      <c r="G54" s="83">
        <f t="shared" si="5"/>
        <v>3.038765625</v>
      </c>
      <c r="H54" s="83">
        <f t="shared" si="5"/>
        <v>3.190703906</v>
      </c>
      <c r="I54" s="83">
        <f t="shared" si="5"/>
        <v>3.350239102</v>
      </c>
      <c r="J54" s="83">
        <f t="shared" si="5"/>
        <v>3.517751057</v>
      </c>
      <c r="K54" s="83">
        <f t="shared" si="5"/>
        <v>3.693638609</v>
      </c>
      <c r="L54" s="83">
        <f t="shared" si="5"/>
        <v>3.87832054</v>
      </c>
      <c r="M54" s="83">
        <f t="shared" si="5"/>
        <v>4.072236567</v>
      </c>
      <c r="N54" s="83">
        <f t="shared" si="5"/>
        <v>4.275848395</v>
      </c>
      <c r="O54" s="83">
        <f t="shared" si="5"/>
        <v>4.489640815</v>
      </c>
      <c r="P54" s="83">
        <f t="shared" si="5"/>
        <v>4.714122856</v>
      </c>
      <c r="Q54" s="83">
        <f t="shared" si="5"/>
        <v>4.949828999</v>
      </c>
      <c r="R54" s="83">
        <f t="shared" si="5"/>
        <v>5.197320449</v>
      </c>
      <c r="S54" s="83">
        <f t="shared" si="5"/>
        <v>5.457186471</v>
      </c>
      <c r="T54" s="83">
        <f t="shared" si="5"/>
        <v>5.730045795</v>
      </c>
      <c r="U54" s="83">
        <f t="shared" si="5"/>
        <v>6.016548084</v>
      </c>
      <c r="V54" s="83">
        <f t="shared" si="5"/>
        <v>6.317375488</v>
      </c>
      <c r="W54" s="83">
        <f t="shared" si="5"/>
        <v>6.633244263</v>
      </c>
      <c r="X54" s="83">
        <f t="shared" si="5"/>
        <v>6.964906476</v>
      </c>
      <c r="Y54" s="83">
        <f t="shared" si="5"/>
        <v>7.3131518</v>
      </c>
      <c r="Z54" s="83">
        <f t="shared" si="5"/>
        <v>7.67880939</v>
      </c>
      <c r="AA54" s="83">
        <f t="shared" si="5"/>
        <v>8.062749859</v>
      </c>
      <c r="AB54" s="3"/>
    </row>
    <row r="55" ht="15.0" customHeight="1">
      <c r="A55" s="79" t="s">
        <v>67</v>
      </c>
      <c r="B55" s="80"/>
      <c r="C55" s="84">
        <f>$B$34*$B$35*$B$37*24*365*(((12-$B$21)*30)/(365))</f>
        <v>1296000</v>
      </c>
      <c r="D55" s="84">
        <f t="shared" ref="D55:AA55" si="6">$B$34*D$54*$B$37*24*365</f>
        <v>1839600</v>
      </c>
      <c r="E55" s="84">
        <f t="shared" si="6"/>
        <v>1931580</v>
      </c>
      <c r="F55" s="84">
        <f t="shared" si="6"/>
        <v>2028159</v>
      </c>
      <c r="G55" s="84">
        <f t="shared" si="6"/>
        <v>2129566.95</v>
      </c>
      <c r="H55" s="84">
        <f t="shared" si="6"/>
        <v>2236045.298</v>
      </c>
      <c r="I55" s="84">
        <f t="shared" si="6"/>
        <v>2347847.562</v>
      </c>
      <c r="J55" s="84">
        <f t="shared" si="6"/>
        <v>2465239.94</v>
      </c>
      <c r="K55" s="84">
        <f t="shared" si="6"/>
        <v>2588501.938</v>
      </c>
      <c r="L55" s="84">
        <f t="shared" si="6"/>
        <v>2717927.034</v>
      </c>
      <c r="M55" s="84">
        <f t="shared" si="6"/>
        <v>2853823.386</v>
      </c>
      <c r="N55" s="84">
        <f t="shared" si="6"/>
        <v>2996514.555</v>
      </c>
      <c r="O55" s="84">
        <f t="shared" si="6"/>
        <v>3146340.283</v>
      </c>
      <c r="P55" s="84">
        <f t="shared" si="6"/>
        <v>3303657.297</v>
      </c>
      <c r="Q55" s="84">
        <f t="shared" si="6"/>
        <v>3468840.162</v>
      </c>
      <c r="R55" s="84">
        <f t="shared" si="6"/>
        <v>3642282.17</v>
      </c>
      <c r="S55" s="84">
        <f t="shared" si="6"/>
        <v>3824396.279</v>
      </c>
      <c r="T55" s="84">
        <f t="shared" si="6"/>
        <v>4015616.093</v>
      </c>
      <c r="U55" s="84">
        <f t="shared" si="6"/>
        <v>4216396.897</v>
      </c>
      <c r="V55" s="84">
        <f t="shared" si="6"/>
        <v>4427216.742</v>
      </c>
      <c r="W55" s="84">
        <f t="shared" si="6"/>
        <v>4648577.579</v>
      </c>
      <c r="X55" s="84">
        <f t="shared" si="6"/>
        <v>4881006.458</v>
      </c>
      <c r="Y55" s="84">
        <f t="shared" si="6"/>
        <v>5125056.781</v>
      </c>
      <c r="Z55" s="84">
        <f t="shared" si="6"/>
        <v>5381309.62</v>
      </c>
      <c r="AA55" s="84">
        <f t="shared" si="6"/>
        <v>5650375.101</v>
      </c>
      <c r="AB55" s="3"/>
    </row>
    <row r="56" ht="15.75" customHeight="1">
      <c r="A56" s="79" t="s">
        <v>68</v>
      </c>
      <c r="B56" s="85"/>
      <c r="C56" s="80">
        <f>$B$18</f>
        <v>0.08</v>
      </c>
      <c r="D56" s="80">
        <f t="shared" ref="D56:AA56" si="7">C56*(1+$B$23)</f>
        <v>0.084</v>
      </c>
      <c r="E56" s="80">
        <f t="shared" si="7"/>
        <v>0.0882</v>
      </c>
      <c r="F56" s="80">
        <f t="shared" si="7"/>
        <v>0.09261</v>
      </c>
      <c r="G56" s="80">
        <f t="shared" si="7"/>
        <v>0.0972405</v>
      </c>
      <c r="H56" s="80">
        <f t="shared" si="7"/>
        <v>0.102102525</v>
      </c>
      <c r="I56" s="80">
        <f t="shared" si="7"/>
        <v>0.1072076513</v>
      </c>
      <c r="J56" s="80">
        <f t="shared" si="7"/>
        <v>0.1125680338</v>
      </c>
      <c r="K56" s="80">
        <f t="shared" si="7"/>
        <v>0.1181964355</v>
      </c>
      <c r="L56" s="80">
        <f t="shared" si="7"/>
        <v>0.1241062573</v>
      </c>
      <c r="M56" s="80">
        <f t="shared" si="7"/>
        <v>0.1303115701</v>
      </c>
      <c r="N56" s="80">
        <f t="shared" si="7"/>
        <v>0.1368271486</v>
      </c>
      <c r="O56" s="80">
        <f t="shared" si="7"/>
        <v>0.1436685061</v>
      </c>
      <c r="P56" s="80">
        <f t="shared" si="7"/>
        <v>0.1508519314</v>
      </c>
      <c r="Q56" s="80">
        <f t="shared" si="7"/>
        <v>0.158394528</v>
      </c>
      <c r="R56" s="80">
        <f t="shared" si="7"/>
        <v>0.1663142544</v>
      </c>
      <c r="S56" s="80">
        <f t="shared" si="7"/>
        <v>0.1746299671</v>
      </c>
      <c r="T56" s="80">
        <f t="shared" si="7"/>
        <v>0.1833614654</v>
      </c>
      <c r="U56" s="80">
        <f t="shared" si="7"/>
        <v>0.1925295387</v>
      </c>
      <c r="V56" s="80">
        <f t="shared" si="7"/>
        <v>0.2021560156</v>
      </c>
      <c r="W56" s="80">
        <f t="shared" si="7"/>
        <v>0.2122638164</v>
      </c>
      <c r="X56" s="80">
        <f t="shared" si="7"/>
        <v>0.2228770072</v>
      </c>
      <c r="Y56" s="80">
        <f t="shared" si="7"/>
        <v>0.2340208576</v>
      </c>
      <c r="Z56" s="80">
        <f t="shared" si="7"/>
        <v>0.2457219005</v>
      </c>
      <c r="AA56" s="80">
        <f t="shared" si="7"/>
        <v>0.2580079955</v>
      </c>
      <c r="AB56" s="3"/>
    </row>
    <row r="57" ht="15.0" customHeight="1">
      <c r="A57" s="79" t="s">
        <v>69</v>
      </c>
      <c r="B57" s="85"/>
      <c r="C57" s="86">
        <f t="shared" ref="C57:AA57" si="8">IF(C$50&lt;=$B$25,$B$24,IF(AND(C$50&gt;$B$25,C$50&lt;=($B$25+$B$25)),$B$24+$B$26,$B$24+$B$26+$B$26))</f>
        <v>0.12</v>
      </c>
      <c r="D57" s="86">
        <f t="shared" si="8"/>
        <v>0.12</v>
      </c>
      <c r="E57" s="86">
        <f t="shared" si="8"/>
        <v>0.12</v>
      </c>
      <c r="F57" s="86">
        <f t="shared" si="8"/>
        <v>0.12</v>
      </c>
      <c r="G57" s="86">
        <f t="shared" si="8"/>
        <v>0.12</v>
      </c>
      <c r="H57" s="86">
        <f t="shared" si="8"/>
        <v>0.12</v>
      </c>
      <c r="I57" s="86">
        <f t="shared" si="8"/>
        <v>0.12</v>
      </c>
      <c r="J57" s="86">
        <f t="shared" si="8"/>
        <v>0.12</v>
      </c>
      <c r="K57" s="86">
        <f t="shared" si="8"/>
        <v>0.12</v>
      </c>
      <c r="L57" s="86">
        <f t="shared" si="8"/>
        <v>0.12</v>
      </c>
      <c r="M57" s="86">
        <f t="shared" si="8"/>
        <v>0.13</v>
      </c>
      <c r="N57" s="86">
        <f t="shared" si="8"/>
        <v>0.13</v>
      </c>
      <c r="O57" s="86">
        <f t="shared" si="8"/>
        <v>0.13</v>
      </c>
      <c r="P57" s="86">
        <f t="shared" si="8"/>
        <v>0.13</v>
      </c>
      <c r="Q57" s="86">
        <f t="shared" si="8"/>
        <v>0.13</v>
      </c>
      <c r="R57" s="86">
        <f t="shared" si="8"/>
        <v>0.13</v>
      </c>
      <c r="S57" s="86">
        <f t="shared" si="8"/>
        <v>0.13</v>
      </c>
      <c r="T57" s="86">
        <f t="shared" si="8"/>
        <v>0.13</v>
      </c>
      <c r="U57" s="86">
        <f t="shared" si="8"/>
        <v>0.13</v>
      </c>
      <c r="V57" s="86">
        <f t="shared" si="8"/>
        <v>0.13</v>
      </c>
      <c r="W57" s="86">
        <f t="shared" si="8"/>
        <v>0.14</v>
      </c>
      <c r="X57" s="86">
        <f t="shared" si="8"/>
        <v>0.14</v>
      </c>
      <c r="Y57" s="86">
        <f t="shared" si="8"/>
        <v>0.14</v>
      </c>
      <c r="Z57" s="86">
        <f t="shared" si="8"/>
        <v>0.14</v>
      </c>
      <c r="AA57" s="86">
        <f t="shared" si="8"/>
        <v>0.14</v>
      </c>
      <c r="AB57" s="87"/>
    </row>
    <row r="58" ht="15.0" customHeight="1">
      <c r="A58" s="79" t="s">
        <v>70</v>
      </c>
      <c r="B58" s="85"/>
      <c r="C58" s="84">
        <f>$B$45*(((12-$B$21)*30)/(365))*C$56</f>
        <v>810.5030137</v>
      </c>
      <c r="D58" s="86">
        <f t="shared" ref="D58:AA58" si="9">$B$45*D$56</f>
        <v>1150.464</v>
      </c>
      <c r="E58" s="86">
        <f t="shared" si="9"/>
        <v>1207.9872</v>
      </c>
      <c r="F58" s="86">
        <f t="shared" si="9"/>
        <v>1268.38656</v>
      </c>
      <c r="G58" s="86">
        <f t="shared" si="9"/>
        <v>1331.805888</v>
      </c>
      <c r="H58" s="86">
        <f t="shared" si="9"/>
        <v>1398.396182</v>
      </c>
      <c r="I58" s="86">
        <f t="shared" si="9"/>
        <v>1468.315992</v>
      </c>
      <c r="J58" s="86">
        <f t="shared" si="9"/>
        <v>1541.731791</v>
      </c>
      <c r="K58" s="86">
        <f t="shared" si="9"/>
        <v>1618.818381</v>
      </c>
      <c r="L58" s="86">
        <f t="shared" si="9"/>
        <v>1699.7593</v>
      </c>
      <c r="M58" s="86">
        <f t="shared" si="9"/>
        <v>1784.747265</v>
      </c>
      <c r="N58" s="86">
        <f t="shared" si="9"/>
        <v>1873.984628</v>
      </c>
      <c r="O58" s="86">
        <f t="shared" si="9"/>
        <v>1967.683859</v>
      </c>
      <c r="P58" s="86">
        <f t="shared" si="9"/>
        <v>2066.068052</v>
      </c>
      <c r="Q58" s="86">
        <f t="shared" si="9"/>
        <v>2169.371455</v>
      </c>
      <c r="R58" s="86">
        <f t="shared" si="9"/>
        <v>2277.840028</v>
      </c>
      <c r="S58" s="86">
        <f t="shared" si="9"/>
        <v>2391.732029</v>
      </c>
      <c r="T58" s="86">
        <f t="shared" si="9"/>
        <v>2511.31863</v>
      </c>
      <c r="U58" s="86">
        <f t="shared" si="9"/>
        <v>2636.884562</v>
      </c>
      <c r="V58" s="86">
        <f t="shared" si="9"/>
        <v>2768.72879</v>
      </c>
      <c r="W58" s="86">
        <f t="shared" si="9"/>
        <v>2907.16523</v>
      </c>
      <c r="X58" s="86">
        <f t="shared" si="9"/>
        <v>3052.523491</v>
      </c>
      <c r="Y58" s="86">
        <f t="shared" si="9"/>
        <v>3205.149666</v>
      </c>
      <c r="Z58" s="86">
        <f t="shared" si="9"/>
        <v>3365.407149</v>
      </c>
      <c r="AA58" s="86">
        <f t="shared" si="9"/>
        <v>3533.677506</v>
      </c>
      <c r="AB58" s="87"/>
    </row>
    <row r="59" ht="15.0" customHeight="1">
      <c r="A59" s="79" t="s">
        <v>71</v>
      </c>
      <c r="B59" s="85"/>
      <c r="C59" s="80">
        <f>$B$19</f>
        <v>72000</v>
      </c>
      <c r="D59" s="80">
        <f t="shared" ref="D59:AA59" si="10">C59*(1+$B$30)</f>
        <v>74880</v>
      </c>
      <c r="E59" s="80">
        <f t="shared" si="10"/>
        <v>77875.2</v>
      </c>
      <c r="F59" s="80">
        <f t="shared" si="10"/>
        <v>80990.208</v>
      </c>
      <c r="G59" s="80">
        <f t="shared" si="10"/>
        <v>84229.81632</v>
      </c>
      <c r="H59" s="80">
        <f t="shared" si="10"/>
        <v>87599.00897</v>
      </c>
      <c r="I59" s="80">
        <f t="shared" si="10"/>
        <v>91102.96933</v>
      </c>
      <c r="J59" s="80">
        <f t="shared" si="10"/>
        <v>94747.0881</v>
      </c>
      <c r="K59" s="80">
        <f t="shared" si="10"/>
        <v>98536.97163</v>
      </c>
      <c r="L59" s="80">
        <f t="shared" si="10"/>
        <v>102478.4505</v>
      </c>
      <c r="M59" s="80">
        <f t="shared" si="10"/>
        <v>106577.5885</v>
      </c>
      <c r="N59" s="80">
        <f t="shared" si="10"/>
        <v>110840.6921</v>
      </c>
      <c r="O59" s="80">
        <f t="shared" si="10"/>
        <v>115274.3197</v>
      </c>
      <c r="P59" s="80">
        <f t="shared" si="10"/>
        <v>119885.2925</v>
      </c>
      <c r="Q59" s="80">
        <f t="shared" si="10"/>
        <v>124680.7042</v>
      </c>
      <c r="R59" s="80">
        <f t="shared" si="10"/>
        <v>129667.9324</v>
      </c>
      <c r="S59" s="80">
        <f t="shared" si="10"/>
        <v>134854.6497</v>
      </c>
      <c r="T59" s="80">
        <f t="shared" si="10"/>
        <v>140248.8357</v>
      </c>
      <c r="U59" s="80">
        <f t="shared" si="10"/>
        <v>145858.7891</v>
      </c>
      <c r="V59" s="80">
        <f t="shared" si="10"/>
        <v>151693.1407</v>
      </c>
      <c r="W59" s="80">
        <f t="shared" si="10"/>
        <v>157760.8663</v>
      </c>
      <c r="X59" s="80">
        <f t="shared" si="10"/>
        <v>164071.301</v>
      </c>
      <c r="Y59" s="80">
        <f t="shared" si="10"/>
        <v>170634.153</v>
      </c>
      <c r="Z59" s="80">
        <f t="shared" si="10"/>
        <v>177459.5191</v>
      </c>
      <c r="AA59" s="88">
        <f t="shared" si="10"/>
        <v>184557.8999</v>
      </c>
      <c r="AB59" s="89"/>
    </row>
    <row r="60" ht="15.0" customHeight="1">
      <c r="A60" s="79" t="s">
        <v>72</v>
      </c>
      <c r="B60" s="80">
        <f>B51</f>
        <v>-3652800</v>
      </c>
      <c r="C60" s="80">
        <f t="shared" ref="C60:AA60" si="11">C55-C58-C59+C53-C52</f>
        <v>248307.3637</v>
      </c>
      <c r="D60" s="80">
        <f t="shared" si="11"/>
        <v>788687.4027</v>
      </c>
      <c r="E60" s="80">
        <f t="shared" si="11"/>
        <v>877614.6795</v>
      </c>
      <c r="F60" s="80">
        <f t="shared" si="11"/>
        <v>2099290.589</v>
      </c>
      <c r="G60" s="80">
        <f t="shared" si="11"/>
        <v>947395.5118</v>
      </c>
      <c r="H60" s="80">
        <f t="shared" si="11"/>
        <v>1050438.076</v>
      </c>
      <c r="I60" s="80">
        <f t="shared" si="11"/>
        <v>2484062.573</v>
      </c>
      <c r="J60" s="80">
        <f t="shared" si="11"/>
        <v>1135414.216</v>
      </c>
      <c r="K60" s="80">
        <f t="shared" si="11"/>
        <v>1254809.243</v>
      </c>
      <c r="L60" s="80">
        <f t="shared" si="11"/>
        <v>2871102.293</v>
      </c>
      <c r="M60" s="80">
        <f t="shared" si="11"/>
        <v>1357899.794</v>
      </c>
      <c r="N60" s="80">
        <f t="shared" si="11"/>
        <v>1496238.623</v>
      </c>
      <c r="O60" s="80">
        <f t="shared" si="11"/>
        <v>3318585.931</v>
      </c>
      <c r="P60" s="80">
        <f t="shared" si="11"/>
        <v>1620888.232</v>
      </c>
      <c r="Q60" s="80">
        <f t="shared" si="11"/>
        <v>1781172.382</v>
      </c>
      <c r="R60" s="80">
        <f t="shared" si="11"/>
        <v>3835970.635</v>
      </c>
      <c r="S60" s="80">
        <f t="shared" si="11"/>
        <v>1931442.25</v>
      </c>
      <c r="T60" s="80">
        <f t="shared" si="11"/>
        <v>2117148.292</v>
      </c>
      <c r="U60" s="80">
        <f t="shared" si="11"/>
        <v>4434195.455</v>
      </c>
      <c r="V60" s="80">
        <f t="shared" si="11"/>
        <v>2297822.547</v>
      </c>
      <c r="W60" s="80">
        <f t="shared" si="11"/>
        <v>2512977.222</v>
      </c>
      <c r="X60" s="80">
        <f t="shared" si="11"/>
        <v>5125913.828</v>
      </c>
      <c r="Y60" s="80">
        <f t="shared" si="11"/>
        <v>2729687.202</v>
      </c>
      <c r="Z60" s="80">
        <f t="shared" si="11"/>
        <v>2978954.418</v>
      </c>
      <c r="AA60" s="80">
        <f t="shared" si="11"/>
        <v>5925762.581</v>
      </c>
      <c r="AB60" s="3"/>
    </row>
    <row r="61" ht="15.0" customHeight="1">
      <c r="A61" s="79" t="s">
        <v>73</v>
      </c>
      <c r="B61" s="80">
        <f>B60</f>
        <v>-3652800</v>
      </c>
      <c r="C61" s="80">
        <f t="shared" ref="C61:AA61" si="12">C60/((1+$B$29)^C$50)</f>
        <v>234252.2299</v>
      </c>
      <c r="D61" s="80">
        <f t="shared" si="12"/>
        <v>701928.9807</v>
      </c>
      <c r="E61" s="80">
        <f t="shared" si="12"/>
        <v>736862.208</v>
      </c>
      <c r="F61" s="80">
        <f t="shared" si="12"/>
        <v>1662834.773</v>
      </c>
      <c r="G61" s="80">
        <f t="shared" si="12"/>
        <v>707949.0391</v>
      </c>
      <c r="H61" s="80">
        <f t="shared" si="12"/>
        <v>740517.394</v>
      </c>
      <c r="I61" s="80">
        <f t="shared" si="12"/>
        <v>1652043.485</v>
      </c>
      <c r="J61" s="80">
        <f t="shared" si="12"/>
        <v>712372.926</v>
      </c>
      <c r="K61" s="80">
        <f t="shared" si="12"/>
        <v>742719.6632</v>
      </c>
      <c r="L61" s="80">
        <f t="shared" si="12"/>
        <v>1603208.524</v>
      </c>
      <c r="M61" s="80">
        <f t="shared" si="12"/>
        <v>715324.6723</v>
      </c>
      <c r="N61" s="80">
        <f t="shared" si="12"/>
        <v>743584.7561</v>
      </c>
      <c r="O61" s="80">
        <f t="shared" si="12"/>
        <v>1555882.583</v>
      </c>
      <c r="P61" s="80">
        <f t="shared" si="12"/>
        <v>716920.4282</v>
      </c>
      <c r="Q61" s="80">
        <f t="shared" si="12"/>
        <v>743221.0021</v>
      </c>
      <c r="R61" s="80">
        <f t="shared" si="12"/>
        <v>1510015.585</v>
      </c>
      <c r="S61" s="80">
        <f t="shared" si="12"/>
        <v>717268.9284</v>
      </c>
      <c r="T61" s="80">
        <f t="shared" si="12"/>
        <v>741729.7589</v>
      </c>
      <c r="U61" s="80">
        <f t="shared" si="12"/>
        <v>1465559.289</v>
      </c>
      <c r="V61" s="80">
        <f t="shared" si="12"/>
        <v>716471.9316</v>
      </c>
      <c r="W61" s="80">
        <f t="shared" si="12"/>
        <v>739205.8267</v>
      </c>
      <c r="X61" s="80">
        <f t="shared" si="12"/>
        <v>1422467.213</v>
      </c>
      <c r="Y61" s="80">
        <f t="shared" si="12"/>
        <v>714624.6336</v>
      </c>
      <c r="Z61" s="80">
        <f t="shared" si="12"/>
        <v>735737.8377</v>
      </c>
      <c r="AA61" s="80">
        <f t="shared" si="12"/>
        <v>1380694.566</v>
      </c>
      <c r="AB61" s="3"/>
    </row>
    <row r="62" ht="15.0" customHeight="1">
      <c r="A62" s="90" t="s">
        <v>74</v>
      </c>
      <c r="B62" s="91">
        <f>B60</f>
        <v>-3652800</v>
      </c>
      <c r="C62" s="91">
        <f t="shared" ref="C62:AA62" si="13">B62+C60</f>
        <v>-3404492.636</v>
      </c>
      <c r="D62" s="91">
        <f t="shared" si="13"/>
        <v>-2615805.234</v>
      </c>
      <c r="E62" s="91">
        <f t="shared" si="13"/>
        <v>-1738190.554</v>
      </c>
      <c r="F62" s="91">
        <f t="shared" si="13"/>
        <v>361100.0352</v>
      </c>
      <c r="G62" s="91">
        <f t="shared" si="13"/>
        <v>1308495.547</v>
      </c>
      <c r="H62" s="91">
        <f t="shared" si="13"/>
        <v>2358933.623</v>
      </c>
      <c r="I62" s="91">
        <f t="shared" si="13"/>
        <v>4842996.196</v>
      </c>
      <c r="J62" s="91">
        <f t="shared" si="13"/>
        <v>5978410.413</v>
      </c>
      <c r="K62" s="91">
        <f t="shared" si="13"/>
        <v>7233219.656</v>
      </c>
      <c r="L62" s="91">
        <f t="shared" si="13"/>
        <v>10104321.95</v>
      </c>
      <c r="M62" s="91">
        <f t="shared" si="13"/>
        <v>11462221.74</v>
      </c>
      <c r="N62" s="91">
        <f t="shared" si="13"/>
        <v>12958460.37</v>
      </c>
      <c r="O62" s="91">
        <f t="shared" si="13"/>
        <v>16277046.3</v>
      </c>
      <c r="P62" s="91">
        <f t="shared" si="13"/>
        <v>17897934.53</v>
      </c>
      <c r="Q62" s="91">
        <f t="shared" si="13"/>
        <v>19679106.91</v>
      </c>
      <c r="R62" s="91">
        <f t="shared" si="13"/>
        <v>23515077.55</v>
      </c>
      <c r="S62" s="91">
        <f t="shared" si="13"/>
        <v>25446519.8</v>
      </c>
      <c r="T62" s="91">
        <f t="shared" si="13"/>
        <v>27563668.09</v>
      </c>
      <c r="U62" s="91">
        <f t="shared" si="13"/>
        <v>31997863.54</v>
      </c>
      <c r="V62" s="91">
        <f t="shared" si="13"/>
        <v>34295686.09</v>
      </c>
      <c r="W62" s="91">
        <f t="shared" si="13"/>
        <v>36808663.31</v>
      </c>
      <c r="X62" s="91">
        <f t="shared" si="13"/>
        <v>41934577.14</v>
      </c>
      <c r="Y62" s="91">
        <f t="shared" si="13"/>
        <v>44664264.34</v>
      </c>
      <c r="Z62" s="91">
        <f t="shared" si="13"/>
        <v>47643218.76</v>
      </c>
      <c r="AA62" s="91">
        <f t="shared" si="13"/>
        <v>53568981.34</v>
      </c>
      <c r="AB62" s="3"/>
    </row>
    <row r="63" ht="15.0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0" customHeight="1">
      <c r="A64" s="93" t="s">
        <v>75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0" customHeight="1">
      <c r="A65" s="9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0" customHeight="1">
      <c r="A67" s="97" t="s">
        <v>63</v>
      </c>
      <c r="B67" s="97" t="s">
        <v>72</v>
      </c>
      <c r="C67" s="97" t="s">
        <v>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0" customHeight="1">
      <c r="A68" s="98">
        <v>0.0</v>
      </c>
      <c r="B68" s="99">
        <f t="array" ref="B68:B93">TRANSPOSE(B60:AA60)</f>
        <v>-3652800</v>
      </c>
      <c r="C68" s="99">
        <f t="array" ref="C68:C93">TRANSPOSE(B62:AA62)</f>
        <v>-3652800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0" customHeight="1">
      <c r="A69" s="98">
        <f t="shared" ref="A69:A93" si="14">A68+1</f>
        <v>1</v>
      </c>
      <c r="B69" s="99">
        <v>248307.36365296796</v>
      </c>
      <c r="C69" s="99">
        <v>-3404492.636347032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0" customHeight="1">
      <c r="A70" s="98">
        <f t="shared" si="14"/>
        <v>2</v>
      </c>
      <c r="B70" s="99">
        <v>788687.4026666667</v>
      </c>
      <c r="C70" s="99">
        <v>-2615805.2336803656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0" customHeight="1">
      <c r="A71" s="98">
        <f t="shared" si="14"/>
        <v>3</v>
      </c>
      <c r="B71" s="99">
        <v>877614.6794666665</v>
      </c>
      <c r="C71" s="99">
        <v>-1738190.554213699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0" customHeight="1">
      <c r="A72" s="98">
        <f t="shared" si="14"/>
        <v>4</v>
      </c>
      <c r="B72" s="99">
        <v>2099290.5894101337</v>
      </c>
      <c r="C72" s="99">
        <v>361100.0351964347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0" customHeight="1">
      <c r="A73" s="98">
        <f t="shared" si="14"/>
        <v>5</v>
      </c>
      <c r="B73" s="99">
        <v>947395.5117621338</v>
      </c>
      <c r="C73" s="99">
        <v>1308495.5469585685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0" customHeight="1">
      <c r="A74" s="98">
        <f t="shared" si="14"/>
        <v>6</v>
      </c>
      <c r="B74" s="99">
        <v>1050438.0763149338</v>
      </c>
      <c r="C74" s="99">
        <v>2358933.623273502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0" customHeight="1">
      <c r="A75" s="98">
        <f t="shared" si="14"/>
        <v>7</v>
      </c>
      <c r="B75" s="99">
        <v>2484062.5729531487</v>
      </c>
      <c r="C75" s="99">
        <v>4842996.196226651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0" customHeight="1">
      <c r="A76" s="98">
        <f t="shared" si="14"/>
        <v>8</v>
      </c>
      <c r="B76" s="99">
        <v>1135414.216499054</v>
      </c>
      <c r="C76" s="99">
        <v>5978410.412725705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0" customHeight="1">
      <c r="A77" s="98">
        <f t="shared" si="14"/>
        <v>9</v>
      </c>
      <c r="B77" s="99">
        <v>1254809.2434099882</v>
      </c>
      <c r="C77" s="99">
        <v>7233219.656135693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0" customHeight="1">
      <c r="A78" s="98">
        <f t="shared" si="14"/>
        <v>10</v>
      </c>
      <c r="B78" s="99">
        <v>2871102.292553141</v>
      </c>
      <c r="C78" s="99">
        <v>1.0104321948688835E7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0" customHeight="1">
      <c r="A79" s="98">
        <f t="shared" si="14"/>
        <v>11</v>
      </c>
      <c r="B79" s="99">
        <v>1357899.7942432996</v>
      </c>
      <c r="C79" s="99">
        <v>1.1462221742932135E7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0" customHeight="1">
      <c r="A80" s="98">
        <f t="shared" si="14"/>
        <v>12</v>
      </c>
      <c r="B80" s="99">
        <v>1496238.6226452056</v>
      </c>
      <c r="C80" s="99">
        <v>1.295846036557734E7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0" customHeight="1">
      <c r="A81" s="98">
        <f t="shared" si="14"/>
        <v>13</v>
      </c>
      <c r="B81" s="99">
        <v>3318585.9309698716</v>
      </c>
      <c r="C81" s="99">
        <v>1.6277046296547212E7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0" customHeight="1">
      <c r="A82" s="98">
        <f t="shared" si="14"/>
        <v>14</v>
      </c>
      <c r="B82" s="99">
        <v>1620888.2319990408</v>
      </c>
      <c r="C82" s="99">
        <v>1.789793452854625E7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0" customHeight="1">
      <c r="A83" s="98">
        <f t="shared" si="14"/>
        <v>15</v>
      </c>
      <c r="B83" s="99">
        <v>1781172.38176289</v>
      </c>
      <c r="C83" s="99">
        <v>1.967910691030914E7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0" customHeight="1">
      <c r="A84" s="98">
        <f t="shared" si="14"/>
        <v>16</v>
      </c>
      <c r="B84" s="99">
        <v>3835970.635381193</v>
      </c>
      <c r="C84" s="99">
        <v>2.351507754569033E7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0" customHeight="1">
      <c r="A85" s="98">
        <f t="shared" si="14"/>
        <v>17</v>
      </c>
      <c r="B85" s="99">
        <v>1931442.2504624028</v>
      </c>
      <c r="C85" s="99">
        <v>2.5446519796152733E7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0" customHeight="1">
      <c r="A86" s="98">
        <f t="shared" si="14"/>
        <v>18</v>
      </c>
      <c r="B86" s="99">
        <v>2117148.2918155165</v>
      </c>
      <c r="C86" s="99">
        <v>2.756366808796825E7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0" customHeight="1">
      <c r="A87" s="98">
        <f t="shared" si="14"/>
        <v>19</v>
      </c>
      <c r="B87" s="99">
        <v>4434195.454662426</v>
      </c>
      <c r="C87" s="99">
        <v>3.1997863542630676E7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0" customHeight="1">
      <c r="A88" s="98">
        <f t="shared" si="14"/>
        <v>20</v>
      </c>
      <c r="B88" s="99">
        <v>2297822.546582386</v>
      </c>
      <c r="C88" s="99">
        <v>3.429568608921306E7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0" customHeight="1">
      <c r="A89" s="98">
        <f t="shared" si="14"/>
        <v>21</v>
      </c>
      <c r="B89" s="99">
        <v>2512977.2216309262</v>
      </c>
      <c r="C89" s="99">
        <v>3.680866331084398E7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0" customHeight="1">
      <c r="A90" s="98">
        <f t="shared" si="14"/>
        <v>22</v>
      </c>
      <c r="B90" s="99">
        <v>5125913.827694861</v>
      </c>
      <c r="C90" s="99">
        <v>4.1934577138538845E7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0" customHeight="1">
      <c r="A91" s="98">
        <f t="shared" si="14"/>
        <v>23</v>
      </c>
      <c r="B91" s="99">
        <v>2729687.202409386</v>
      </c>
      <c r="C91" s="99">
        <v>4.466426434094823E7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0" customHeight="1">
      <c r="A92" s="98">
        <f t="shared" si="14"/>
        <v>24</v>
      </c>
      <c r="B92" s="99">
        <v>2978954.417871715</v>
      </c>
      <c r="C92" s="99">
        <v>4.7643218758819945E7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0" customHeight="1">
      <c r="A93" s="98">
        <f t="shared" si="14"/>
        <v>25</v>
      </c>
      <c r="B93" s="99">
        <v>5925762.580737168</v>
      </c>
      <c r="C93" s="99">
        <v>5.356898133955711E7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1:B11"/>
    <mergeCell ref="A12:B12"/>
    <mergeCell ref="D14:G14"/>
    <mergeCell ref="A32:B32"/>
    <mergeCell ref="A42:B42"/>
    <mergeCell ref="A48:AA48"/>
    <mergeCell ref="A64:L64"/>
    <mergeCell ref="A1:O1"/>
    <mergeCell ref="A2:O2"/>
    <mergeCell ref="A4:C4"/>
    <mergeCell ref="D4:F4"/>
    <mergeCell ref="G4:I4"/>
    <mergeCell ref="D11:G11"/>
    <mergeCell ref="I11:J11"/>
  </mergeCells>
  <printOptions/>
  <pageMargins bottom="0.75" footer="0.0" header="0.0" left="0.7" right="0.7" top="0.75"/>
  <pageSetup orientation="portrait"/>
  <drawing r:id="rId1"/>
</worksheet>
</file>