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U+Solar" sheetId="1" r:id="rId4"/>
  </sheets>
  <definedNames/>
  <calcPr/>
  <extLst>
    <ext uri="GoogleSheetsCustomDataVersion2">
      <go:sheetsCustomData xmlns:go="http://customooxmlschemas.google.com/" r:id="rId5" roundtripDataChecksum="Po5w6PlLiktmKG6mWMhvHk+IV0I3fY6reF3YXFxdyuM="/>
    </ext>
  </extLst>
</workbook>
</file>

<file path=xl/sharedStrings.xml><?xml version="1.0" encoding="utf-8"?>
<sst xmlns="http://schemas.openxmlformats.org/spreadsheetml/2006/main" count="85" uniqueCount="76">
  <si>
    <t>GPU+ 150KW Solar project</t>
  </si>
  <si>
    <t>Investment Summary Dashboard</t>
  </si>
  <si>
    <t>PROJECT RETURN</t>
  </si>
  <si>
    <t>INVESTMENT</t>
  </si>
  <si>
    <t>ANNUAL PERFORMANCE</t>
  </si>
  <si>
    <t>Gross IRR</t>
  </si>
  <si>
    <t>Initial Capital</t>
  </si>
  <si>
    <t>Payback Period (years)</t>
  </si>
  <si>
    <t>Total Return</t>
  </si>
  <si>
    <t>Year 1 Net Cash</t>
  </si>
  <si>
    <t>NPV</t>
  </si>
  <si>
    <t>Net IRR</t>
  </si>
  <si>
    <t>PROJECT INPUTS</t>
  </si>
  <si>
    <t>Solar Inputs</t>
  </si>
  <si>
    <t>SCENARIO CONTROLLER</t>
  </si>
  <si>
    <t>Fee Parameters</t>
  </si>
  <si>
    <t>Size of Array (kW)</t>
  </si>
  <si>
    <t>Select Scenario:</t>
  </si>
  <si>
    <t>Base</t>
  </si>
  <si>
    <t>Base Fee</t>
  </si>
  <si>
    <t>Estimated Annual Generation (kWh)</t>
  </si>
  <si>
    <t>(Options: Worst, Base, Best)</t>
  </si>
  <si>
    <t>Hurdle Rate</t>
  </si>
  <si>
    <t>Self Consumption %</t>
  </si>
  <si>
    <t>SCENARIO VALUES</t>
  </si>
  <si>
    <t>Performance Fee</t>
  </si>
  <si>
    <t>Energy Saved (kWh)</t>
  </si>
  <si>
    <t>Variable</t>
  </si>
  <si>
    <t>Worst</t>
  </si>
  <si>
    <t>Best</t>
  </si>
  <si>
    <t>Energy Exported (kWh)</t>
  </si>
  <si>
    <t>Electricity Rate (£/kWh)</t>
  </si>
  <si>
    <t>Installation Time (months)</t>
  </si>
  <si>
    <t>Annual O &amp; M</t>
  </si>
  <si>
    <t>Solar Cost</t>
  </si>
  <si>
    <t>Solar Approximate Cost (£)</t>
  </si>
  <si>
    <t>GPU Leasing Rate</t>
  </si>
  <si>
    <t>GPU Power Draw (kW)</t>
  </si>
  <si>
    <t>Project IRR</t>
  </si>
  <si>
    <t>Per GPU Cost</t>
  </si>
  <si>
    <t>Energy Inflation (Annual)</t>
  </si>
  <si>
    <t>SEG Rate (£/kWh)</t>
  </si>
  <si>
    <t>Assumed Length of SEG (Years)</t>
  </si>
  <si>
    <t>SEG Rate Increment to (£/kWh)</t>
  </si>
  <si>
    <t>PPA Length (Years)</t>
  </si>
  <si>
    <t>Discount Rate for PV</t>
  </si>
  <si>
    <t>Infllation (%) Annual</t>
  </si>
  <si>
    <t>GPU Inputs</t>
  </si>
  <si>
    <t>Number of GPUs</t>
  </si>
  <si>
    <t>GPU Leasing Rate (£/h)</t>
  </si>
  <si>
    <t>GPU Leasing Rate Index (%)</t>
  </si>
  <si>
    <t>Utilization %</t>
  </si>
  <si>
    <t>GPU Setup Cost (Incl, racks, cooling, fibre, power dist)</t>
  </si>
  <si>
    <t>Total GPU Cost</t>
  </si>
  <si>
    <t>Ancillaries Cost</t>
  </si>
  <si>
    <t>Salvage Value</t>
  </si>
  <si>
    <t>Calculations</t>
  </si>
  <si>
    <t>Total Funding Requirement</t>
  </si>
  <si>
    <t>Energy Required (kWh) for GPUs</t>
  </si>
  <si>
    <t>Additional Energy Required (kWh)</t>
  </si>
  <si>
    <t>GPU replacement Time (years)</t>
  </si>
  <si>
    <t>CASH FLOW ANALYSIS</t>
  </si>
  <si>
    <t>Year 1</t>
  </si>
  <si>
    <t>Year</t>
  </si>
  <si>
    <t>Investment</t>
  </si>
  <si>
    <t>GPU replacement Cost</t>
  </si>
  <si>
    <t>GPU Leasing Rate Increase</t>
  </si>
  <si>
    <t>Annual GPU CashFlow (Gross Revenue)</t>
  </si>
  <si>
    <t>Electricity Rate</t>
  </si>
  <si>
    <t>Export Rate (£/kWh)</t>
  </si>
  <si>
    <t>Additional Electricity Cost</t>
  </si>
  <si>
    <t>O&amp;M Costs</t>
  </si>
  <si>
    <t>Net Cash Flow</t>
  </si>
  <si>
    <t>Present Value</t>
  </si>
  <si>
    <t>Cumulative Cash Flow</t>
  </si>
  <si>
    <t>Note: All values in GBP (£). Cash flows include protocol share, and O&amp;M costs.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</si>
</sst>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_(* #,##0.00_);_(* \(#,##0.00\);_(* &quot;-&quot;??_);_(@_)"/>
    <numFmt numFmtId="165" formatCode="_(* #,##0_);_(* \(#,##0\);_(* &quot;-&quot;??_);_(@_)"/>
    <numFmt numFmtId="166" formatCode="_(&quot;$&quot;* #,##0.00_);_(&quot;$&quot;* \(#,##0.00\);_(&quot;$&quot;* &quot;-&quot;??_);_(@_)"/>
    <numFmt numFmtId="167" formatCode="\£#,##0.00"/>
    <numFmt numFmtId="168" formatCode="0.0%"/>
    <numFmt numFmtId="169" formatCode="0.0000"/>
  </numFmts>
  <fonts count="25">
    <font>
      <sz val="10.0"/>
      <color rgb="FF000000"/>
      <name val="Arial"/>
      <scheme val="minor"/>
    </font>
    <font>
      <b/>
      <sz val="12.0"/>
      <color rgb="FFFFFFFF"/>
      <name val="Sans-serif"/>
    </font>
    <font/>
    <font>
      <sz val="11.0"/>
      <color theme="1"/>
      <name val="Aptos Narrow"/>
    </font>
    <font>
      <b/>
      <sz val="10.0"/>
      <color rgb="FF404040"/>
      <name val="Sans-serif"/>
    </font>
    <font>
      <b/>
      <sz val="9.0"/>
      <color rgb="FFFFFFFF"/>
      <name val="Sans-serif"/>
    </font>
    <font>
      <b/>
      <sz val="8.0"/>
      <color rgb="FF404040"/>
      <name val="Arial"/>
    </font>
    <font>
      <b/>
      <sz val="9.0"/>
      <color rgb="FF404040"/>
      <name val="Sans-serif"/>
    </font>
    <font>
      <b/>
      <sz val="8.0"/>
      <color rgb="FF404040"/>
      <name val="Sans-serif"/>
    </font>
    <font>
      <b/>
      <sz val="10.0"/>
      <color rgb="FFFFFFFF"/>
      <name val="Sans-serif"/>
    </font>
    <font>
      <sz val="8.0"/>
      <color rgb="FF404040"/>
      <name val="Sans-serif"/>
    </font>
    <font>
      <b/>
      <sz val="8.0"/>
      <color rgb="FF0000FF"/>
      <name val="Sans-serif"/>
    </font>
    <font>
      <b/>
      <sz val="8.0"/>
      <color theme="1"/>
      <name val="Arial"/>
    </font>
    <font>
      <i/>
      <sz val="7.0"/>
      <color rgb="FF404040"/>
      <name val="Arial"/>
    </font>
    <font>
      <i/>
      <sz val="7.0"/>
      <color rgb="FF404040"/>
      <name val="Sans-serif"/>
    </font>
    <font>
      <b/>
      <sz val="8.0"/>
      <color rgb="FF0000FF"/>
      <name val="Arial"/>
    </font>
    <font>
      <b/>
      <sz val="8.0"/>
      <color rgb="FFFFFFFF"/>
      <name val="Sans-serif"/>
    </font>
    <font>
      <sz val="8.0"/>
      <color rgb="FF0000FF"/>
      <name val="Arial"/>
    </font>
    <font>
      <sz val="8.0"/>
      <color rgb="FF0000FF"/>
      <name val="Sans-serif"/>
    </font>
    <font>
      <sz val="8.0"/>
      <color rgb="FF404040"/>
      <name val="Arial"/>
    </font>
    <font>
      <i/>
      <sz val="7.0"/>
      <color rgb="FF666666"/>
      <name val="Sans-serif"/>
    </font>
    <font>
      <sz val="11.0"/>
      <color theme="1"/>
      <name val="Calibri"/>
    </font>
    <font>
      <b/>
      <sz val="7.0"/>
      <color theme="1"/>
      <name val="Sans-serif"/>
    </font>
    <font>
      <sz val="7.0"/>
      <color theme="1"/>
      <name val="Sans-serif"/>
    </font>
    <font>
      <sz val="7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2B579A"/>
        <bgColor rgb="FF2B579A"/>
      </patternFill>
    </fill>
    <fill>
      <patternFill patternType="solid">
        <fgColor rgb="FFB4D2F7"/>
        <bgColor rgb="FFB4D2F7"/>
      </patternFill>
    </fill>
    <fill>
      <patternFill patternType="solid">
        <fgColor rgb="FFF2F2F2"/>
        <bgColor rgb="FFF2F2F2"/>
      </patternFill>
    </fill>
    <fill>
      <patternFill patternType="solid">
        <fgColor rgb="FFE3EFFF"/>
        <bgColor rgb="FFE3EFFF"/>
      </patternFill>
    </fill>
    <fill>
      <patternFill patternType="solid">
        <fgColor rgb="FFC8C8C8"/>
        <bgColor rgb="FFC8C8C8"/>
      </patternFill>
    </fill>
    <fill>
      <patternFill patternType="solid">
        <fgColor rgb="FFBDD6EE"/>
        <bgColor rgb="FFBDD6EE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4472C4"/>
        <bgColor rgb="FF4472C4"/>
      </patternFill>
    </fill>
    <fill>
      <patternFill patternType="solid">
        <fgColor rgb="FFECF0F1"/>
        <bgColor rgb="FFECF0F1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48">
    <border/>
    <border>
      <left/>
      <top/>
      <bottom/>
    </border>
    <border>
      <top/>
      <bottom/>
    </border>
    <border>
      <left style="medium">
        <color rgb="FF404040"/>
      </left>
      <top style="medium">
        <color rgb="FF404040"/>
      </top>
      <bottom style="medium">
        <color rgb="FF404040"/>
      </bottom>
    </border>
    <border>
      <top style="medium">
        <color rgb="FF404040"/>
      </top>
      <bottom style="medium">
        <color rgb="FF404040"/>
      </bottom>
    </border>
    <border>
      <right style="medium">
        <color rgb="FF404040"/>
      </right>
      <top style="medium">
        <color rgb="FF404040"/>
      </top>
      <bottom style="medium">
        <color rgb="FF404040"/>
      </bottom>
    </border>
    <border>
      <left style="thin">
        <color rgb="FF404040"/>
      </left>
      <right/>
      <top/>
      <bottom style="thin">
        <color rgb="FFD9D9D9"/>
      </bottom>
    </border>
    <border>
      <left/>
      <right style="thin">
        <color rgb="FF404040"/>
      </right>
      <top/>
      <bottom style="thin">
        <color rgb="FFD9D9D9"/>
      </bottom>
    </border>
    <border>
      <left style="thin">
        <color rgb="FF404040"/>
      </left>
      <right style="thin">
        <color rgb="FFD9D9D9"/>
      </right>
      <top/>
      <bottom style="thin">
        <color rgb="FF404040"/>
      </bottom>
    </border>
    <border>
      <left/>
      <right style="thin">
        <color rgb="FF404040"/>
      </right>
      <top/>
      <bottom style="thin">
        <color rgb="FF404040"/>
      </bottom>
    </border>
    <border>
      <left style="thin">
        <color rgb="FF404040"/>
      </left>
      <right/>
      <top/>
      <bottom style="thin">
        <color rgb="FF404040"/>
      </bottom>
    </border>
    <border>
      <left style="thin">
        <color rgb="FF404040"/>
      </left>
      <right/>
      <top/>
      <bottom style="thin">
        <color rgb="FF000000"/>
      </bottom>
    </border>
    <border>
      <left/>
      <right style="thin">
        <color rgb="FF40404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404040"/>
      </bottom>
    </border>
    <border>
      <right style="thin">
        <color rgb="FF000000"/>
      </right>
      <top style="thin">
        <color rgb="FF000000"/>
      </top>
      <bottom style="medium">
        <color rgb="FF40404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top style="thin">
        <color rgb="FF000000"/>
      </top>
      <bottom style="medium">
        <color rgb="FF404040"/>
      </bottom>
    </border>
    <border>
      <left style="thin">
        <color rgb="FF000000"/>
      </left>
      <right/>
      <top/>
      <bottom style="thin">
        <color rgb="FFD9D9D9"/>
      </bottom>
    </border>
    <border>
      <left/>
      <right style="thin">
        <color rgb="FF000000"/>
      </right>
      <top/>
      <bottom style="thin">
        <color rgb="FFD9D9D9"/>
      </bottom>
    </border>
    <border>
      <left style="medium">
        <color rgb="FF404040"/>
      </left>
      <right style="medium">
        <color rgb="FF404040"/>
      </right>
      <top/>
      <bottom style="medium">
        <color rgb="FF404040"/>
      </bottom>
    </border>
    <border>
      <left style="thin">
        <color rgb="FF000000"/>
      </left>
      <right style="thin">
        <color rgb="FF404040"/>
      </right>
      <top/>
      <bottom/>
    </border>
    <border>
      <left style="thin">
        <color rgb="FF404040"/>
      </left>
      <right style="thin">
        <color rgb="FF404040"/>
      </right>
      <top/>
      <bottom/>
    </border>
    <border>
      <left style="thin">
        <color rgb="FF404040"/>
      </left>
      <right style="thin">
        <color rgb="FF000000"/>
      </right>
      <top/>
      <bottom/>
    </border>
    <border>
      <left style="thin">
        <color rgb="FF000000"/>
      </left>
      <top style="medium">
        <color rgb="FF404040"/>
      </top>
      <bottom style="medium">
        <color rgb="FF404040"/>
      </bottom>
    </border>
    <border>
      <right style="thin">
        <color rgb="FF000000"/>
      </right>
      <top style="medium">
        <color rgb="FF404040"/>
      </top>
      <bottom style="medium">
        <color rgb="FF40404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404040"/>
      </bottom>
    </border>
    <border>
      <left style="thin">
        <color rgb="FFD9D9D9"/>
      </left>
      <right style="thin">
        <color rgb="FF404040"/>
      </right>
      <top/>
      <bottom style="thin">
        <color rgb="FF404040"/>
      </bottom>
    </border>
    <border>
      <left style="thin">
        <color rgb="FFD9D9D9"/>
      </left>
      <right style="thin">
        <color rgb="FF000000"/>
      </right>
      <top/>
      <bottom style="thin">
        <color rgb="FF404040"/>
      </bottom>
    </border>
    <border>
      <left style="thin">
        <color rgb="FFD9D9D9"/>
      </left>
      <right style="thin">
        <color rgb="FF404040"/>
      </right>
      <top/>
      <bottom style="thin">
        <color rgb="FFD9D9D9"/>
      </bottom>
    </border>
    <border>
      <left style="thin">
        <color rgb="FFD9D9D9"/>
      </left>
      <right style="thin">
        <color rgb="FF000000"/>
      </right>
      <top/>
      <bottom style="thin">
        <color rgb="FFD9D9D9"/>
      </bottom>
    </border>
    <border>
      <left style="thin">
        <color rgb="FF000000"/>
      </left>
      <right/>
      <top/>
      <bottom/>
    </border>
    <border>
      <left style="thin">
        <color rgb="FFD9D9D9"/>
      </left>
      <right style="thin">
        <color rgb="FF404040"/>
      </right>
      <top/>
      <bottom style="thin">
        <color rgb="FF000000"/>
      </bottom>
    </border>
    <border>
      <left style="thin">
        <color rgb="FFD9D9D9"/>
      </left>
      <right style="thin">
        <color rgb="FF000000"/>
      </right>
      <top/>
      <bottom style="thin">
        <color rgb="FF000000"/>
      </bottom>
    </border>
    <border>
      <right style="medium">
        <color rgb="FF404040"/>
      </right>
      <top/>
      <bottom/>
    </border>
    <border>
      <left style="thin">
        <color rgb="FF404040"/>
      </left>
      <right style="thin">
        <color rgb="FF404040"/>
      </right>
      <top/>
      <bottom style="thin">
        <color rgb="FFD9D9D9"/>
      </bottom>
    </border>
    <border>
      <left style="thin">
        <color rgb="FF2C3E50"/>
      </left>
      <right style="thin">
        <color rgb="FF2C3E50"/>
      </right>
      <top/>
      <bottom style="thin">
        <color rgb="FF2C3E5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D3D3D3"/>
      </bottom>
    </border>
    <border>
      <left style="thin">
        <color rgb="FFD3D3D3"/>
      </left>
      <right style="thin">
        <color rgb="FFD3D3D3"/>
      </right>
      <bottom style="thin">
        <color rgb="FFD3D3D3"/>
      </bottom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</border>
    <border>
      <left style="thin">
        <color rgb="FFD3D3D3"/>
      </left>
      <right style="thin">
        <color rgb="FFD3D3D3"/>
      </right>
      <bottom style="thin">
        <color rgb="FF000000"/>
      </bottom>
    </border>
    <border>
      <top style="thick">
        <color rgb="FF4472C4"/>
      </top>
    </border>
    <border>
      <bottom style="thin">
        <color rgb="FFD9D9D9"/>
      </bottom>
    </border>
    <border>
      <right style="thin">
        <color rgb="FFD9D9D9"/>
      </right>
      <bottom style="thin">
        <color rgb="FFD9D9D9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0" fillId="0" fontId="3" numFmtId="0" xfId="0" applyAlignment="1" applyFont="1">
      <alignment vertical="top"/>
    </xf>
    <xf borderId="1" fillId="3" fontId="4" numFmtId="0" xfId="0" applyAlignment="1" applyBorder="1" applyFill="1" applyFont="1">
      <alignment horizontal="center" vertical="center"/>
    </xf>
    <xf borderId="3" fillId="2" fontId="5" numFmtId="0" xfId="0" applyAlignment="1" applyBorder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6" fillId="4" fontId="6" numFmtId="0" xfId="0" applyAlignment="1" applyBorder="1" applyFill="1" applyFont="1">
      <alignment vertical="center"/>
    </xf>
    <xf borderId="7" fillId="5" fontId="7" numFmtId="10" xfId="0" applyAlignment="1" applyBorder="1" applyFill="1" applyFont="1" applyNumberFormat="1">
      <alignment horizontal="right" vertical="center"/>
    </xf>
    <xf borderId="7" fillId="5" fontId="7" numFmtId="0" xfId="0" applyAlignment="1" applyBorder="1" applyFont="1">
      <alignment horizontal="right" vertical="center"/>
    </xf>
    <xf borderId="6" fillId="4" fontId="8" numFmtId="0" xfId="0" applyAlignment="1" applyBorder="1" applyFont="1">
      <alignment vertical="center"/>
    </xf>
    <xf borderId="7" fillId="5" fontId="7" numFmtId="4" xfId="0" applyAlignment="1" applyBorder="1" applyFont="1" applyNumberFormat="1">
      <alignment horizontal="right" vertical="center"/>
    </xf>
    <xf borderId="8" fillId="4" fontId="8" numFmtId="0" xfId="0" applyAlignment="1" applyBorder="1" applyFont="1">
      <alignment vertical="center"/>
    </xf>
    <xf borderId="9" fillId="6" fontId="7" numFmtId="2" xfId="0" applyAlignment="1" applyBorder="1" applyFill="1" applyFont="1" applyNumberFormat="1">
      <alignment horizontal="right" vertical="center"/>
    </xf>
    <xf borderId="9" fillId="5" fontId="7" numFmtId="0" xfId="0" applyAlignment="1" applyBorder="1" applyFont="1">
      <alignment horizontal="right" vertical="center"/>
    </xf>
    <xf borderId="10" fillId="4" fontId="8" numFmtId="0" xfId="0" applyAlignment="1" applyBorder="1" applyFont="1">
      <alignment vertical="center"/>
    </xf>
    <xf borderId="9" fillId="5" fontId="7" numFmtId="4" xfId="0" applyAlignment="1" applyBorder="1" applyFont="1" applyNumberFormat="1">
      <alignment horizontal="right" vertical="center"/>
    </xf>
    <xf borderId="9" fillId="6" fontId="7" numFmtId="164" xfId="0" applyAlignment="1" applyBorder="1" applyFont="1" applyNumberFormat="1">
      <alignment horizontal="right" vertical="center"/>
    </xf>
    <xf borderId="11" fillId="4" fontId="6" numFmtId="0" xfId="0" applyAlignment="1" applyBorder="1" applyFont="1">
      <alignment vertical="center"/>
    </xf>
    <xf borderId="12" fillId="5" fontId="7" numFmtId="10" xfId="0" applyAlignment="1" applyBorder="1" applyFont="1" applyNumberFormat="1">
      <alignment horizontal="right" vertical="center"/>
    </xf>
    <xf borderId="13" fillId="2" fontId="9" numFmtId="0" xfId="0" applyAlignment="1" applyBorder="1" applyFont="1">
      <alignment horizontal="center" vertical="center"/>
    </xf>
    <xf borderId="14" fillId="0" fontId="2" numFmtId="0" xfId="0" applyBorder="1" applyFont="1"/>
    <xf borderId="15" fillId="7" fontId="8" numFmtId="0" xfId="0" applyAlignment="1" applyBorder="1" applyFill="1" applyFont="1">
      <alignment horizontal="center" vertical="center"/>
    </xf>
    <xf borderId="16" fillId="0" fontId="2" numFmtId="0" xfId="0" applyBorder="1" applyFont="1"/>
    <xf borderId="13" fillId="2" fontId="5" numFmtId="0" xfId="0" applyAlignment="1" applyBorder="1" applyFont="1">
      <alignment horizontal="center" vertical="center"/>
    </xf>
    <xf borderId="17" fillId="0" fontId="2" numFmtId="0" xfId="0" applyBorder="1" applyFont="1"/>
    <xf borderId="18" fillId="4" fontId="10" numFmtId="0" xfId="0" applyAlignment="1" applyBorder="1" applyFont="1">
      <alignment horizontal="left" vertical="center"/>
    </xf>
    <xf borderId="19" fillId="5" fontId="11" numFmtId="1" xfId="0" applyAlignment="1" applyBorder="1" applyFont="1" applyNumberFormat="1">
      <alignment horizontal="right" vertical="center"/>
    </xf>
    <xf borderId="18" fillId="4" fontId="8" numFmtId="0" xfId="0" applyAlignment="1" applyBorder="1" applyFont="1">
      <alignment horizontal="right" vertical="center"/>
    </xf>
    <xf borderId="6" fillId="4" fontId="8" numFmtId="0" xfId="0" applyAlignment="1" applyBorder="1" applyFont="1">
      <alignment horizontal="right" vertical="center"/>
    </xf>
    <xf borderId="20" fillId="8" fontId="7" numFmtId="0" xfId="0" applyAlignment="1" applyBorder="1" applyFill="1" applyFont="1">
      <alignment horizontal="center" vertical="center"/>
    </xf>
    <xf borderId="19" fillId="4" fontId="10" numFmtId="0" xfId="0" applyAlignment="1" applyBorder="1" applyFont="1">
      <alignment vertical="center"/>
    </xf>
    <xf borderId="19" fillId="5" fontId="12" numFmtId="10" xfId="0" applyAlignment="1" applyBorder="1" applyFont="1" applyNumberFormat="1">
      <alignment horizontal="center" vertical="center"/>
    </xf>
    <xf borderId="19" fillId="5" fontId="11" numFmtId="165" xfId="0" applyAlignment="1" applyBorder="1" applyFont="1" applyNumberFormat="1">
      <alignment horizontal="right" vertical="center"/>
    </xf>
    <xf borderId="21" fillId="4" fontId="13" numFmtId="0" xfId="0" applyAlignment="1" applyBorder="1" applyFont="1">
      <alignment horizontal="center" vertical="center"/>
    </xf>
    <xf borderId="22" fillId="4" fontId="14" numFmtId="0" xfId="0" applyAlignment="1" applyBorder="1" applyFont="1">
      <alignment horizontal="center" vertical="center"/>
    </xf>
    <xf borderId="23" fillId="4" fontId="14" numFmtId="0" xfId="0" applyAlignment="1" applyBorder="1" applyFont="1">
      <alignment horizontal="center" vertical="center"/>
    </xf>
    <xf borderId="19" fillId="5" fontId="15" numFmtId="10" xfId="0" applyAlignment="1" applyBorder="1" applyFont="1" applyNumberFormat="1">
      <alignment horizontal="right" readingOrder="0" vertical="center"/>
    </xf>
    <xf borderId="24" fillId="2" fontId="16" numFmtId="0" xfId="0" applyAlignment="1" applyBorder="1" applyFont="1">
      <alignment horizontal="center" vertical="center"/>
    </xf>
    <xf borderId="25" fillId="0" fontId="2" numFmtId="0" xfId="0" applyBorder="1" applyFont="1"/>
    <xf borderId="26" fillId="4" fontId="10" numFmtId="0" xfId="0" applyAlignment="1" applyBorder="1" applyFont="1">
      <alignment horizontal="left" vertical="center"/>
    </xf>
    <xf borderId="27" fillId="5" fontId="12" numFmtId="10" xfId="0" applyAlignment="1" applyBorder="1" applyFont="1" applyNumberFormat="1">
      <alignment horizontal="center" vertical="center"/>
    </xf>
    <xf borderId="19" fillId="5" fontId="8" numFmtId="164" xfId="0" applyAlignment="1" applyBorder="1" applyFont="1" applyNumberFormat="1">
      <alignment horizontal="right" vertical="center"/>
    </xf>
    <xf borderId="28" fillId="9" fontId="8" numFmtId="0" xfId="0" applyAlignment="1" applyBorder="1" applyFill="1" applyFont="1">
      <alignment horizontal="left" vertical="center"/>
    </xf>
    <xf borderId="29" fillId="9" fontId="8" numFmtId="0" xfId="0" applyAlignment="1" applyBorder="1" applyFont="1">
      <alignment horizontal="center" vertical="center"/>
    </xf>
    <xf borderId="30" fillId="9" fontId="8" numFmtId="0" xfId="0" applyAlignment="1" applyBorder="1" applyFont="1">
      <alignment horizontal="center" vertical="center"/>
    </xf>
    <xf borderId="19" fillId="5" fontId="8" numFmtId="0" xfId="0" applyAlignment="1" applyBorder="1" applyFont="1">
      <alignment horizontal="right" vertical="center"/>
    </xf>
    <xf borderId="31" fillId="5" fontId="17" numFmtId="166" xfId="0" applyAlignment="1" applyBorder="1" applyFont="1" applyNumberFormat="1">
      <alignment horizontal="center" readingOrder="0" vertical="center"/>
    </xf>
    <xf borderId="31" fillId="5" fontId="18" numFmtId="166" xfId="0" applyAlignment="1" applyBorder="1" applyFont="1" applyNumberFormat="1">
      <alignment horizontal="center" vertical="center"/>
    </xf>
    <xf borderId="32" fillId="5" fontId="17" numFmtId="166" xfId="0" applyAlignment="1" applyBorder="1" applyFont="1" applyNumberFormat="1">
      <alignment horizontal="center" readingOrder="0" vertical="center"/>
    </xf>
    <xf borderId="19" fillId="5" fontId="8" numFmtId="166" xfId="0" applyAlignment="1" applyBorder="1" applyFont="1" applyNumberFormat="1">
      <alignment horizontal="right" vertical="center"/>
    </xf>
    <xf borderId="31" fillId="5" fontId="18" numFmtId="0" xfId="0" applyAlignment="1" applyBorder="1" applyFont="1">
      <alignment horizontal="center" vertical="center"/>
    </xf>
    <xf borderId="32" fillId="5" fontId="18" numFmtId="0" xfId="0" applyAlignment="1" applyBorder="1" applyFont="1">
      <alignment horizontal="center" vertical="center"/>
    </xf>
    <xf borderId="19" fillId="5" fontId="11" numFmtId="166" xfId="0" applyAlignment="1" applyBorder="1" applyFont="1" applyNumberFormat="1">
      <alignment horizontal="right" vertical="center"/>
    </xf>
    <xf borderId="32" fillId="5" fontId="18" numFmtId="166" xfId="0" applyAlignment="1" applyBorder="1" applyFont="1" applyNumberFormat="1">
      <alignment horizontal="center" vertical="center"/>
    </xf>
    <xf borderId="19" fillId="5" fontId="8" numFmtId="167" xfId="0" applyAlignment="1" applyBorder="1" applyFont="1" applyNumberFormat="1">
      <alignment horizontal="right" vertical="center"/>
    </xf>
    <xf borderId="33" fillId="4" fontId="10" numFmtId="0" xfId="0" applyAlignment="1" applyBorder="1" applyFont="1">
      <alignment horizontal="left" vertical="center"/>
    </xf>
    <xf borderId="31" fillId="5" fontId="17" numFmtId="0" xfId="0" applyAlignment="1" applyBorder="1" applyFont="1">
      <alignment horizontal="center" readingOrder="0" vertical="center"/>
    </xf>
    <xf borderId="32" fillId="5" fontId="17" numFmtId="0" xfId="0" applyAlignment="1" applyBorder="1" applyFont="1">
      <alignment horizontal="center" readingOrder="0" vertical="center"/>
    </xf>
    <xf borderId="19" fillId="5" fontId="8" numFmtId="10" xfId="0" applyAlignment="1" applyBorder="1" applyFont="1" applyNumberFormat="1">
      <alignment horizontal="right" vertical="center"/>
    </xf>
    <xf borderId="34" fillId="5" fontId="17" numFmtId="166" xfId="0" applyAlignment="1" applyBorder="1" applyFont="1" applyNumberFormat="1">
      <alignment horizontal="center" vertical="center"/>
    </xf>
    <xf borderId="35" fillId="5" fontId="18" numFmtId="166" xfId="0" applyAlignment="1" applyBorder="1" applyFont="1" applyNumberFormat="1">
      <alignment horizontal="center" vertical="center"/>
    </xf>
    <xf borderId="19" fillId="5" fontId="11" numFmtId="10" xfId="0" applyAlignment="1" applyBorder="1" applyFont="1" applyNumberFormat="1">
      <alignment horizontal="right" vertical="center"/>
    </xf>
    <xf borderId="19" fillId="5" fontId="15" numFmtId="166" xfId="0" applyAlignment="1" applyBorder="1" applyFont="1" applyNumberFormat="1">
      <alignment horizontal="right" readingOrder="0" vertical="center"/>
    </xf>
    <xf borderId="19" fillId="5" fontId="11" numFmtId="4" xfId="0" applyAlignment="1" applyBorder="1" applyFont="1" applyNumberFormat="1">
      <alignment horizontal="right" vertical="center"/>
    </xf>
    <xf borderId="19" fillId="5" fontId="8" numFmtId="2" xfId="0" applyAlignment="1" applyBorder="1" applyFont="1" applyNumberFormat="1">
      <alignment horizontal="right" vertical="center"/>
    </xf>
    <xf borderId="19" fillId="5" fontId="15" numFmtId="168" xfId="0" applyAlignment="1" applyBorder="1" applyFont="1" applyNumberFormat="1">
      <alignment horizontal="right" readingOrder="0" vertical="center"/>
    </xf>
    <xf borderId="27" fillId="5" fontId="15" numFmtId="168" xfId="0" applyAlignment="1" applyBorder="1" applyFont="1" applyNumberFormat="1">
      <alignment horizontal="right" readingOrder="0" vertical="center"/>
    </xf>
    <xf borderId="18" fillId="4" fontId="19" numFmtId="0" xfId="0" applyAlignment="1" applyBorder="1" applyFont="1">
      <alignment horizontal="left" vertical="center"/>
    </xf>
    <xf borderId="19" fillId="5" fontId="15" numFmtId="166" xfId="0" applyAlignment="1" applyBorder="1" applyFont="1" applyNumberFormat="1">
      <alignment horizontal="right" vertical="center"/>
    </xf>
    <xf borderId="19" fillId="5" fontId="15" numFmtId="10" xfId="0" applyAlignment="1" applyBorder="1" applyFont="1" applyNumberFormat="1">
      <alignment horizontal="right" vertical="center"/>
    </xf>
    <xf borderId="27" fillId="5" fontId="15" numFmtId="164" xfId="0" applyAlignment="1" applyBorder="1" applyFont="1" applyNumberFormat="1">
      <alignment horizontal="right" vertical="center"/>
    </xf>
    <xf borderId="0" fillId="0" fontId="20" numFmtId="0" xfId="0" applyAlignment="1" applyFont="1">
      <alignment vertical="top"/>
    </xf>
    <xf borderId="1" fillId="10" fontId="5" numFmtId="0" xfId="0" applyAlignment="1" applyBorder="1" applyFill="1" applyFont="1">
      <alignment horizontal="center" vertical="center"/>
    </xf>
    <xf borderId="36" fillId="0" fontId="2" numFmtId="0" xfId="0" applyBorder="1" applyFont="1"/>
    <xf borderId="37" fillId="4" fontId="8" numFmtId="0" xfId="0" applyAlignment="1" applyBorder="1" applyFont="1">
      <alignment vertical="center"/>
    </xf>
    <xf borderId="38" fillId="11" fontId="21" numFmtId="0" xfId="0" applyAlignment="1" applyBorder="1" applyFill="1" applyFont="1">
      <alignment vertical="top"/>
    </xf>
    <xf borderId="39" fillId="12" fontId="22" numFmtId="0" xfId="0" applyAlignment="1" applyBorder="1" applyFill="1" applyFont="1">
      <alignment horizontal="center" vertical="top"/>
    </xf>
    <xf borderId="40" fillId="4" fontId="23" numFmtId="0" xfId="0" applyAlignment="1" applyBorder="1" applyFont="1">
      <alignment vertical="top"/>
    </xf>
    <xf borderId="41" fillId="0" fontId="21" numFmtId="4" xfId="0" applyAlignment="1" applyBorder="1" applyFont="1" applyNumberFormat="1">
      <alignment horizontal="right" vertical="top"/>
    </xf>
    <xf borderId="40" fillId="4" fontId="24" numFmtId="0" xfId="0" applyAlignment="1" applyBorder="1" applyFont="1">
      <alignment vertical="top"/>
    </xf>
    <xf borderId="41" fillId="0" fontId="21" numFmtId="167" xfId="0" applyAlignment="1" applyBorder="1" applyFont="1" applyNumberFormat="1">
      <alignment horizontal="right" vertical="top"/>
    </xf>
    <xf borderId="41" fillId="0" fontId="21" numFmtId="2" xfId="0" applyAlignment="1" applyBorder="1" applyFont="1" applyNumberFormat="1">
      <alignment horizontal="right" vertical="top"/>
    </xf>
    <xf borderId="41" fillId="0" fontId="21" numFmtId="164" xfId="0" applyAlignment="1" applyBorder="1" applyFont="1" applyNumberFormat="1">
      <alignment horizontal="right" vertical="top"/>
    </xf>
    <xf borderId="41" fillId="0" fontId="21" numFmtId="0" xfId="0" applyAlignment="1" applyBorder="1" applyFont="1">
      <alignment horizontal="right" vertical="top"/>
    </xf>
    <xf borderId="41" fillId="0" fontId="21" numFmtId="169" xfId="0" applyAlignment="1" applyBorder="1" applyFont="1" applyNumberFormat="1">
      <alignment horizontal="right" vertical="top"/>
    </xf>
    <xf borderId="0" fillId="0" fontId="21" numFmtId="169" xfId="0" applyAlignment="1" applyFont="1" applyNumberFormat="1">
      <alignment horizontal="right" vertical="top"/>
    </xf>
    <xf borderId="42" fillId="0" fontId="21" numFmtId="4" xfId="0" applyAlignment="1" applyBorder="1" applyFont="1" applyNumberFormat="1">
      <alignment horizontal="right" vertical="top"/>
    </xf>
    <xf borderId="0" fillId="0" fontId="21" numFmtId="4" xfId="0" applyAlignment="1" applyFont="1" applyNumberFormat="1">
      <alignment horizontal="right" vertical="top"/>
    </xf>
    <xf borderId="26" fillId="4" fontId="23" numFmtId="0" xfId="0" applyAlignment="1" applyBorder="1" applyFont="1">
      <alignment vertical="top"/>
    </xf>
    <xf borderId="43" fillId="0" fontId="21" numFmtId="4" xfId="0" applyAlignment="1" applyBorder="1" applyFont="1" applyNumberFormat="1">
      <alignment horizontal="right" vertical="top"/>
    </xf>
    <xf borderId="44" fillId="0" fontId="21" numFmtId="0" xfId="0" applyAlignment="1" applyBorder="1" applyFont="1">
      <alignment vertical="top"/>
    </xf>
    <xf borderId="45" fillId="0" fontId="20" numFmtId="0" xfId="0" applyAlignment="1" applyBorder="1" applyFont="1">
      <alignment vertical="top"/>
    </xf>
    <xf borderId="45" fillId="0" fontId="2" numFmtId="0" xfId="0" applyBorder="1" applyFont="1"/>
    <xf borderId="46" fillId="0" fontId="2" numFmtId="0" xfId="0" applyBorder="1" applyFont="1"/>
    <xf borderId="0" fillId="0" fontId="21" numFmtId="0" xfId="0" applyAlignment="1" applyFont="1">
      <alignment vertical="top"/>
    </xf>
    <xf borderId="47" fillId="2" fontId="16" numFmtId="0" xfId="0" applyAlignment="1" applyBorder="1" applyFont="1">
      <alignment horizontal="center" vertical="center"/>
    </xf>
    <xf borderId="47" fillId="4" fontId="10" numFmtId="0" xfId="0" applyAlignment="1" applyBorder="1" applyFont="1">
      <alignment horizontal="center" vertical="center"/>
    </xf>
    <xf borderId="47" fillId="13" fontId="10" numFmtId="165" xfId="0" applyAlignment="1" applyBorder="1" applyFill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Project Cash Flows Over Time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Year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val>
            <c:numRef>
              <c:f>'GPU+Solar'!$A$67:$A$92</c:f>
              <c:numCache/>
            </c:numRef>
          </c:val>
        </c:ser>
        <c:ser>
          <c:idx val="1"/>
          <c:order val="1"/>
          <c:tx>
            <c:v>Net Cash Flow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val>
            <c:numRef>
              <c:f>'GPU+Solar'!$B$67:$B$92</c:f>
              <c:numCache/>
            </c:numRef>
          </c:val>
        </c:ser>
        <c:ser>
          <c:idx val="2"/>
          <c:order val="2"/>
          <c:tx>
            <c:v>Cumulative Cash Flow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val>
            <c:numRef>
              <c:f>'GPU+Solar'!$C$67:$C$92</c:f>
              <c:numCache/>
            </c:numRef>
          </c:val>
        </c:ser>
        <c:axId val="1118846571"/>
        <c:axId val="1411437568"/>
      </c:barChart>
      <c:catAx>
        <c:axId val="11188465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411437568"/>
      </c:catAx>
      <c:valAx>
        <c:axId val="14114375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118846571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828675</xdr:colOff>
      <xdr:row>64</xdr:row>
      <xdr:rowOff>66675</xdr:rowOff>
    </xdr:from>
    <xdr:ext cx="6276975" cy="2771775"/>
    <xdr:graphicFrame>
      <xdr:nvGraphicFramePr>
        <xdr:cNvPr id="689319828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5.75"/>
    <col customWidth="1" min="2" max="2" width="14.25"/>
    <col customWidth="1" min="3" max="3" width="18.75"/>
    <col customWidth="1" min="4" max="4" width="27.38"/>
    <col customWidth="1" min="5" max="5" width="21.0"/>
    <col customWidth="1" min="6" max="6" width="13.25"/>
    <col customWidth="1" min="7" max="7" width="17.13"/>
    <col customWidth="1" min="8" max="8" width="13.25"/>
    <col customWidth="1" min="9" max="9" width="14.75"/>
    <col customWidth="1" min="10" max="10" width="12.88"/>
    <col customWidth="1" min="11" max="11" width="21.75"/>
    <col customWidth="1" min="12" max="12" width="20.13"/>
    <col customWidth="1" min="13" max="15" width="14.25"/>
    <col customWidth="1" min="16" max="20" width="12.75"/>
    <col customWidth="1" min="21" max="27" width="12.88"/>
    <col customWidth="1" min="28" max="28" width="8.88"/>
  </cols>
  <sheetData>
    <row r="1" ht="22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8.75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0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8.75" customHeight="1">
      <c r="A4" s="5" t="s">
        <v>2</v>
      </c>
      <c r="B4" s="6"/>
      <c r="C4" s="7"/>
      <c r="D4" s="5" t="s">
        <v>3</v>
      </c>
      <c r="E4" s="6"/>
      <c r="F4" s="7"/>
      <c r="G4" s="5" t="s">
        <v>4</v>
      </c>
      <c r="H4" s="6"/>
      <c r="I4" s="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5.0" customHeight="1">
      <c r="A5" s="8" t="s">
        <v>5</v>
      </c>
      <c r="B5" s="9">
        <f>B21</f>
        <v>0.2472006119</v>
      </c>
      <c r="C5" s="10"/>
      <c r="D5" s="11" t="s">
        <v>6</v>
      </c>
      <c r="E5" s="12">
        <f>B19</f>
        <v>131625</v>
      </c>
      <c r="F5" s="10"/>
      <c r="G5" s="11"/>
      <c r="H5" s="12"/>
      <c r="I5" s="10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5.0" customHeight="1">
      <c r="A6" s="13" t="s">
        <v>7</v>
      </c>
      <c r="B6" s="14">
        <f>B26</f>
        <v>4.832359824</v>
      </c>
      <c r="C6" s="15"/>
      <c r="D6" s="16" t="s">
        <v>8</v>
      </c>
      <c r="E6" s="17">
        <f>AA61</f>
        <v>4463565.084</v>
      </c>
      <c r="F6" s="15"/>
      <c r="G6" s="16" t="s">
        <v>9</v>
      </c>
      <c r="H6" s="17">
        <f>C59</f>
        <v>30563.32026</v>
      </c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5.0" customHeight="1">
      <c r="A7" s="13" t="s">
        <v>10</v>
      </c>
      <c r="B7" s="18">
        <f>SUM(B60:AA60)</f>
        <v>1640135.257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5.75" customHeight="1">
      <c r="A8" s="19" t="s">
        <v>11</v>
      </c>
      <c r="B8" s="20">
        <f>$B$5*(1-IF($B$5&lt;=$J$13,$J$12,$J$12+$J$14*($B$5-$J$13)))</f>
        <v>0.2067585162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1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8.75" customHeight="1">
      <c r="A10" s="21" t="s">
        <v>12</v>
      </c>
      <c r="B10" s="2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5.0" customHeight="1">
      <c r="A11" s="23" t="s">
        <v>13</v>
      </c>
      <c r="B11" s="24"/>
      <c r="C11" s="3"/>
      <c r="D11" s="5" t="s">
        <v>14</v>
      </c>
      <c r="E11" s="6"/>
      <c r="F11" s="6"/>
      <c r="G11" s="7"/>
      <c r="H11" s="3"/>
      <c r="I11" s="25" t="s">
        <v>15</v>
      </c>
      <c r="J11" s="26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5.0" customHeight="1">
      <c r="A12" s="27" t="s">
        <v>16</v>
      </c>
      <c r="B12" s="28">
        <v>150.0</v>
      </c>
      <c r="C12" s="3"/>
      <c r="D12" s="29" t="s">
        <v>17</v>
      </c>
      <c r="E12" s="30"/>
      <c r="F12" s="31" t="s">
        <v>18</v>
      </c>
      <c r="G12" s="32"/>
      <c r="H12" s="3"/>
      <c r="I12" s="27" t="s">
        <v>19</v>
      </c>
      <c r="J12" s="33">
        <v>0.1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5.0" customHeight="1">
      <c r="A13" s="27" t="s">
        <v>20</v>
      </c>
      <c r="B13" s="34">
        <v>120900.0</v>
      </c>
      <c r="C13" s="3"/>
      <c r="D13" s="35" t="s">
        <v>21</v>
      </c>
      <c r="E13" s="36"/>
      <c r="F13" s="36"/>
      <c r="G13" s="37"/>
      <c r="H13" s="3"/>
      <c r="I13" s="27" t="s">
        <v>22</v>
      </c>
      <c r="J13" s="33">
        <v>0.12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5.0" customHeight="1">
      <c r="A14" s="27" t="s">
        <v>23</v>
      </c>
      <c r="B14" s="38">
        <v>0.418</v>
      </c>
      <c r="C14" s="3"/>
      <c r="D14" s="39" t="s">
        <v>24</v>
      </c>
      <c r="E14" s="6"/>
      <c r="F14" s="6"/>
      <c r="G14" s="40"/>
      <c r="H14" s="3"/>
      <c r="I14" s="41" t="s">
        <v>25</v>
      </c>
      <c r="J14" s="42">
        <v>0.5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5.0" customHeight="1">
      <c r="A15" s="27" t="s">
        <v>26</v>
      </c>
      <c r="B15" s="43">
        <f>B13*B14</f>
        <v>50536.2</v>
      </c>
      <c r="C15" s="3"/>
      <c r="D15" s="44" t="s">
        <v>27</v>
      </c>
      <c r="E15" s="45" t="s">
        <v>28</v>
      </c>
      <c r="F15" s="45" t="s">
        <v>18</v>
      </c>
      <c r="G15" s="46" t="s">
        <v>29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5.0" customHeight="1">
      <c r="A16" s="27" t="s">
        <v>30</v>
      </c>
      <c r="B16" s="47">
        <f>B13*(1-B14)</f>
        <v>70363.8</v>
      </c>
      <c r="C16" s="3"/>
      <c r="D16" s="27" t="s">
        <v>31</v>
      </c>
      <c r="E16" s="48">
        <v>0.3</v>
      </c>
      <c r="F16" s="49">
        <f>0.25*1.35</f>
        <v>0.3375</v>
      </c>
      <c r="G16" s="50">
        <v>0.4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5.0" customHeight="1">
      <c r="A17" s="27" t="s">
        <v>31</v>
      </c>
      <c r="B17" s="51">
        <f t="array" ref="B17">INDEX($E$16:$G$16,1,MATCH($F$12,$E$15:$G$15,0))</f>
        <v>0.3375</v>
      </c>
      <c r="C17" s="3"/>
      <c r="D17" s="27" t="s">
        <v>32</v>
      </c>
      <c r="E17" s="52">
        <v>2.0</v>
      </c>
      <c r="F17" s="52">
        <v>1.5</v>
      </c>
      <c r="G17" s="53">
        <v>1.0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5.0" customHeight="1">
      <c r="A18" s="27" t="s">
        <v>33</v>
      </c>
      <c r="B18" s="54">
        <v>7250.0</v>
      </c>
      <c r="C18" s="3"/>
      <c r="D18" s="27" t="s">
        <v>34</v>
      </c>
      <c r="E18" s="49">
        <f>B12*700*1.35</f>
        <v>141750</v>
      </c>
      <c r="F18" s="49">
        <f>B12*650*1.35</f>
        <v>131625</v>
      </c>
      <c r="G18" s="55">
        <f>B12*600*1.35</f>
        <v>121500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5.0" customHeight="1">
      <c r="A19" s="27" t="s">
        <v>35</v>
      </c>
      <c r="B19" s="56">
        <f t="array" ref="B19">INDEX($E$18:$G$18,1,MATCH($F$12,$E$15:$G$15,0))</f>
        <v>131625</v>
      </c>
      <c r="C19" s="3"/>
      <c r="D19" s="57" t="s">
        <v>36</v>
      </c>
      <c r="E19" s="49">
        <v>2.0</v>
      </c>
      <c r="F19" s="49">
        <v>2.5</v>
      </c>
      <c r="G19" s="55">
        <v>3.0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5.0" customHeight="1">
      <c r="A20" s="27" t="s">
        <v>32</v>
      </c>
      <c r="B20" s="47">
        <f t="array" ref="B20">INDEX($E$17:$G$17,1,MATCH($F$12,$E$15:$G$15,0))</f>
        <v>1.5</v>
      </c>
      <c r="C20" s="3"/>
      <c r="D20" s="57" t="s">
        <v>37</v>
      </c>
      <c r="E20" s="58">
        <v>2.0</v>
      </c>
      <c r="F20" s="58">
        <v>1.5</v>
      </c>
      <c r="G20" s="59">
        <v>1.0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5.0" customHeight="1">
      <c r="A21" s="27" t="s">
        <v>38</v>
      </c>
      <c r="B21" s="60">
        <f>IRR(B59:AA59)</f>
        <v>0.2472006119</v>
      </c>
      <c r="C21" s="3"/>
      <c r="D21" s="41" t="s">
        <v>39</v>
      </c>
      <c r="E21" s="61">
        <v>27500.0</v>
      </c>
      <c r="F21" s="61">
        <v>25000.0</v>
      </c>
      <c r="G21" s="62">
        <v>22500.0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5.0" customHeight="1">
      <c r="A22" s="27" t="s">
        <v>40</v>
      </c>
      <c r="B22" s="63">
        <v>0.05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5.0" customHeight="1">
      <c r="A23" s="27" t="s">
        <v>41</v>
      </c>
      <c r="B23" s="64">
        <f>0.07*1.35</f>
        <v>0.0945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5.0" customHeight="1">
      <c r="A24" s="27" t="s">
        <v>42</v>
      </c>
      <c r="B24" s="65">
        <v>10.0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5.0" customHeight="1">
      <c r="A25" s="27" t="s">
        <v>43</v>
      </c>
      <c r="B25" s="54">
        <v>0.01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5.0" customHeight="1">
      <c r="A26" s="27" t="s">
        <v>7</v>
      </c>
      <c r="B26" s="66">
        <f t="array" ref="B26">IF(B61&gt;=0,0,IF(AA61&lt;0,"Payback not achieved in 25 years",MATCH(TRUE,C61:AA61&gt;=0,0)-1+(-INDEX(B61:AA61,MATCH(TRUE,C61:AA61&gt;=0,0))/INDEX(B59:AA59,MATCH(TRUE,C61:AA61&gt;=0,0)+1))))</f>
        <v>4.832359824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5.0" customHeight="1">
      <c r="A27" s="27" t="s">
        <v>44</v>
      </c>
      <c r="B27" s="65">
        <v>25.0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5.0" customHeight="1">
      <c r="A28" s="27" t="s">
        <v>45</v>
      </c>
      <c r="B28" s="67">
        <v>0.06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5.0" customHeight="1">
      <c r="A29" s="41" t="s">
        <v>46</v>
      </c>
      <c r="B29" s="68">
        <v>0.04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5.0" customHeight="1">
      <c r="A31" s="23" t="s">
        <v>47</v>
      </c>
      <c r="B31" s="2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5.0" customHeight="1">
      <c r="A32" s="27" t="s">
        <v>37</v>
      </c>
      <c r="B32" s="47">
        <f t="array" ref="B32">INDEX($E$20:$G$20,1,MATCH($F$12,$E$15:$G$15,0))</f>
        <v>1.5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5.0" customHeight="1">
      <c r="A33" s="27" t="s">
        <v>48</v>
      </c>
      <c r="B33" s="34">
        <v>10.0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5.0" customHeight="1">
      <c r="A34" s="27" t="s">
        <v>49</v>
      </c>
      <c r="B34" s="51">
        <f t="array" ref="B34">INDEX($E$19:$G$19,1,MATCH($F$12,$E$15:$G$15,0))</f>
        <v>2.5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5.0" customHeight="1">
      <c r="A35" s="27" t="s">
        <v>50</v>
      </c>
      <c r="B35" s="38">
        <v>0.05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5.0" customHeight="1">
      <c r="A36" s="27" t="s">
        <v>51</v>
      </c>
      <c r="B36" s="38">
        <v>0.8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5.0" customHeight="1">
      <c r="A37" s="27" t="s">
        <v>52</v>
      </c>
      <c r="B37" s="51">
        <f t="array" ref="B37">INDEX($E$21:$G$21,1,MATCH($F$12,$E$15:$G$15,0))</f>
        <v>25000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5.0" customHeight="1">
      <c r="A38" s="27" t="s">
        <v>53</v>
      </c>
      <c r="B38" s="51">
        <f>B33*B37</f>
        <v>250000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5.0" customHeight="1">
      <c r="A39" s="69" t="s">
        <v>54</v>
      </c>
      <c r="B39" s="70">
        <v>25000.0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5.0" customHeight="1">
      <c r="A40" s="69" t="s">
        <v>55</v>
      </c>
      <c r="B40" s="71">
        <v>0.5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5.0" customHeight="1">
      <c r="A41" s="23" t="s">
        <v>56</v>
      </c>
      <c r="B41" s="2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5.0" customHeight="1">
      <c r="A42" s="27" t="s">
        <v>57</v>
      </c>
      <c r="B42" s="51">
        <f>B38+B19+B39</f>
        <v>406625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5.0" customHeight="1">
      <c r="A43" s="27" t="s">
        <v>58</v>
      </c>
      <c r="B43" s="43">
        <f>B32*B33*B36*24*365</f>
        <v>105120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5.0" customHeight="1">
      <c r="A44" s="27" t="s">
        <v>59</v>
      </c>
      <c r="B44" s="43">
        <f>B43-B15</f>
        <v>54583.8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5.0" customHeight="1">
      <c r="A45" s="41" t="s">
        <v>60</v>
      </c>
      <c r="B45" s="72">
        <v>3.0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5.75" customHeight="1">
      <c r="A46" s="7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8.75" customHeight="1">
      <c r="A47" s="74" t="s">
        <v>61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75"/>
      <c r="AB47" s="3"/>
    </row>
    <row r="48" ht="15.0" customHeight="1">
      <c r="A48" s="73"/>
      <c r="B48" s="73"/>
      <c r="C48" s="76" t="s">
        <v>62</v>
      </c>
      <c r="D48" s="76"/>
      <c r="E48" s="76"/>
      <c r="F48" s="76"/>
      <c r="G48" s="76"/>
      <c r="H48" s="76"/>
      <c r="I48" s="76"/>
      <c r="J48" s="76"/>
      <c r="K48" s="77"/>
      <c r="L48" s="77"/>
      <c r="M48" s="77"/>
      <c r="N48" s="77"/>
      <c r="O48" s="76"/>
      <c r="P48" s="76"/>
      <c r="Q48" s="76"/>
      <c r="R48" s="76"/>
      <c r="S48" s="76"/>
      <c r="T48" s="76"/>
      <c r="U48" s="76"/>
      <c r="V48" s="76"/>
      <c r="W48" s="77"/>
      <c r="X48" s="77"/>
      <c r="Y48" s="77"/>
      <c r="Z48" s="77"/>
      <c r="AA48" s="76"/>
      <c r="AB48" s="3"/>
    </row>
    <row r="49" ht="15.0" customHeight="1">
      <c r="A49" s="78" t="s">
        <v>63</v>
      </c>
      <c r="B49" s="78">
        <v>0.0</v>
      </c>
      <c r="C49" s="78">
        <f t="shared" ref="C49:AA49" si="1">B49+1</f>
        <v>1</v>
      </c>
      <c r="D49" s="78">
        <f t="shared" si="1"/>
        <v>2</v>
      </c>
      <c r="E49" s="78">
        <f t="shared" si="1"/>
        <v>3</v>
      </c>
      <c r="F49" s="78">
        <f t="shared" si="1"/>
        <v>4</v>
      </c>
      <c r="G49" s="78">
        <f t="shared" si="1"/>
        <v>5</v>
      </c>
      <c r="H49" s="78">
        <f t="shared" si="1"/>
        <v>6</v>
      </c>
      <c r="I49" s="78">
        <f t="shared" si="1"/>
        <v>7</v>
      </c>
      <c r="J49" s="78">
        <f t="shared" si="1"/>
        <v>8</v>
      </c>
      <c r="K49" s="78">
        <f t="shared" si="1"/>
        <v>9</v>
      </c>
      <c r="L49" s="78">
        <f t="shared" si="1"/>
        <v>10</v>
      </c>
      <c r="M49" s="78">
        <f t="shared" si="1"/>
        <v>11</v>
      </c>
      <c r="N49" s="78">
        <f t="shared" si="1"/>
        <v>12</v>
      </c>
      <c r="O49" s="78">
        <f t="shared" si="1"/>
        <v>13</v>
      </c>
      <c r="P49" s="78">
        <f t="shared" si="1"/>
        <v>14</v>
      </c>
      <c r="Q49" s="78">
        <f t="shared" si="1"/>
        <v>15</v>
      </c>
      <c r="R49" s="78">
        <f t="shared" si="1"/>
        <v>16</v>
      </c>
      <c r="S49" s="78">
        <f t="shared" si="1"/>
        <v>17</v>
      </c>
      <c r="T49" s="78">
        <f t="shared" si="1"/>
        <v>18</v>
      </c>
      <c r="U49" s="78">
        <f t="shared" si="1"/>
        <v>19</v>
      </c>
      <c r="V49" s="78">
        <f t="shared" si="1"/>
        <v>20</v>
      </c>
      <c r="W49" s="78">
        <f t="shared" si="1"/>
        <v>21</v>
      </c>
      <c r="X49" s="78">
        <f t="shared" si="1"/>
        <v>22</v>
      </c>
      <c r="Y49" s="78">
        <f t="shared" si="1"/>
        <v>23</v>
      </c>
      <c r="Z49" s="78">
        <f t="shared" si="1"/>
        <v>24</v>
      </c>
      <c r="AA49" s="78">
        <f t="shared" si="1"/>
        <v>25</v>
      </c>
      <c r="AB49" s="3"/>
    </row>
    <row r="50" ht="15.0" customHeight="1">
      <c r="A50" s="79" t="s">
        <v>64</v>
      </c>
      <c r="B50" s="80">
        <f>-$B$42</f>
        <v>-406625</v>
      </c>
      <c r="C50" s="80">
        <f t="shared" ref="C50:AA50" si="2">IF(AND(C49&gt;=($B$45+1),MOD(C49-1,$B$45)=0),-$B$38*(1+$B$29)^C49,0)</f>
        <v>0</v>
      </c>
      <c r="D50" s="80">
        <f t="shared" si="2"/>
        <v>0</v>
      </c>
      <c r="E50" s="80">
        <f t="shared" si="2"/>
        <v>0</v>
      </c>
      <c r="F50" s="80">
        <f t="shared" si="2"/>
        <v>-292464.64</v>
      </c>
      <c r="G50" s="80">
        <f t="shared" si="2"/>
        <v>0</v>
      </c>
      <c r="H50" s="80">
        <f t="shared" si="2"/>
        <v>0</v>
      </c>
      <c r="I50" s="80">
        <f t="shared" si="2"/>
        <v>-328982.9448</v>
      </c>
      <c r="J50" s="80">
        <f t="shared" si="2"/>
        <v>0</v>
      </c>
      <c r="K50" s="80">
        <f t="shared" si="2"/>
        <v>0</v>
      </c>
      <c r="L50" s="80">
        <f t="shared" si="2"/>
        <v>-370061.0712</v>
      </c>
      <c r="M50" s="80">
        <f t="shared" si="2"/>
        <v>0</v>
      </c>
      <c r="N50" s="80">
        <f t="shared" si="2"/>
        <v>0</v>
      </c>
      <c r="O50" s="80">
        <f t="shared" si="2"/>
        <v>-416268.3768</v>
      </c>
      <c r="P50" s="80">
        <f t="shared" si="2"/>
        <v>0</v>
      </c>
      <c r="Q50" s="80">
        <f t="shared" si="2"/>
        <v>0</v>
      </c>
      <c r="R50" s="80">
        <f t="shared" si="2"/>
        <v>-468245.3114</v>
      </c>
      <c r="S50" s="80">
        <f t="shared" si="2"/>
        <v>0</v>
      </c>
      <c r="T50" s="80">
        <f t="shared" si="2"/>
        <v>0</v>
      </c>
      <c r="U50" s="80">
        <f t="shared" si="2"/>
        <v>-526712.294</v>
      </c>
      <c r="V50" s="80">
        <f t="shared" si="2"/>
        <v>0</v>
      </c>
      <c r="W50" s="80">
        <f t="shared" si="2"/>
        <v>0</v>
      </c>
      <c r="X50" s="80">
        <f t="shared" si="2"/>
        <v>-592479.6979</v>
      </c>
      <c r="Y50" s="80">
        <f t="shared" si="2"/>
        <v>0</v>
      </c>
      <c r="Z50" s="80">
        <f t="shared" si="2"/>
        <v>0</v>
      </c>
      <c r="AA50" s="80">
        <f t="shared" si="2"/>
        <v>-666459.0829</v>
      </c>
      <c r="AB50" s="3"/>
    </row>
    <row r="51" ht="15.0" customHeight="1">
      <c r="A51" s="81" t="s">
        <v>65</v>
      </c>
      <c r="B51" s="80"/>
      <c r="C51" s="80">
        <f t="shared" ref="C51:AA51" si="3">$B$38*(1+$B$29)^((INT((C49-1)/$B$45)+1)*$B$45+1)/$B$45</f>
        <v>97488.21333</v>
      </c>
      <c r="D51" s="80">
        <f t="shared" si="3"/>
        <v>97488.21333</v>
      </c>
      <c r="E51" s="80">
        <f t="shared" si="3"/>
        <v>97488.21333</v>
      </c>
      <c r="F51" s="80">
        <f t="shared" si="3"/>
        <v>109660.9816</v>
      </c>
      <c r="G51" s="80">
        <f t="shared" si="3"/>
        <v>109660.9816</v>
      </c>
      <c r="H51" s="80">
        <f t="shared" si="3"/>
        <v>109660.9816</v>
      </c>
      <c r="I51" s="80">
        <f t="shared" si="3"/>
        <v>123353.6904</v>
      </c>
      <c r="J51" s="80">
        <f t="shared" si="3"/>
        <v>123353.6904</v>
      </c>
      <c r="K51" s="80">
        <f t="shared" si="3"/>
        <v>123353.6904</v>
      </c>
      <c r="L51" s="80">
        <f t="shared" si="3"/>
        <v>138756.1256</v>
      </c>
      <c r="M51" s="80">
        <f t="shared" si="3"/>
        <v>138756.1256</v>
      </c>
      <c r="N51" s="80">
        <f t="shared" si="3"/>
        <v>138756.1256</v>
      </c>
      <c r="O51" s="80">
        <f t="shared" si="3"/>
        <v>156081.7705</v>
      </c>
      <c r="P51" s="80">
        <f t="shared" si="3"/>
        <v>156081.7705</v>
      </c>
      <c r="Q51" s="80">
        <f t="shared" si="3"/>
        <v>156081.7705</v>
      </c>
      <c r="R51" s="80">
        <f t="shared" si="3"/>
        <v>175570.7647</v>
      </c>
      <c r="S51" s="80">
        <f t="shared" si="3"/>
        <v>175570.7647</v>
      </c>
      <c r="T51" s="80">
        <f t="shared" si="3"/>
        <v>175570.7647</v>
      </c>
      <c r="U51" s="80">
        <f t="shared" si="3"/>
        <v>197493.2326</v>
      </c>
      <c r="V51" s="80">
        <f t="shared" si="3"/>
        <v>197493.2326</v>
      </c>
      <c r="W51" s="80">
        <f t="shared" si="3"/>
        <v>197493.2326</v>
      </c>
      <c r="X51" s="80">
        <f t="shared" si="3"/>
        <v>222153.0276</v>
      </c>
      <c r="Y51" s="80">
        <f t="shared" si="3"/>
        <v>222153.0276</v>
      </c>
      <c r="Z51" s="80">
        <f t="shared" si="3"/>
        <v>222153.0276</v>
      </c>
      <c r="AA51" s="80">
        <f t="shared" si="3"/>
        <v>249891.9433</v>
      </c>
      <c r="AB51" s="3"/>
    </row>
    <row r="52" ht="15.0" customHeight="1">
      <c r="A52" s="81" t="s">
        <v>55</v>
      </c>
      <c r="B52" s="80"/>
      <c r="C52" s="82">
        <f t="shared" ref="C52:AA52" si="4">IF(C49=($B$45+1),$B$40*$B$38,IF(AND(C49&gt;($B$45+1),MOD(C49-1,$B$45)=0),$B$40*$B$38*(1+$B$29)^(C49-$B$45),0))</f>
        <v>0</v>
      </c>
      <c r="D52" s="82">
        <f t="shared" si="4"/>
        <v>0</v>
      </c>
      <c r="E52" s="82">
        <f t="shared" si="4"/>
        <v>0</v>
      </c>
      <c r="F52" s="82">
        <f t="shared" si="4"/>
        <v>125000</v>
      </c>
      <c r="G52" s="82">
        <f t="shared" si="4"/>
        <v>0</v>
      </c>
      <c r="H52" s="82">
        <f t="shared" si="4"/>
        <v>0</v>
      </c>
      <c r="I52" s="82">
        <f t="shared" si="4"/>
        <v>146232.32</v>
      </c>
      <c r="J52" s="82">
        <f t="shared" si="4"/>
        <v>0</v>
      </c>
      <c r="K52" s="82">
        <f t="shared" si="4"/>
        <v>0</v>
      </c>
      <c r="L52" s="82">
        <f t="shared" si="4"/>
        <v>164491.4724</v>
      </c>
      <c r="M52" s="82">
        <f t="shared" si="4"/>
        <v>0</v>
      </c>
      <c r="N52" s="82">
        <f t="shared" si="4"/>
        <v>0</v>
      </c>
      <c r="O52" s="82">
        <f t="shared" si="4"/>
        <v>185030.5356</v>
      </c>
      <c r="P52" s="82">
        <f t="shared" si="4"/>
        <v>0</v>
      </c>
      <c r="Q52" s="82">
        <f t="shared" si="4"/>
        <v>0</v>
      </c>
      <c r="R52" s="82">
        <f t="shared" si="4"/>
        <v>208134.1884</v>
      </c>
      <c r="S52" s="82">
        <f t="shared" si="4"/>
        <v>0</v>
      </c>
      <c r="T52" s="82">
        <f t="shared" si="4"/>
        <v>0</v>
      </c>
      <c r="U52" s="82">
        <f t="shared" si="4"/>
        <v>234122.6557</v>
      </c>
      <c r="V52" s="82">
        <f t="shared" si="4"/>
        <v>0</v>
      </c>
      <c r="W52" s="82">
        <f t="shared" si="4"/>
        <v>0</v>
      </c>
      <c r="X52" s="82">
        <f t="shared" si="4"/>
        <v>263356.147</v>
      </c>
      <c r="Y52" s="82">
        <f t="shared" si="4"/>
        <v>0</v>
      </c>
      <c r="Z52" s="82">
        <f t="shared" si="4"/>
        <v>0</v>
      </c>
      <c r="AA52" s="82">
        <f t="shared" si="4"/>
        <v>296239.8489</v>
      </c>
      <c r="AB52" s="3"/>
    </row>
    <row r="53" ht="15.0" customHeight="1">
      <c r="A53" s="79" t="s">
        <v>66</v>
      </c>
      <c r="B53" s="80"/>
      <c r="C53" s="82">
        <f>$B$34</f>
        <v>2.5</v>
      </c>
      <c r="D53" s="83">
        <f t="shared" ref="D53:AA53" si="5">C53*(1+$B$35)</f>
        <v>2.625</v>
      </c>
      <c r="E53" s="83">
        <f t="shared" si="5"/>
        <v>2.75625</v>
      </c>
      <c r="F53" s="83">
        <f t="shared" si="5"/>
        <v>2.8940625</v>
      </c>
      <c r="G53" s="83">
        <f t="shared" si="5"/>
        <v>3.038765625</v>
      </c>
      <c r="H53" s="83">
        <f t="shared" si="5"/>
        <v>3.190703906</v>
      </c>
      <c r="I53" s="83">
        <f t="shared" si="5"/>
        <v>3.350239102</v>
      </c>
      <c r="J53" s="83">
        <f t="shared" si="5"/>
        <v>3.517751057</v>
      </c>
      <c r="K53" s="83">
        <f t="shared" si="5"/>
        <v>3.693638609</v>
      </c>
      <c r="L53" s="83">
        <f t="shared" si="5"/>
        <v>3.87832054</v>
      </c>
      <c r="M53" s="83">
        <f t="shared" si="5"/>
        <v>4.072236567</v>
      </c>
      <c r="N53" s="83">
        <f t="shared" si="5"/>
        <v>4.275848395</v>
      </c>
      <c r="O53" s="83">
        <f t="shared" si="5"/>
        <v>4.489640815</v>
      </c>
      <c r="P53" s="83">
        <f t="shared" si="5"/>
        <v>4.714122856</v>
      </c>
      <c r="Q53" s="83">
        <f t="shared" si="5"/>
        <v>4.949828999</v>
      </c>
      <c r="R53" s="83">
        <f t="shared" si="5"/>
        <v>5.197320449</v>
      </c>
      <c r="S53" s="83">
        <f t="shared" si="5"/>
        <v>5.457186471</v>
      </c>
      <c r="T53" s="83">
        <f t="shared" si="5"/>
        <v>5.730045795</v>
      </c>
      <c r="U53" s="83">
        <f t="shared" si="5"/>
        <v>6.016548084</v>
      </c>
      <c r="V53" s="83">
        <f t="shared" si="5"/>
        <v>6.317375488</v>
      </c>
      <c r="W53" s="83">
        <f t="shared" si="5"/>
        <v>6.633244263</v>
      </c>
      <c r="X53" s="83">
        <f t="shared" si="5"/>
        <v>6.964906476</v>
      </c>
      <c r="Y53" s="83">
        <f t="shared" si="5"/>
        <v>7.3131518</v>
      </c>
      <c r="Z53" s="83">
        <f t="shared" si="5"/>
        <v>7.67880939</v>
      </c>
      <c r="AA53" s="83">
        <f t="shared" si="5"/>
        <v>8.062749859</v>
      </c>
      <c r="AB53" s="3"/>
    </row>
    <row r="54" ht="15.0" customHeight="1">
      <c r="A54" s="79" t="s">
        <v>67</v>
      </c>
      <c r="B54" s="80"/>
      <c r="C54" s="84">
        <f>$B$33*$B$34*$B$36*24*365*(((12-$B$20)*30)/(365))</f>
        <v>151200</v>
      </c>
      <c r="D54" s="84">
        <f t="shared" ref="D54:AA54" si="6">$B$33*D$53*$B$36*24*365</f>
        <v>183960</v>
      </c>
      <c r="E54" s="84">
        <f t="shared" si="6"/>
        <v>193158</v>
      </c>
      <c r="F54" s="84">
        <f t="shared" si="6"/>
        <v>202815.9</v>
      </c>
      <c r="G54" s="84">
        <f t="shared" si="6"/>
        <v>212956.695</v>
      </c>
      <c r="H54" s="84">
        <f t="shared" si="6"/>
        <v>223604.5298</v>
      </c>
      <c r="I54" s="84">
        <f t="shared" si="6"/>
        <v>234784.7562</v>
      </c>
      <c r="J54" s="84">
        <f t="shared" si="6"/>
        <v>246523.994</v>
      </c>
      <c r="K54" s="84">
        <f t="shared" si="6"/>
        <v>258850.1938</v>
      </c>
      <c r="L54" s="84">
        <f t="shared" si="6"/>
        <v>271792.7034</v>
      </c>
      <c r="M54" s="84">
        <f t="shared" si="6"/>
        <v>285382.3386</v>
      </c>
      <c r="N54" s="84">
        <f t="shared" si="6"/>
        <v>299651.4555</v>
      </c>
      <c r="O54" s="84">
        <f t="shared" si="6"/>
        <v>314634.0283</v>
      </c>
      <c r="P54" s="84">
        <f t="shared" si="6"/>
        <v>330365.7297</v>
      </c>
      <c r="Q54" s="84">
        <f t="shared" si="6"/>
        <v>346884.0162</v>
      </c>
      <c r="R54" s="84">
        <f t="shared" si="6"/>
        <v>364228.217</v>
      </c>
      <c r="S54" s="84">
        <f t="shared" si="6"/>
        <v>382439.6279</v>
      </c>
      <c r="T54" s="84">
        <f t="shared" si="6"/>
        <v>401561.6093</v>
      </c>
      <c r="U54" s="84">
        <f t="shared" si="6"/>
        <v>421639.6897</v>
      </c>
      <c r="V54" s="84">
        <f t="shared" si="6"/>
        <v>442721.6742</v>
      </c>
      <c r="W54" s="84">
        <f t="shared" si="6"/>
        <v>464857.7579</v>
      </c>
      <c r="X54" s="84">
        <f t="shared" si="6"/>
        <v>488100.6458</v>
      </c>
      <c r="Y54" s="84">
        <f t="shared" si="6"/>
        <v>512505.6781</v>
      </c>
      <c r="Z54" s="84">
        <f t="shared" si="6"/>
        <v>538130.962</v>
      </c>
      <c r="AA54" s="84">
        <f t="shared" si="6"/>
        <v>565037.5101</v>
      </c>
      <c r="AB54" s="3"/>
    </row>
    <row r="55" ht="15.75" customHeight="1">
      <c r="A55" s="79" t="s">
        <v>68</v>
      </c>
      <c r="B55" s="85"/>
      <c r="C55" s="80">
        <f>$B$17</f>
        <v>0.3375</v>
      </c>
      <c r="D55" s="80">
        <f t="shared" ref="D55:AA55" si="7">C55*(1+$B$22)</f>
        <v>0.354375</v>
      </c>
      <c r="E55" s="80">
        <f t="shared" si="7"/>
        <v>0.37209375</v>
      </c>
      <c r="F55" s="80">
        <f t="shared" si="7"/>
        <v>0.3906984375</v>
      </c>
      <c r="G55" s="80">
        <f t="shared" si="7"/>
        <v>0.4102333594</v>
      </c>
      <c r="H55" s="80">
        <f t="shared" si="7"/>
        <v>0.4307450273</v>
      </c>
      <c r="I55" s="80">
        <f t="shared" si="7"/>
        <v>0.4522822787</v>
      </c>
      <c r="J55" s="80">
        <f t="shared" si="7"/>
        <v>0.4748963926</v>
      </c>
      <c r="K55" s="80">
        <f t="shared" si="7"/>
        <v>0.4986412123</v>
      </c>
      <c r="L55" s="80">
        <f t="shared" si="7"/>
        <v>0.5235732729</v>
      </c>
      <c r="M55" s="80">
        <f t="shared" si="7"/>
        <v>0.5497519365</v>
      </c>
      <c r="N55" s="80">
        <f t="shared" si="7"/>
        <v>0.5772395334</v>
      </c>
      <c r="O55" s="80">
        <f t="shared" si="7"/>
        <v>0.60610151</v>
      </c>
      <c r="P55" s="80">
        <f t="shared" si="7"/>
        <v>0.6364065855</v>
      </c>
      <c r="Q55" s="80">
        <f t="shared" si="7"/>
        <v>0.6682269148</v>
      </c>
      <c r="R55" s="80">
        <f t="shared" si="7"/>
        <v>0.7016382606</v>
      </c>
      <c r="S55" s="80">
        <f t="shared" si="7"/>
        <v>0.7367201736</v>
      </c>
      <c r="T55" s="80">
        <f t="shared" si="7"/>
        <v>0.7735561823</v>
      </c>
      <c r="U55" s="80">
        <f t="shared" si="7"/>
        <v>0.8122339914</v>
      </c>
      <c r="V55" s="80">
        <f t="shared" si="7"/>
        <v>0.8528456909</v>
      </c>
      <c r="W55" s="80">
        <f t="shared" si="7"/>
        <v>0.8954879755</v>
      </c>
      <c r="X55" s="80">
        <f t="shared" si="7"/>
        <v>0.9402623743</v>
      </c>
      <c r="Y55" s="80">
        <f t="shared" si="7"/>
        <v>0.987275493</v>
      </c>
      <c r="Z55" s="80">
        <f t="shared" si="7"/>
        <v>1.036639268</v>
      </c>
      <c r="AA55" s="80">
        <f t="shared" si="7"/>
        <v>1.088471231</v>
      </c>
      <c r="AB55" s="3"/>
    </row>
    <row r="56" ht="15.0" customHeight="1">
      <c r="A56" s="79" t="s">
        <v>69</v>
      </c>
      <c r="B56" s="85"/>
      <c r="C56" s="86">
        <f t="shared" ref="C56:AA56" si="8">IF(C$49&lt;=$B$24,$B$23,IF(AND(C$49&gt;$B$24,C$49&lt;=($B$24+$B$24)),$B$23+$B$25,$B$23+$B$25+$B$25))</f>
        <v>0.0945</v>
      </c>
      <c r="D56" s="86">
        <f t="shared" si="8"/>
        <v>0.0945</v>
      </c>
      <c r="E56" s="86">
        <f t="shared" si="8"/>
        <v>0.0945</v>
      </c>
      <c r="F56" s="86">
        <f t="shared" si="8"/>
        <v>0.0945</v>
      </c>
      <c r="G56" s="86">
        <f t="shared" si="8"/>
        <v>0.0945</v>
      </c>
      <c r="H56" s="86">
        <f t="shared" si="8"/>
        <v>0.0945</v>
      </c>
      <c r="I56" s="86">
        <f t="shared" si="8"/>
        <v>0.0945</v>
      </c>
      <c r="J56" s="86">
        <f t="shared" si="8"/>
        <v>0.0945</v>
      </c>
      <c r="K56" s="86">
        <f t="shared" si="8"/>
        <v>0.0945</v>
      </c>
      <c r="L56" s="86">
        <f t="shared" si="8"/>
        <v>0.0945</v>
      </c>
      <c r="M56" s="86">
        <f t="shared" si="8"/>
        <v>0.1045</v>
      </c>
      <c r="N56" s="86">
        <f t="shared" si="8"/>
        <v>0.1045</v>
      </c>
      <c r="O56" s="86">
        <f t="shared" si="8"/>
        <v>0.1045</v>
      </c>
      <c r="P56" s="86">
        <f t="shared" si="8"/>
        <v>0.1045</v>
      </c>
      <c r="Q56" s="86">
        <f t="shared" si="8"/>
        <v>0.1045</v>
      </c>
      <c r="R56" s="86">
        <f t="shared" si="8"/>
        <v>0.1045</v>
      </c>
      <c r="S56" s="86">
        <f t="shared" si="8"/>
        <v>0.1045</v>
      </c>
      <c r="T56" s="86">
        <f t="shared" si="8"/>
        <v>0.1045</v>
      </c>
      <c r="U56" s="86">
        <f t="shared" si="8"/>
        <v>0.1045</v>
      </c>
      <c r="V56" s="86">
        <f t="shared" si="8"/>
        <v>0.1045</v>
      </c>
      <c r="W56" s="86">
        <f t="shared" si="8"/>
        <v>0.1145</v>
      </c>
      <c r="X56" s="86">
        <f t="shared" si="8"/>
        <v>0.1145</v>
      </c>
      <c r="Y56" s="86">
        <f t="shared" si="8"/>
        <v>0.1145</v>
      </c>
      <c r="Z56" s="86">
        <f t="shared" si="8"/>
        <v>0.1145</v>
      </c>
      <c r="AA56" s="86">
        <f t="shared" si="8"/>
        <v>0.1145</v>
      </c>
      <c r="AB56" s="87"/>
    </row>
    <row r="57" ht="15.0" customHeight="1">
      <c r="A57" s="79" t="s">
        <v>70</v>
      </c>
      <c r="B57" s="85"/>
      <c r="C57" s="84">
        <f>$B$44*(((12-$B$20)*30)/(365))*C$55</f>
        <v>15898.4664</v>
      </c>
      <c r="D57" s="86">
        <f t="shared" ref="D57:AA57" si="9">$B$44*D$55</f>
        <v>19343.13413</v>
      </c>
      <c r="E57" s="86">
        <f t="shared" si="9"/>
        <v>20310.29083</v>
      </c>
      <c r="F57" s="86">
        <f t="shared" si="9"/>
        <v>21325.80537</v>
      </c>
      <c r="G57" s="86">
        <f t="shared" si="9"/>
        <v>22392.09564</v>
      </c>
      <c r="H57" s="86">
        <f t="shared" si="9"/>
        <v>23511.70042</v>
      </c>
      <c r="I57" s="86">
        <f t="shared" si="9"/>
        <v>24687.28544</v>
      </c>
      <c r="J57" s="86">
        <f t="shared" si="9"/>
        <v>25921.64972</v>
      </c>
      <c r="K57" s="86">
        <f t="shared" si="9"/>
        <v>27217.7322</v>
      </c>
      <c r="L57" s="86">
        <f t="shared" si="9"/>
        <v>28578.61881</v>
      </c>
      <c r="M57" s="86">
        <f t="shared" si="9"/>
        <v>30007.54975</v>
      </c>
      <c r="N57" s="86">
        <f t="shared" si="9"/>
        <v>31507.92724</v>
      </c>
      <c r="O57" s="86">
        <f t="shared" si="9"/>
        <v>33083.3236</v>
      </c>
      <c r="P57" s="86">
        <f t="shared" si="9"/>
        <v>34737.48978</v>
      </c>
      <c r="Q57" s="86">
        <f t="shared" si="9"/>
        <v>36474.36427</v>
      </c>
      <c r="R57" s="86">
        <f t="shared" si="9"/>
        <v>38298.08249</v>
      </c>
      <c r="S57" s="86">
        <f t="shared" si="9"/>
        <v>40212.98661</v>
      </c>
      <c r="T57" s="86">
        <f t="shared" si="9"/>
        <v>42223.63594</v>
      </c>
      <c r="U57" s="86">
        <f t="shared" si="9"/>
        <v>44334.81774</v>
      </c>
      <c r="V57" s="86">
        <f t="shared" si="9"/>
        <v>46551.55863</v>
      </c>
      <c r="W57" s="86">
        <f t="shared" si="9"/>
        <v>48879.13656</v>
      </c>
      <c r="X57" s="86">
        <f t="shared" si="9"/>
        <v>51323.09338</v>
      </c>
      <c r="Y57" s="86">
        <f t="shared" si="9"/>
        <v>53889.24805</v>
      </c>
      <c r="Z57" s="86">
        <f t="shared" si="9"/>
        <v>56583.71046</v>
      </c>
      <c r="AA57" s="86">
        <f t="shared" si="9"/>
        <v>59412.89598</v>
      </c>
      <c r="AB57" s="87"/>
    </row>
    <row r="58" ht="15.0" customHeight="1">
      <c r="A58" s="79" t="s">
        <v>71</v>
      </c>
      <c r="B58" s="85"/>
      <c r="C58" s="80">
        <f>$B$18</f>
        <v>7250</v>
      </c>
      <c r="D58" s="80">
        <f t="shared" ref="D58:AA58" si="10">C58*(1+$B$29)</f>
        <v>7540</v>
      </c>
      <c r="E58" s="80">
        <f t="shared" si="10"/>
        <v>7841.6</v>
      </c>
      <c r="F58" s="80">
        <f t="shared" si="10"/>
        <v>8155.264</v>
      </c>
      <c r="G58" s="80">
        <f t="shared" si="10"/>
        <v>8481.47456</v>
      </c>
      <c r="H58" s="80">
        <f t="shared" si="10"/>
        <v>8820.733542</v>
      </c>
      <c r="I58" s="80">
        <f t="shared" si="10"/>
        <v>9173.562884</v>
      </c>
      <c r="J58" s="80">
        <f t="shared" si="10"/>
        <v>9540.505399</v>
      </c>
      <c r="K58" s="80">
        <f t="shared" si="10"/>
        <v>9922.125615</v>
      </c>
      <c r="L58" s="80">
        <f t="shared" si="10"/>
        <v>10319.01064</v>
      </c>
      <c r="M58" s="80">
        <f t="shared" si="10"/>
        <v>10731.77107</v>
      </c>
      <c r="N58" s="80">
        <f t="shared" si="10"/>
        <v>11161.04191</v>
      </c>
      <c r="O58" s="80">
        <f t="shared" si="10"/>
        <v>11607.48358</v>
      </c>
      <c r="P58" s="80">
        <f t="shared" si="10"/>
        <v>12071.78293</v>
      </c>
      <c r="Q58" s="80">
        <f t="shared" si="10"/>
        <v>12554.65425</v>
      </c>
      <c r="R58" s="80">
        <f t="shared" si="10"/>
        <v>13056.84041</v>
      </c>
      <c r="S58" s="80">
        <f t="shared" si="10"/>
        <v>13579.11403</v>
      </c>
      <c r="T58" s="80">
        <f t="shared" si="10"/>
        <v>14122.27859</v>
      </c>
      <c r="U58" s="80">
        <f t="shared" si="10"/>
        <v>14687.16974</v>
      </c>
      <c r="V58" s="80">
        <f t="shared" si="10"/>
        <v>15274.65653</v>
      </c>
      <c r="W58" s="80">
        <f t="shared" si="10"/>
        <v>15885.64279</v>
      </c>
      <c r="X58" s="80">
        <f t="shared" si="10"/>
        <v>16521.0685</v>
      </c>
      <c r="Y58" s="80">
        <f t="shared" si="10"/>
        <v>17181.91124</v>
      </c>
      <c r="Z58" s="80">
        <f t="shared" si="10"/>
        <v>17869.18769</v>
      </c>
      <c r="AA58" s="88">
        <f t="shared" si="10"/>
        <v>18583.9552</v>
      </c>
      <c r="AB58" s="89"/>
    </row>
    <row r="59" ht="15.0" customHeight="1">
      <c r="A59" s="79" t="s">
        <v>72</v>
      </c>
      <c r="B59" s="80">
        <f>B50</f>
        <v>-406625</v>
      </c>
      <c r="C59" s="80">
        <f t="shared" ref="C59:AA59" si="11">C54-C57-C58-C51+C52</f>
        <v>30563.32026</v>
      </c>
      <c r="D59" s="80">
        <f t="shared" si="11"/>
        <v>59588.65254</v>
      </c>
      <c r="E59" s="80">
        <f t="shared" si="11"/>
        <v>67517.89584</v>
      </c>
      <c r="F59" s="80">
        <f t="shared" si="11"/>
        <v>188673.849</v>
      </c>
      <c r="G59" s="80">
        <f t="shared" si="11"/>
        <v>72422.1432</v>
      </c>
      <c r="H59" s="80">
        <f t="shared" si="11"/>
        <v>81611.11418</v>
      </c>
      <c r="I59" s="80">
        <f t="shared" si="11"/>
        <v>223802.5375</v>
      </c>
      <c r="J59" s="80">
        <f t="shared" si="11"/>
        <v>87708.14852</v>
      </c>
      <c r="K59" s="80">
        <f t="shared" si="11"/>
        <v>98356.64552</v>
      </c>
      <c r="L59" s="80">
        <f t="shared" si="11"/>
        <v>258630.4208</v>
      </c>
      <c r="M59" s="80">
        <f t="shared" si="11"/>
        <v>105886.8922</v>
      </c>
      <c r="N59" s="80">
        <f t="shared" si="11"/>
        <v>118226.3608</v>
      </c>
      <c r="O59" s="80">
        <f t="shared" si="11"/>
        <v>298891.9863</v>
      </c>
      <c r="P59" s="80">
        <f t="shared" si="11"/>
        <v>127474.6865</v>
      </c>
      <c r="Q59" s="80">
        <f t="shared" si="11"/>
        <v>141773.2272</v>
      </c>
      <c r="R59" s="80">
        <f t="shared" si="11"/>
        <v>345436.7179</v>
      </c>
      <c r="S59" s="80">
        <f t="shared" si="11"/>
        <v>153076.7626</v>
      </c>
      <c r="T59" s="80">
        <f t="shared" si="11"/>
        <v>169644.9301</v>
      </c>
      <c r="U59" s="80">
        <f t="shared" si="11"/>
        <v>399247.1254</v>
      </c>
      <c r="V59" s="80">
        <f t="shared" si="11"/>
        <v>183402.2265</v>
      </c>
      <c r="W59" s="80">
        <f t="shared" si="11"/>
        <v>202599.746</v>
      </c>
      <c r="X59" s="80">
        <f t="shared" si="11"/>
        <v>461459.6033</v>
      </c>
      <c r="Y59" s="80">
        <f t="shared" si="11"/>
        <v>219281.4912</v>
      </c>
      <c r="Z59" s="80">
        <f t="shared" si="11"/>
        <v>241525.0363</v>
      </c>
      <c r="AA59" s="80">
        <f t="shared" si="11"/>
        <v>533388.5646</v>
      </c>
      <c r="AB59" s="3"/>
    </row>
    <row r="60" ht="15.0" customHeight="1">
      <c r="A60" s="79" t="s">
        <v>73</v>
      </c>
      <c r="B60" s="80">
        <f>B59</f>
        <v>-406625</v>
      </c>
      <c r="C60" s="80">
        <f t="shared" ref="C60:AA60" si="12">C59/((1+$B$28)^C$49)</f>
        <v>28833.321</v>
      </c>
      <c r="D60" s="80">
        <f t="shared" si="12"/>
        <v>53033.68863</v>
      </c>
      <c r="E60" s="80">
        <f t="shared" si="12"/>
        <v>56689.32729</v>
      </c>
      <c r="F60" s="80">
        <f t="shared" si="12"/>
        <v>149447.3602</v>
      </c>
      <c r="G60" s="80">
        <f t="shared" si="12"/>
        <v>54118.0384</v>
      </c>
      <c r="H60" s="80">
        <f t="shared" si="12"/>
        <v>57532.61516</v>
      </c>
      <c r="I60" s="80">
        <f t="shared" si="12"/>
        <v>148841.4696</v>
      </c>
      <c r="J60" s="80">
        <f t="shared" si="12"/>
        <v>55029.17745</v>
      </c>
      <c r="K60" s="80">
        <f t="shared" si="12"/>
        <v>58217.14736</v>
      </c>
      <c r="L60" s="80">
        <f t="shared" si="12"/>
        <v>144417.8761</v>
      </c>
      <c r="M60" s="80">
        <f t="shared" si="12"/>
        <v>55779.8939</v>
      </c>
      <c r="N60" s="80">
        <f t="shared" si="12"/>
        <v>58754.87928</v>
      </c>
      <c r="O60" s="80">
        <f t="shared" si="12"/>
        <v>140132.2266</v>
      </c>
      <c r="P60" s="80">
        <f t="shared" si="12"/>
        <v>56382.17679</v>
      </c>
      <c r="Q60" s="80">
        <f t="shared" si="12"/>
        <v>59157.01427</v>
      </c>
      <c r="R60" s="80">
        <f t="shared" si="12"/>
        <v>135979.8803</v>
      </c>
      <c r="S60" s="80">
        <f t="shared" si="12"/>
        <v>56847.26293</v>
      </c>
      <c r="T60" s="80">
        <f t="shared" si="12"/>
        <v>59434.04795</v>
      </c>
      <c r="U60" s="80">
        <f t="shared" si="12"/>
        <v>131956.3693</v>
      </c>
      <c r="V60" s="80">
        <f t="shared" si="12"/>
        <v>57185.68113</v>
      </c>
      <c r="W60" s="80">
        <f t="shared" si="12"/>
        <v>59595.80987</v>
      </c>
      <c r="X60" s="80">
        <f t="shared" si="12"/>
        <v>128057.3919</v>
      </c>
      <c r="Y60" s="80">
        <f t="shared" si="12"/>
        <v>57407.29384</v>
      </c>
      <c r="Z60" s="80">
        <f t="shared" si="12"/>
        <v>59651.50284</v>
      </c>
      <c r="AA60" s="80">
        <f t="shared" si="12"/>
        <v>124278.8051</v>
      </c>
      <c r="AB60" s="3"/>
    </row>
    <row r="61" ht="15.0" customHeight="1">
      <c r="A61" s="90" t="s">
        <v>74</v>
      </c>
      <c r="B61" s="91">
        <f>B59</f>
        <v>-406625</v>
      </c>
      <c r="C61" s="91">
        <f t="shared" ref="C61:AA61" si="13">B61+C59</f>
        <v>-376061.6797</v>
      </c>
      <c r="D61" s="91">
        <f t="shared" si="13"/>
        <v>-316473.0272</v>
      </c>
      <c r="E61" s="91">
        <f t="shared" si="13"/>
        <v>-248955.1314</v>
      </c>
      <c r="F61" s="91">
        <f t="shared" si="13"/>
        <v>-60281.28234</v>
      </c>
      <c r="G61" s="91">
        <f t="shared" si="13"/>
        <v>12140.86086</v>
      </c>
      <c r="H61" s="91">
        <f t="shared" si="13"/>
        <v>93751.97504</v>
      </c>
      <c r="I61" s="91">
        <f t="shared" si="13"/>
        <v>317554.5125</v>
      </c>
      <c r="J61" s="91">
        <f t="shared" si="13"/>
        <v>405262.6611</v>
      </c>
      <c r="K61" s="91">
        <f t="shared" si="13"/>
        <v>503619.3066</v>
      </c>
      <c r="L61" s="91">
        <f t="shared" si="13"/>
        <v>762249.7274</v>
      </c>
      <c r="M61" s="91">
        <f t="shared" si="13"/>
        <v>868136.6196</v>
      </c>
      <c r="N61" s="91">
        <f t="shared" si="13"/>
        <v>986362.9803</v>
      </c>
      <c r="O61" s="91">
        <f t="shared" si="13"/>
        <v>1285254.967</v>
      </c>
      <c r="P61" s="91">
        <f t="shared" si="13"/>
        <v>1412729.653</v>
      </c>
      <c r="Q61" s="91">
        <f t="shared" si="13"/>
        <v>1554502.88</v>
      </c>
      <c r="R61" s="91">
        <f t="shared" si="13"/>
        <v>1899939.598</v>
      </c>
      <c r="S61" s="91">
        <f t="shared" si="13"/>
        <v>2053016.361</v>
      </c>
      <c r="T61" s="91">
        <f t="shared" si="13"/>
        <v>2222661.291</v>
      </c>
      <c r="U61" s="91">
        <f t="shared" si="13"/>
        <v>2621908.416</v>
      </c>
      <c r="V61" s="91">
        <f t="shared" si="13"/>
        <v>2805310.643</v>
      </c>
      <c r="W61" s="91">
        <f t="shared" si="13"/>
        <v>3007910.389</v>
      </c>
      <c r="X61" s="91">
        <f t="shared" si="13"/>
        <v>3469369.992</v>
      </c>
      <c r="Y61" s="91">
        <f t="shared" si="13"/>
        <v>3688651.483</v>
      </c>
      <c r="Z61" s="91">
        <f t="shared" si="13"/>
        <v>3930176.52</v>
      </c>
      <c r="AA61" s="91">
        <f t="shared" si="13"/>
        <v>4463565.084</v>
      </c>
      <c r="AB61" s="3"/>
    </row>
    <row r="62" ht="15.0" customHeight="1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5.0" customHeight="1">
      <c r="A63" s="93" t="s">
        <v>75</v>
      </c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5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5.0" customHeight="1">
      <c r="A64" s="9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5.0" customHeight="1">
      <c r="A66" s="97" t="s">
        <v>63</v>
      </c>
      <c r="B66" s="97" t="s">
        <v>72</v>
      </c>
      <c r="C66" s="97" t="s">
        <v>74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5.0" customHeight="1">
      <c r="A67" s="98">
        <v>0.0</v>
      </c>
      <c r="B67" s="99">
        <f t="array" ref="B67:B92">TRANSPOSE(B59:AA59)</f>
        <v>-406625</v>
      </c>
      <c r="C67" s="99">
        <f t="array" ref="C67:C92">TRANSPOSE(B61:AA61)</f>
        <v>-406625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5.0" customHeight="1">
      <c r="A68" s="98">
        <f t="shared" ref="A68:A92" si="14">A67+1</f>
        <v>1</v>
      </c>
      <c r="B68" s="99">
        <v>30563.320262557056</v>
      </c>
      <c r="C68" s="99">
        <v>-376061.67973744293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5.0" customHeight="1">
      <c r="A69" s="98">
        <f t="shared" si="14"/>
        <v>2</v>
      </c>
      <c r="B69" s="99">
        <v>59588.652541666626</v>
      </c>
      <c r="C69" s="99">
        <v>-316473.0271957763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5.0" customHeight="1">
      <c r="A70" s="98">
        <f t="shared" si="14"/>
        <v>3</v>
      </c>
      <c r="B70" s="99">
        <v>67517.89583541667</v>
      </c>
      <c r="C70" s="99">
        <v>-248955.1313603596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5.0" customHeight="1">
      <c r="A71" s="98">
        <f t="shared" si="14"/>
        <v>4</v>
      </c>
      <c r="B71" s="99">
        <v>188673.84902420084</v>
      </c>
      <c r="C71" s="99">
        <v>-60281.282336158765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5.0" customHeight="1">
      <c r="A72" s="98">
        <f t="shared" si="14"/>
        <v>5</v>
      </c>
      <c r="B72" s="99">
        <v>72422.1431955602</v>
      </c>
      <c r="C72" s="99">
        <v>12140.860859401437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5.0" customHeight="1">
      <c r="A73" s="98">
        <f t="shared" si="14"/>
        <v>6</v>
      </c>
      <c r="B73" s="99">
        <v>81611.11418108756</v>
      </c>
      <c r="C73" s="99">
        <v>93751.975040489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5.0" customHeight="1">
      <c r="A74" s="98">
        <f t="shared" si="14"/>
        <v>7</v>
      </c>
      <c r="B74" s="99">
        <v>223802.53749883999</v>
      </c>
      <c r="C74" s="99">
        <v>317554.512539329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5.0" customHeight="1">
      <c r="A75" s="98">
        <f t="shared" si="14"/>
        <v>8</v>
      </c>
      <c r="B75" s="99">
        <v>87708.14852311602</v>
      </c>
      <c r="C75" s="99">
        <v>405262.661062445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5.0" customHeight="1">
      <c r="A76" s="98">
        <f t="shared" si="14"/>
        <v>9</v>
      </c>
      <c r="B76" s="99">
        <v>98356.6455237596</v>
      </c>
      <c r="C76" s="99">
        <v>503619.3065862046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5.0" customHeight="1">
      <c r="A77" s="98">
        <f t="shared" si="14"/>
        <v>10</v>
      </c>
      <c r="B77" s="99">
        <v>258630.42078173798</v>
      </c>
      <c r="C77" s="99">
        <v>762249.7273679426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5.0" customHeight="1">
      <c r="A78" s="98">
        <f t="shared" si="14"/>
        <v>11</v>
      </c>
      <c r="B78" s="99">
        <v>105886.89218298136</v>
      </c>
      <c r="C78" s="99">
        <v>868136.6195509239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5.0" customHeight="1">
      <c r="A79" s="98">
        <f t="shared" si="14"/>
        <v>12</v>
      </c>
      <c r="B79" s="99">
        <v>118226.36078324693</v>
      </c>
      <c r="C79" s="99">
        <v>986362.9803341709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5.0" customHeight="1">
      <c r="A80" s="98">
        <f t="shared" si="14"/>
        <v>13</v>
      </c>
      <c r="B80" s="99">
        <v>298891.9862686782</v>
      </c>
      <c r="C80" s="99">
        <v>1285254.966602849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5.0" customHeight="1">
      <c r="A81" s="98">
        <f t="shared" si="14"/>
        <v>14</v>
      </c>
      <c r="B81" s="99">
        <v>127474.68654628878</v>
      </c>
      <c r="C81" s="99">
        <v>1412729.6531491377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5.0" customHeight="1">
      <c r="A82" s="98">
        <f t="shared" si="14"/>
        <v>15</v>
      </c>
      <c r="B82" s="99">
        <v>141773.22722674662</v>
      </c>
      <c r="C82" s="99">
        <v>1554502.8803758845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5.0" customHeight="1">
      <c r="A83" s="98">
        <f t="shared" si="14"/>
        <v>16</v>
      </c>
      <c r="B83" s="99">
        <v>345436.71787932375</v>
      </c>
      <c r="C83" s="99">
        <v>1899939.5982552082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5.0" customHeight="1">
      <c r="A84" s="98">
        <f t="shared" si="14"/>
        <v>17</v>
      </c>
      <c r="B84" s="99">
        <v>153076.76257625764</v>
      </c>
      <c r="C84" s="99">
        <v>2053016.3608314658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5.0" customHeight="1">
      <c r="A85" s="98">
        <f t="shared" si="14"/>
        <v>18</v>
      </c>
      <c r="B85" s="99">
        <v>169644.9300786928</v>
      </c>
      <c r="C85" s="99">
        <v>2222661.290910159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5.0" customHeight="1">
      <c r="A86" s="98">
        <f t="shared" si="14"/>
        <v>19</v>
      </c>
      <c r="B86" s="99">
        <v>399247.1253584885</v>
      </c>
      <c r="C86" s="99">
        <v>2621908.416268647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5.0" customHeight="1">
      <c r="A87" s="98">
        <f t="shared" si="14"/>
        <v>20</v>
      </c>
      <c r="B87" s="99">
        <v>183402.22645335444</v>
      </c>
      <c r="C87" s="99">
        <v>2805310.6427220018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5.0" customHeight="1">
      <c r="A88" s="98">
        <f t="shared" si="14"/>
        <v>21</v>
      </c>
      <c r="B88" s="99">
        <v>202599.7459725523</v>
      </c>
      <c r="C88" s="99">
        <v>3007910.388694554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5.0" customHeight="1">
      <c r="A89" s="98">
        <f t="shared" si="14"/>
        <v>22</v>
      </c>
      <c r="B89" s="99">
        <v>461459.6033309902</v>
      </c>
      <c r="C89" s="99">
        <v>3469369.9920255444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5.0" customHeight="1">
      <c r="A90" s="98">
        <f t="shared" si="14"/>
        <v>23</v>
      </c>
      <c r="B90" s="99">
        <v>219281.49121455228</v>
      </c>
      <c r="C90" s="99">
        <v>3688651.483240097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5.0" customHeight="1">
      <c r="A91" s="98">
        <f t="shared" si="14"/>
        <v>24</v>
      </c>
      <c r="B91" s="99">
        <v>241525.03626886164</v>
      </c>
      <c r="C91" s="99">
        <v>3930176.5195089583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5.0" customHeight="1">
      <c r="A92" s="98">
        <f t="shared" si="14"/>
        <v>25</v>
      </c>
      <c r="B92" s="99">
        <v>533388.5646372631</v>
      </c>
      <c r="C92" s="99">
        <v>4463565.084146221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D11:G11"/>
    <mergeCell ref="I11:J11"/>
    <mergeCell ref="D14:G14"/>
    <mergeCell ref="A31:B31"/>
    <mergeCell ref="A41:B41"/>
    <mergeCell ref="A47:AA47"/>
    <mergeCell ref="A63:L63"/>
    <mergeCell ref="A1:O1"/>
    <mergeCell ref="A2:O2"/>
    <mergeCell ref="A4:C4"/>
    <mergeCell ref="D4:F4"/>
    <mergeCell ref="G4:I4"/>
    <mergeCell ref="A10:B10"/>
    <mergeCell ref="A11:B11"/>
  </mergeCells>
  <printOptions/>
  <pageMargins bottom="0.75" footer="0.0" header="0.0" left="0.7" right="0.7" top="0.75"/>
  <pageSetup orientation="portrait"/>
  <drawing r:id="rId1"/>
</worksheet>
</file>