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 Charging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y4W5fsnx9Ys++6rHQENoSRYtEA98BT4Me6qwA+ZbnOE="/>
    </ext>
  </extLst>
</workbook>
</file>

<file path=xl/sharedStrings.xml><?xml version="1.0" encoding="utf-8"?>
<sst xmlns="http://schemas.openxmlformats.org/spreadsheetml/2006/main" count="75" uniqueCount="66">
  <si>
    <t>NHS EV Charger project</t>
  </si>
  <si>
    <t>Investment Summary Dashboard</t>
  </si>
  <si>
    <t>PROJECT RETURN</t>
  </si>
  <si>
    <t>INVESTMENT</t>
  </si>
  <si>
    <t>ANNUAL PERFORMANCE</t>
  </si>
  <si>
    <t>Gross IRR</t>
  </si>
  <si>
    <t>Initial Capital</t>
  </si>
  <si>
    <t>Payback Period (years)</t>
  </si>
  <si>
    <t>Total Return</t>
  </si>
  <si>
    <t>Year 1 Net Cash</t>
  </si>
  <si>
    <t>NPV</t>
  </si>
  <si>
    <t>Net IRR</t>
  </si>
  <si>
    <t>PROJECT INPUTS</t>
  </si>
  <si>
    <t>SCENARIO CONTROLLER</t>
  </si>
  <si>
    <t>Fee Parameters</t>
  </si>
  <si>
    <t>EV Charger Inputs</t>
  </si>
  <si>
    <t>Select Scenario:</t>
  </si>
  <si>
    <t>Base</t>
  </si>
  <si>
    <t>Base Fee</t>
  </si>
  <si>
    <t>Number of Chargers</t>
  </si>
  <si>
    <t>(Options: Worst, Base, Best)</t>
  </si>
  <si>
    <t>Hurdle Rate</t>
  </si>
  <si>
    <t>EV Power Draw (kW)</t>
  </si>
  <si>
    <t>SCENARIO VALUES</t>
  </si>
  <si>
    <t>Performance Fee</t>
  </si>
  <si>
    <t>Project Size (kW)</t>
  </si>
  <si>
    <t>Variable</t>
  </si>
  <si>
    <t>Worst</t>
  </si>
  <si>
    <t>Best</t>
  </si>
  <si>
    <t>Electricity Rate (£/kWh)</t>
  </si>
  <si>
    <t>End User Rate (£/kWh)</t>
  </si>
  <si>
    <t>Installation Time (months)</t>
  </si>
  <si>
    <t>Hours Charger per Charger</t>
  </si>
  <si>
    <t>Project Cost</t>
  </si>
  <si>
    <t>Hours Charged per Day</t>
  </si>
  <si>
    <t>Annual O &amp; M</t>
  </si>
  <si>
    <t>EV Charger Efficiency (%)</t>
  </si>
  <si>
    <t>Project Approximate Cost (£)</t>
  </si>
  <si>
    <t>Hours Charged per Charger</t>
  </si>
  <si>
    <t>Project IRR</t>
  </si>
  <si>
    <t>Energy Inflation (Annual)</t>
  </si>
  <si>
    <t>Charge Rate Inflation (Annual)</t>
  </si>
  <si>
    <t>Assumed Length of SEG (Years)</t>
  </si>
  <si>
    <t>PPA Length (Years)</t>
  </si>
  <si>
    <t>Discount Rate</t>
  </si>
  <si>
    <t>Infllation (%) Annual</t>
  </si>
  <si>
    <t>NHS Revenue Share (%)</t>
  </si>
  <si>
    <t>Calculations</t>
  </si>
  <si>
    <t>Total Funding Requirement</t>
  </si>
  <si>
    <t>Energy from Grid (kWh)</t>
  </si>
  <si>
    <t xml:space="preserve">Energy to Users (kWh) </t>
  </si>
  <si>
    <t>CASH FLOW ANALYSIS</t>
  </si>
  <si>
    <t>Year 1</t>
  </si>
  <si>
    <t>Year</t>
  </si>
  <si>
    <t>Investment (£)</t>
  </si>
  <si>
    <t>End User Payment (£/kWh)</t>
  </si>
  <si>
    <t>Electricity Sale (£)</t>
  </si>
  <si>
    <t>Electricity Cost (£)</t>
  </si>
  <si>
    <t>O&amp;M Costs (£)</t>
  </si>
  <si>
    <t>NHS Revenue Share (£)</t>
  </si>
  <si>
    <t>Net Cash Flow (£)</t>
  </si>
  <si>
    <t>Present Value (£)</t>
  </si>
  <si>
    <t>Cumulative Cash Flow (£)</t>
  </si>
  <si>
    <t>Note: All values in GBP (£). Cash flows include protocol share, and O&amp;M costs.</t>
  </si>
  <si>
    <t>Net Cash Flow</t>
  </si>
  <si>
    <t>Cumulative 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</si>
</sst>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%"/>
    <numFmt numFmtId="167" formatCode="_-* #,##0.00_-;\-* #,##0.00_-;_-* &quot;-&quot;??_-;_-@"/>
    <numFmt numFmtId="168" formatCode="\£#,##0.00"/>
    <numFmt numFmtId="169" formatCode="0.0000"/>
    <numFmt numFmtId="170" formatCode="_(* #,##0_);_(* \(#,##0\);_(* &quot;-&quot;??_);_(@_)"/>
  </numFmts>
  <fonts count="26">
    <font>
      <sz val="11.0"/>
      <color theme="1"/>
      <name val="Aptos Narrow"/>
      <scheme val="minor"/>
    </font>
    <font>
      <b/>
      <sz val="12.0"/>
      <color rgb="FFFFFFFF"/>
      <name val="Arial"/>
    </font>
    <font/>
    <font>
      <sz val="11.0"/>
      <color theme="1"/>
      <name val="Aptos Narrow"/>
    </font>
    <font>
      <b/>
      <sz val="10.0"/>
      <color rgb="FF404040"/>
      <name val="Sans-serif"/>
    </font>
    <font>
      <b/>
      <sz val="9.0"/>
      <color rgb="FFFFFFFF"/>
      <name val="Sans-serif"/>
    </font>
    <font>
      <b/>
      <sz val="8.0"/>
      <color rgb="FF404040"/>
      <name val="Arial"/>
    </font>
    <font>
      <b/>
      <sz val="9.0"/>
      <color rgb="FF404040"/>
      <name val="Sans-serif"/>
    </font>
    <font>
      <b/>
      <sz val="8.0"/>
      <color rgb="FF404040"/>
      <name val="Sans-serif"/>
    </font>
    <font>
      <b/>
      <sz val="10.0"/>
      <color rgb="FFFFFFFF"/>
      <name val="Sans-serif"/>
    </font>
    <font>
      <sz val="8.0"/>
      <color rgb="FF404040"/>
      <name val="Sans-serif"/>
    </font>
    <font>
      <b/>
      <sz val="8.0"/>
      <color theme="1"/>
      <name val="Sans-serif"/>
    </font>
    <font>
      <b/>
      <sz val="8.0"/>
      <color rgb="FF0000FF"/>
      <name val="Arial"/>
    </font>
    <font>
      <i/>
      <sz val="7.0"/>
      <color rgb="FF404040"/>
      <name val="Arial"/>
    </font>
    <font>
      <i/>
      <sz val="7.0"/>
      <color rgb="FF404040"/>
      <name val="Sans-serif"/>
    </font>
    <font>
      <b/>
      <sz val="8.0"/>
      <color rgb="FF3F3F3F"/>
      <name val="Arial"/>
    </font>
    <font>
      <b/>
      <sz val="8.0"/>
      <color rgb="FFFFFFFF"/>
      <name val="Sans-serif"/>
    </font>
    <font>
      <sz val="8.0"/>
      <color rgb="FF0000FF"/>
      <name val="Arial"/>
    </font>
    <font>
      <b/>
      <sz val="8.0"/>
      <color rgb="FF3F3F3F"/>
      <name val="Sans-serif"/>
    </font>
    <font>
      <sz val="8.0"/>
      <color rgb="FF0000FF"/>
      <name val="Sans-serif"/>
    </font>
    <font>
      <b/>
      <sz val="8.0"/>
      <color rgb="FF0000FF"/>
      <name val="Sans-serif"/>
    </font>
    <font>
      <sz val="8.0"/>
      <color rgb="FF404040"/>
      <name val="Arial"/>
    </font>
    <font>
      <sz val="11.0"/>
      <color theme="1"/>
      <name val="Calibri"/>
    </font>
    <font>
      <i/>
      <sz val="7.0"/>
      <color rgb="FF666666"/>
      <name val="Sans-serif"/>
    </font>
    <font>
      <b/>
      <sz val="7.0"/>
      <color theme="1"/>
      <name val="Sans-serif"/>
    </font>
    <font>
      <sz val="7.0"/>
      <color theme="1"/>
      <name val="Sans-serif"/>
    </font>
  </fonts>
  <fills count="14">
    <fill>
      <patternFill patternType="none"/>
    </fill>
    <fill>
      <patternFill patternType="lightGray"/>
    </fill>
    <fill>
      <patternFill patternType="solid">
        <fgColor rgb="FF2B579A"/>
        <bgColor rgb="FF2B579A"/>
      </patternFill>
    </fill>
    <fill>
      <patternFill patternType="solid">
        <fgColor rgb="FFB4D2F7"/>
        <bgColor rgb="FFB4D2F7"/>
      </patternFill>
    </fill>
    <fill>
      <patternFill patternType="solid">
        <fgColor rgb="FFF2F2F2"/>
        <bgColor rgb="FFF2F2F2"/>
      </patternFill>
    </fill>
    <fill>
      <patternFill patternType="solid">
        <fgColor rgb="FFE3EFFF"/>
        <bgColor rgb="FFE3EFFF"/>
      </patternFill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ECF0F1"/>
        <bgColor rgb="FFECF0F1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66">
    <border/>
    <border>
      <left/>
      <top/>
      <bottom/>
    </border>
    <border>
      <top/>
      <bottom/>
    </border>
    <border>
      <right/>
      <top/>
      <bottom/>
    </border>
    <border>
      <left style="medium">
        <color rgb="FF404040"/>
      </left>
      <top style="medium">
        <color rgb="FF404040"/>
      </top>
      <bottom style="medium">
        <color rgb="FF404040"/>
      </bottom>
    </border>
    <border>
      <top style="medium">
        <color rgb="FF404040"/>
      </top>
      <bottom style="medium">
        <color rgb="FF404040"/>
      </bottom>
    </border>
    <border>
      <right style="medium">
        <color rgb="FF404040"/>
      </right>
      <top style="medium">
        <color rgb="FF404040"/>
      </top>
      <bottom style="medium">
        <color rgb="FF404040"/>
      </bottom>
    </border>
    <border>
      <left style="thin">
        <color rgb="FF404040"/>
      </left>
      <right/>
      <top/>
      <bottom style="thin">
        <color rgb="FFD9D9D9"/>
      </bottom>
    </border>
    <border>
      <left/>
      <right style="thin">
        <color rgb="FF404040"/>
      </right>
      <top/>
      <bottom style="thin">
        <color rgb="FFD9D9D9"/>
      </bottom>
    </border>
    <border>
      <left style="thin">
        <color rgb="FF404040"/>
      </left>
      <right style="thin">
        <color rgb="FFD9D9D9"/>
      </right>
      <top/>
      <bottom style="thin">
        <color rgb="FF404040"/>
      </bottom>
    </border>
    <border>
      <left/>
      <right style="thin">
        <color rgb="FF404040"/>
      </right>
      <top/>
      <bottom style="thin">
        <color rgb="FF404040"/>
      </bottom>
    </border>
    <border>
      <left style="thin">
        <color rgb="FF404040"/>
      </left>
      <right/>
      <top/>
      <bottom style="thin">
        <color rgb="FF404040"/>
      </bottom>
    </border>
    <border>
      <left style="thin">
        <color rgb="FF404040"/>
      </left>
      <right/>
      <top/>
      <bottom style="thin">
        <color rgb="FF000000"/>
      </bottom>
    </border>
    <border>
      <left/>
      <right style="thin">
        <color rgb="FF40404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404040"/>
      </bottom>
    </border>
    <border>
      <right style="thin">
        <color rgb="FF000000"/>
      </right>
      <top style="thin">
        <color rgb="FF000000"/>
      </top>
      <bottom style="medium">
        <color rgb="FF404040"/>
      </bottom>
    </border>
    <border>
      <top style="thin">
        <color rgb="FF000000"/>
      </top>
      <bottom style="medium">
        <color rgb="FF404040"/>
      </bottom>
    </border>
    <border>
      <right/>
      <top style="thin">
        <color rgb="FF000000"/>
      </top>
      <bottom style="medium">
        <color rgb="FF40404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D9D9D9"/>
      </bottom>
    </border>
    <border>
      <left style="medium">
        <color rgb="FF404040"/>
      </left>
      <right style="medium">
        <color rgb="FF404040"/>
      </right>
      <top/>
      <bottom style="medium">
        <color rgb="FF404040"/>
      </bottom>
    </border>
    <border>
      <left/>
      <right style="thin">
        <color rgb="FF000000"/>
      </right>
      <top/>
      <bottom style="thin">
        <color rgb="FFD9D9D9"/>
      </bottom>
    </border>
    <border>
      <left style="thin">
        <color rgb="FF000000"/>
      </left>
      <right style="thin">
        <color rgb="FF404040"/>
      </right>
      <top/>
      <bottom/>
    </border>
    <border>
      <left style="thin">
        <color rgb="FF404040"/>
      </left>
      <right style="thin">
        <color rgb="FF404040"/>
      </right>
      <top/>
      <bottom/>
    </border>
    <border>
      <left style="thin">
        <color rgb="FF404040"/>
      </left>
      <right style="thin">
        <color rgb="FF000000"/>
      </right>
      <top/>
      <bottom/>
    </border>
    <border>
      <left style="thin">
        <color rgb="FF000000"/>
      </left>
      <top style="medium">
        <color rgb="FF404040"/>
      </top>
      <bottom style="medium">
        <color rgb="FF404040"/>
      </bottom>
    </border>
    <border>
      <right style="thin">
        <color rgb="FF000000"/>
      </right>
      <top style="medium">
        <color rgb="FF404040"/>
      </top>
      <bottom style="medium">
        <color rgb="FF40404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D9D9D9"/>
      </left>
      <right style="thin">
        <color rgb="FF404040"/>
      </right>
      <top/>
      <bottom/>
    </border>
    <border>
      <left style="thin">
        <color rgb="FFD9D9D9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D9D9D9"/>
      </bottom>
    </border>
    <border>
      <left style="thin">
        <color rgb="FFD9D9D9"/>
      </left>
      <right/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D9D9D9"/>
      </left>
      <right/>
      <top/>
      <bottom style="thin">
        <color rgb="FFD9D9D9"/>
      </bottom>
    </border>
    <border>
      <left style="thin">
        <color rgb="FF000000"/>
      </left>
      <right style="thin">
        <color rgb="FF000000"/>
      </right>
      <top/>
      <bottom style="thin">
        <color rgb="FFD9D9D9"/>
      </bottom>
    </border>
    <border>
      <left style="thin">
        <color rgb="FF000000"/>
      </left>
      <right/>
      <top style="thin">
        <color rgb="FFD9D9D9"/>
      </top>
      <bottom style="thin">
        <color rgb="FFD8D8D8"/>
      </bottom>
    </border>
    <border>
      <left style="thin">
        <color rgb="FFD9D9D9"/>
      </left>
      <right/>
      <top style="thin">
        <color rgb="FFD9D9D9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8D8D8"/>
      </bottom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D9D9D9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D9D9D9"/>
      </top>
      <bottom style="thin">
        <color rgb="FFD8D8D8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D9D9D9"/>
      </bottom>
    </border>
    <border>
      <left/>
      <right/>
      <top/>
      <bottom/>
    </border>
    <border>
      <left style="thin">
        <color rgb="FF2C3E50"/>
      </left>
      <right style="thin">
        <color rgb="FF2C3E50"/>
      </right>
      <top/>
      <bottom/>
    </border>
    <border>
      <left style="thin">
        <color rgb="FF2C3E5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</border>
    <border>
      <left style="thin">
        <color rgb="FF000000"/>
      </left>
      <right/>
      <top/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000000"/>
      </right>
      <bottom style="thin">
        <color rgb="FFD3D3D3"/>
      </bottom>
    </border>
    <border>
      <left style="thin">
        <color rgb="FFD3D3D3"/>
      </left>
      <right style="thin">
        <color theme="1"/>
      </right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000000"/>
      </bottom>
    </border>
    <border>
      <left style="thin">
        <color rgb="FFD3D3D3"/>
      </left>
      <right style="thin">
        <color rgb="FF000000"/>
      </right>
      <bottom style="thin">
        <color rgb="FF000000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3" fontId="4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vertical="center"/>
    </xf>
    <xf borderId="8" fillId="5" fontId="7" numFmtId="10" xfId="0" applyAlignment="1" applyBorder="1" applyFill="1" applyFont="1" applyNumberFormat="1">
      <alignment horizontal="right" vertical="center"/>
    </xf>
    <xf borderId="8" fillId="5" fontId="7" numFmtId="0" xfId="0" applyAlignment="1" applyBorder="1" applyFont="1">
      <alignment horizontal="right" vertical="center"/>
    </xf>
    <xf borderId="7" fillId="4" fontId="8" numFmtId="0" xfId="0" applyAlignment="1" applyBorder="1" applyFont="1">
      <alignment vertical="center"/>
    </xf>
    <xf borderId="8" fillId="5" fontId="7" numFmtId="4" xfId="0" applyAlignment="1" applyBorder="1" applyFont="1" applyNumberFormat="1">
      <alignment horizontal="right" vertical="center"/>
    </xf>
    <xf borderId="9" fillId="4" fontId="8" numFmtId="0" xfId="0" applyAlignment="1" applyBorder="1" applyFont="1">
      <alignment vertical="center"/>
    </xf>
    <xf borderId="10" fillId="6" fontId="7" numFmtId="2" xfId="0" applyAlignment="1" applyBorder="1" applyFill="1" applyFont="1" applyNumberFormat="1">
      <alignment horizontal="right" vertical="center"/>
    </xf>
    <xf borderId="10" fillId="5" fontId="7" numFmtId="0" xfId="0" applyAlignment="1" applyBorder="1" applyFont="1">
      <alignment horizontal="right" vertical="center"/>
    </xf>
    <xf borderId="11" fillId="4" fontId="8" numFmtId="0" xfId="0" applyAlignment="1" applyBorder="1" applyFont="1">
      <alignment vertical="center"/>
    </xf>
    <xf borderId="10" fillId="5" fontId="7" numFmtId="4" xfId="0" applyAlignment="1" applyBorder="1" applyFont="1" applyNumberFormat="1">
      <alignment horizontal="right" vertical="center"/>
    </xf>
    <xf borderId="10" fillId="6" fontId="7" numFmtId="164" xfId="0" applyAlignment="1" applyBorder="1" applyFont="1" applyNumberFormat="1">
      <alignment horizontal="right" vertical="center"/>
    </xf>
    <xf borderId="12" fillId="4" fontId="6" numFmtId="0" xfId="0" applyAlignment="1" applyBorder="1" applyFont="1">
      <alignment vertical="center"/>
    </xf>
    <xf borderId="13" fillId="5" fontId="7" numFmtId="10" xfId="0" applyAlignment="1" applyBorder="1" applyFont="1" applyNumberFormat="1">
      <alignment horizontal="right" vertical="center"/>
    </xf>
    <xf borderId="14" fillId="2" fontId="9" numFmtId="0" xfId="0" applyAlignment="1" applyBorder="1" applyFont="1">
      <alignment horizontal="center" vertical="center"/>
    </xf>
    <xf borderId="15" fillId="0" fontId="2" numFmtId="0" xfId="0" applyBorder="1" applyFont="1"/>
    <xf borderId="14" fillId="2" fontId="5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7" fontId="8" numFmtId="0" xfId="0" applyAlignment="1" applyBorder="1" applyFill="1" applyFont="1">
      <alignment horizontal="center" vertical="center"/>
    </xf>
    <xf borderId="19" fillId="0" fontId="2" numFmtId="0" xfId="0" applyBorder="1" applyFont="1"/>
    <xf borderId="20" fillId="4" fontId="8" numFmtId="0" xfId="0" applyAlignment="1" applyBorder="1" applyFont="1">
      <alignment horizontal="right" vertical="center"/>
    </xf>
    <xf borderId="7" fillId="4" fontId="8" numFmtId="0" xfId="0" applyAlignment="1" applyBorder="1" applyFont="1">
      <alignment horizontal="right" vertical="center"/>
    </xf>
    <xf borderId="21" fillId="8" fontId="7" numFmtId="0" xfId="0" applyAlignment="1" applyBorder="1" applyFill="1" applyFont="1">
      <alignment horizontal="center" vertical="center"/>
    </xf>
    <xf borderId="22" fillId="4" fontId="10" numFmtId="0" xfId="0" applyAlignment="1" applyBorder="1" applyFont="1">
      <alignment vertical="center"/>
    </xf>
    <xf borderId="20" fillId="4" fontId="10" numFmtId="0" xfId="0" applyAlignment="1" applyBorder="1" applyFont="1">
      <alignment horizontal="left" vertical="center"/>
    </xf>
    <xf borderId="22" fillId="5" fontId="11" numFmtId="10" xfId="0" applyAlignment="1" applyBorder="1" applyFont="1" applyNumberFormat="1">
      <alignment horizontal="center" readingOrder="0" vertical="center"/>
    </xf>
    <xf borderId="22" fillId="5" fontId="12" numFmtId="1" xfId="0" applyAlignment="1" applyBorder="1" applyFont="1" applyNumberFormat="1">
      <alignment horizontal="right" vertical="center"/>
    </xf>
    <xf borderId="23" fillId="4" fontId="13" numFmtId="0" xfId="0" applyAlignment="1" applyBorder="1" applyFont="1">
      <alignment horizontal="center" vertical="center"/>
    </xf>
    <xf borderId="24" fillId="4" fontId="14" numFmtId="0" xfId="0" applyAlignment="1" applyBorder="1" applyFont="1">
      <alignment horizontal="center" vertical="center"/>
    </xf>
    <xf borderId="25" fillId="4" fontId="14" numFmtId="0" xfId="0" applyAlignment="1" applyBorder="1" applyFont="1">
      <alignment horizontal="center" vertical="center"/>
    </xf>
    <xf borderId="22" fillId="5" fontId="15" numFmtId="2" xfId="0" applyAlignment="1" applyBorder="1" applyFont="1" applyNumberFormat="1">
      <alignment horizontal="right" vertical="center"/>
    </xf>
    <xf borderId="26" fillId="2" fontId="16" numFmtId="0" xfId="0" applyAlignment="1" applyBorder="1" applyFont="1">
      <alignment horizontal="center" vertical="center"/>
    </xf>
    <xf borderId="27" fillId="0" fontId="2" numFmtId="0" xfId="0" applyBorder="1" applyFont="1"/>
    <xf borderId="28" fillId="4" fontId="10" numFmtId="0" xfId="0" applyAlignment="1" applyBorder="1" applyFont="1">
      <alignment horizontal="left" vertical="center"/>
    </xf>
    <xf borderId="29" fillId="5" fontId="11" numFmtId="10" xfId="0" applyAlignment="1" applyBorder="1" applyFont="1" applyNumberFormat="1">
      <alignment horizontal="center" readingOrder="0" vertical="center"/>
    </xf>
    <xf borderId="30" fillId="9" fontId="8" numFmtId="0" xfId="0" applyAlignment="1" applyBorder="1" applyFill="1" applyFont="1">
      <alignment horizontal="left" vertical="center"/>
    </xf>
    <xf borderId="31" fillId="9" fontId="8" numFmtId="0" xfId="0" applyAlignment="1" applyBorder="1" applyFont="1">
      <alignment horizontal="center" vertical="center"/>
    </xf>
    <xf borderId="32" fillId="9" fontId="8" numFmtId="0" xfId="0" applyAlignment="1" applyBorder="1" applyFont="1">
      <alignment horizontal="center" vertical="center"/>
    </xf>
    <xf borderId="22" fillId="5" fontId="8" numFmtId="165" xfId="0" applyAlignment="1" applyBorder="1" applyFont="1" applyNumberFormat="1">
      <alignment horizontal="right" vertical="center"/>
    </xf>
    <xf borderId="33" fillId="4" fontId="10" numFmtId="0" xfId="0" applyAlignment="1" applyBorder="1" applyFont="1">
      <alignment horizontal="left" vertical="center"/>
    </xf>
    <xf borderId="34" fillId="5" fontId="17" numFmtId="165" xfId="0" applyAlignment="1" applyBorder="1" applyFont="1" applyNumberFormat="1">
      <alignment horizontal="center" readingOrder="0" vertical="center"/>
    </xf>
    <xf borderId="35" fillId="5" fontId="17" numFmtId="165" xfId="0" applyAlignment="1" applyBorder="1" applyFont="1" applyNumberFormat="1">
      <alignment horizontal="center" readingOrder="0" vertical="center"/>
    </xf>
    <xf borderId="35" fillId="5" fontId="17" numFmtId="165" xfId="0" applyAlignment="1" applyBorder="1" applyFont="1" applyNumberFormat="1">
      <alignment horizontal="center" vertical="center"/>
    </xf>
    <xf borderId="22" fillId="5" fontId="18" numFmtId="165" xfId="0" applyAlignment="1" applyBorder="1" applyFont="1" applyNumberFormat="1">
      <alignment horizontal="right" vertical="center"/>
    </xf>
    <xf borderId="36" fillId="5" fontId="17" numFmtId="0" xfId="0" applyAlignment="1" applyBorder="1" applyFont="1">
      <alignment horizontal="center" vertical="center"/>
    </xf>
    <xf borderId="37" fillId="5" fontId="17" numFmtId="0" xfId="0" applyAlignment="1" applyBorder="1" applyFont="1">
      <alignment horizontal="center" vertical="center"/>
    </xf>
    <xf borderId="22" fillId="5" fontId="8" numFmtId="4" xfId="0" applyAlignment="1" applyBorder="1" applyFont="1" applyNumberFormat="1">
      <alignment horizontal="right" vertical="center"/>
    </xf>
    <xf borderId="36" fillId="5" fontId="17" numFmtId="165" xfId="0" applyAlignment="1" applyBorder="1" applyFont="1" applyNumberFormat="1">
      <alignment horizontal="center" readingOrder="0" vertical="center"/>
    </xf>
    <xf borderId="37" fillId="5" fontId="17" numFmtId="165" xfId="0" applyAlignment="1" applyBorder="1" applyFont="1" applyNumberFormat="1">
      <alignment horizontal="center" readingOrder="0" vertical="center"/>
    </xf>
    <xf borderId="38" fillId="4" fontId="10" numFmtId="0" xfId="0" applyAlignment="1" applyBorder="1" applyFont="1">
      <alignment horizontal="left" vertical="center"/>
    </xf>
    <xf borderId="39" fillId="5" fontId="19" numFmtId="165" xfId="0" applyAlignment="1" applyBorder="1" applyFont="1" applyNumberFormat="1">
      <alignment horizontal="center" vertical="center"/>
    </xf>
    <xf borderId="40" fillId="5" fontId="19" numFmtId="165" xfId="0" applyAlignment="1" applyBorder="1" applyFont="1" applyNumberFormat="1">
      <alignment horizontal="center" vertical="center"/>
    </xf>
    <xf borderId="22" fillId="5" fontId="12" numFmtId="165" xfId="0" applyAlignment="1" applyBorder="1" applyFont="1" applyNumberFormat="1">
      <alignment horizontal="right" vertical="center"/>
    </xf>
    <xf borderId="41" fillId="4" fontId="10" numFmtId="0" xfId="0" applyAlignment="1" applyBorder="1" applyFont="1">
      <alignment horizontal="left" vertical="center"/>
    </xf>
    <xf borderId="42" fillId="5" fontId="19" numFmtId="0" xfId="0" applyAlignment="1" applyBorder="1" applyFont="1">
      <alignment horizontal="center" vertical="center"/>
    </xf>
    <xf borderId="43" fillId="5" fontId="19" numFmtId="0" xfId="0" applyAlignment="1" applyBorder="1" applyFont="1">
      <alignment horizontal="center" vertical="center"/>
    </xf>
    <xf borderId="22" fillId="5" fontId="6" numFmtId="10" xfId="0" applyAlignment="1" applyBorder="1" applyFont="1" applyNumberFormat="1">
      <alignment horizontal="right" vertical="center"/>
    </xf>
    <xf borderId="42" fillId="5" fontId="19" numFmtId="10" xfId="0" applyAlignment="1" applyBorder="1" applyFont="1" applyNumberFormat="1">
      <alignment horizontal="center" vertical="center"/>
    </xf>
    <xf borderId="43" fillId="5" fontId="19" numFmtId="10" xfId="0" applyAlignment="1" applyBorder="1" applyFont="1" applyNumberFormat="1">
      <alignment horizontal="center" vertical="center"/>
    </xf>
    <xf borderId="44" fillId="5" fontId="17" numFmtId="2" xfId="0" applyAlignment="1" applyBorder="1" applyFont="1" applyNumberFormat="1">
      <alignment horizontal="center" readingOrder="0" vertical="center"/>
    </xf>
    <xf borderId="45" fillId="5" fontId="17" numFmtId="2" xfId="0" applyAlignment="1" applyBorder="1" applyFont="1" applyNumberFormat="1">
      <alignment horizontal="center" readingOrder="0" vertical="center"/>
    </xf>
    <xf borderId="22" fillId="5" fontId="8" numFmtId="0" xfId="0" applyAlignment="1" applyBorder="1" applyFont="1">
      <alignment horizontal="right" vertical="center"/>
    </xf>
    <xf borderId="22" fillId="5" fontId="8" numFmtId="10" xfId="0" applyAlignment="1" applyBorder="1" applyFont="1" applyNumberFormat="1">
      <alignment horizontal="right" vertical="center"/>
    </xf>
    <xf borderId="22" fillId="5" fontId="20" numFmtId="10" xfId="0" applyAlignment="1" applyBorder="1" applyFont="1" applyNumberFormat="1">
      <alignment horizontal="right" vertical="center"/>
    </xf>
    <xf borderId="22" fillId="5" fontId="20" numFmtId="4" xfId="0" applyAlignment="1" applyBorder="1" applyFont="1" applyNumberFormat="1">
      <alignment horizontal="right" vertical="center"/>
    </xf>
    <xf borderId="22" fillId="5" fontId="8" numFmtId="2" xfId="0" applyAlignment="1" applyBorder="1" applyFont="1" applyNumberFormat="1">
      <alignment horizontal="right" vertical="center"/>
    </xf>
    <xf borderId="20" fillId="4" fontId="21" numFmtId="0" xfId="0" applyAlignment="1" applyBorder="1" applyFont="1">
      <alignment horizontal="left" readingOrder="0" vertical="center"/>
    </xf>
    <xf borderId="22" fillId="5" fontId="12" numFmtId="166" xfId="0" applyAlignment="1" applyBorder="1" applyFont="1" applyNumberFormat="1">
      <alignment horizontal="right" readingOrder="0" vertical="center"/>
    </xf>
    <xf borderId="46" fillId="5" fontId="12" numFmtId="166" xfId="0" applyAlignment="1" applyBorder="1" applyFont="1" applyNumberFormat="1">
      <alignment horizontal="right" readingOrder="0" vertical="center"/>
    </xf>
    <xf borderId="47" fillId="4" fontId="10" numFmtId="0" xfId="0" applyAlignment="1" applyBorder="1" applyFont="1">
      <alignment horizontal="left" vertical="center"/>
    </xf>
    <xf borderId="29" fillId="5" fontId="20" numFmtId="166" xfId="0" applyAlignment="1" applyBorder="1" applyFont="1" applyNumberFormat="1">
      <alignment horizontal="right" vertical="center"/>
    </xf>
    <xf borderId="0" fillId="0" fontId="3" numFmtId="4" xfId="0" applyAlignment="1" applyFont="1" applyNumberFormat="1">
      <alignment vertical="top"/>
    </xf>
    <xf borderId="48" fillId="7" fontId="8" numFmtId="0" xfId="0" applyAlignment="1" applyBorder="1" applyFont="1">
      <alignment horizontal="center" vertical="center"/>
    </xf>
    <xf borderId="49" fillId="7" fontId="8" numFmtId="0" xfId="0" applyAlignment="1" applyBorder="1" applyFont="1">
      <alignment horizontal="center" vertical="center"/>
    </xf>
    <xf borderId="50" fillId="5" fontId="8" numFmtId="165" xfId="0" applyAlignment="1" applyBorder="1" applyFont="1" applyNumberFormat="1">
      <alignment horizontal="right" vertical="center"/>
    </xf>
    <xf borderId="22" fillId="5" fontId="18" numFmtId="167" xfId="0" applyAlignment="1" applyBorder="1" applyFont="1" applyNumberFormat="1">
      <alignment horizontal="right" vertical="center"/>
    </xf>
    <xf borderId="29" fillId="5" fontId="8" numFmtId="164" xfId="0" applyAlignment="1" applyBorder="1" applyFont="1" applyNumberFormat="1">
      <alignment horizontal="right" vertical="center"/>
    </xf>
    <xf borderId="0" fillId="0" fontId="5" numFmtId="0" xfId="0" applyAlignment="1" applyFont="1">
      <alignment horizontal="center" vertical="center"/>
    </xf>
    <xf borderId="51" fillId="10" fontId="5" numFmtId="0" xfId="0" applyAlignment="1" applyBorder="1" applyFill="1" applyFont="1">
      <alignment horizontal="center" vertical="center"/>
    </xf>
    <xf borderId="0" fillId="0" fontId="22" numFmtId="0" xfId="0" applyAlignment="1" applyFont="1">
      <alignment vertical="top"/>
    </xf>
    <xf borderId="0" fillId="0" fontId="8" numFmtId="0" xfId="0" applyAlignment="1" applyFont="1">
      <alignment vertical="center"/>
    </xf>
    <xf borderId="0" fillId="0" fontId="23" numFmtId="0" xfId="0" applyAlignment="1" applyFont="1">
      <alignment vertical="top"/>
    </xf>
    <xf borderId="24" fillId="4" fontId="8" numFmtId="0" xfId="0" applyAlignment="1" applyBorder="1" applyFont="1">
      <alignment vertical="center"/>
    </xf>
    <xf borderId="52" fillId="11" fontId="22" numFmtId="0" xfId="0" applyAlignment="1" applyBorder="1" applyFill="1" applyFont="1">
      <alignment vertical="top"/>
    </xf>
    <xf borderId="53" fillId="11" fontId="22" numFmtId="0" xfId="0" applyAlignment="1" applyBorder="1" applyFont="1">
      <alignment vertical="top"/>
    </xf>
    <xf borderId="0" fillId="0" fontId="24" numFmtId="0" xfId="0" applyAlignment="1" applyFont="1">
      <alignment horizontal="center" vertical="top"/>
    </xf>
    <xf borderId="54" fillId="12" fontId="24" numFmtId="0" xfId="0" applyAlignment="1" applyBorder="1" applyFill="1" applyFont="1">
      <alignment horizontal="center" vertical="top"/>
    </xf>
    <xf borderId="0" fillId="0" fontId="22" numFmtId="4" xfId="0" applyAlignment="1" applyFont="1" applyNumberFormat="1">
      <alignment horizontal="right" vertical="top"/>
    </xf>
    <xf borderId="55" fillId="4" fontId="25" numFmtId="0" xfId="0" applyAlignment="1" applyBorder="1" applyFont="1">
      <alignment vertical="top"/>
    </xf>
    <xf borderId="56" fillId="0" fontId="22" numFmtId="4" xfId="0" applyAlignment="1" applyBorder="1" applyFont="1" applyNumberFormat="1">
      <alignment horizontal="right" vertical="top"/>
    </xf>
    <xf borderId="57" fillId="0" fontId="22" numFmtId="4" xfId="0" applyAlignment="1" applyBorder="1" applyFont="1" applyNumberFormat="1">
      <alignment horizontal="right" vertical="top"/>
    </xf>
    <xf borderId="0" fillId="0" fontId="22" numFmtId="168" xfId="0" applyAlignment="1" applyFont="1" applyNumberFormat="1">
      <alignment horizontal="right" vertical="top"/>
    </xf>
    <xf borderId="58" fillId="4" fontId="25" numFmtId="0" xfId="0" applyAlignment="1" applyBorder="1" applyFont="1">
      <alignment vertical="top"/>
    </xf>
    <xf borderId="59" fillId="0" fontId="22" numFmtId="0" xfId="0" applyAlignment="1" applyBorder="1" applyFont="1">
      <alignment horizontal="right" vertical="top"/>
    </xf>
    <xf borderId="59" fillId="0" fontId="22" numFmtId="4" xfId="0" applyAlignment="1" applyBorder="1" applyFont="1" applyNumberFormat="1">
      <alignment horizontal="right" vertical="top"/>
    </xf>
    <xf borderId="60" fillId="0" fontId="22" numFmtId="4" xfId="0" applyAlignment="1" applyBorder="1" applyFont="1" applyNumberFormat="1">
      <alignment horizontal="right" vertical="top"/>
    </xf>
    <xf borderId="59" fillId="0" fontId="22" numFmtId="169" xfId="0" applyAlignment="1" applyBorder="1" applyFont="1" applyNumberFormat="1">
      <alignment horizontal="right" vertical="top"/>
    </xf>
    <xf borderId="60" fillId="0" fontId="22" numFmtId="169" xfId="0" applyAlignment="1" applyBorder="1" applyFont="1" applyNumberFormat="1">
      <alignment horizontal="right" vertical="top"/>
    </xf>
    <xf borderId="0" fillId="0" fontId="22" numFmtId="2" xfId="0" applyAlignment="1" applyFont="1" applyNumberFormat="1">
      <alignment horizontal="right" vertical="top"/>
    </xf>
    <xf borderId="59" fillId="0" fontId="22" numFmtId="164" xfId="0" applyAlignment="1" applyBorder="1" applyFont="1" applyNumberFormat="1">
      <alignment horizontal="right" vertical="top"/>
    </xf>
    <xf borderId="60" fillId="0" fontId="22" numFmtId="164" xfId="0" applyAlignment="1" applyBorder="1" applyFont="1" applyNumberFormat="1">
      <alignment horizontal="right" vertical="top"/>
    </xf>
    <xf borderId="0" fillId="0" fontId="22" numFmtId="164" xfId="0" applyAlignment="1" applyFont="1" applyNumberFormat="1">
      <alignment horizontal="right" vertical="top"/>
    </xf>
    <xf borderId="0" fillId="0" fontId="22" numFmtId="169" xfId="0" applyAlignment="1" applyFont="1" applyNumberFormat="1">
      <alignment horizontal="right" vertical="top"/>
    </xf>
    <xf borderId="61" fillId="0" fontId="22" numFmtId="4" xfId="0" applyAlignment="1" applyBorder="1" applyFont="1" applyNumberFormat="1">
      <alignment horizontal="right" vertical="top"/>
    </xf>
    <xf borderId="28" fillId="4" fontId="25" numFmtId="0" xfId="0" applyAlignment="1" applyBorder="1" applyFont="1">
      <alignment vertical="top"/>
    </xf>
    <xf borderId="62" fillId="0" fontId="22" numFmtId="4" xfId="0" applyAlignment="1" applyBorder="1" applyFont="1" applyNumberFormat="1">
      <alignment horizontal="right" vertical="top"/>
    </xf>
    <xf borderId="63" fillId="0" fontId="22" numFmtId="4" xfId="0" applyAlignment="1" applyBorder="1" applyFont="1" applyNumberFormat="1">
      <alignment horizontal="right" vertical="top"/>
    </xf>
    <xf borderId="64" fillId="0" fontId="23" numFmtId="0" xfId="0" applyAlignment="1" applyBorder="1" applyFont="1">
      <alignment vertical="top"/>
    </xf>
    <xf borderId="64" fillId="0" fontId="3" numFmtId="0" xfId="0" applyBorder="1" applyFont="1"/>
    <xf borderId="51" fillId="2" fontId="16" numFmtId="0" xfId="0" applyAlignment="1" applyBorder="1" applyFont="1">
      <alignment horizontal="center" vertical="center"/>
    </xf>
    <xf borderId="51" fillId="4" fontId="10" numFmtId="0" xfId="0" applyAlignment="1" applyBorder="1" applyFont="1">
      <alignment horizontal="center" vertical="center"/>
    </xf>
    <xf borderId="51" fillId="13" fontId="10" numFmtId="170" xfId="0" applyAlignment="1" applyBorder="1" applyFill="1" applyFont="1" applyNumberFormat="1">
      <alignment horizontal="right" vertical="center"/>
    </xf>
    <xf borderId="65" fillId="0" fontId="3" numFmtId="0" xfId="0" applyBorder="1" applyFont="1"/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Project Cash Flows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val>
            <c:numRef>
              <c:f>'EV Charging'!$A$57:$A$66</c:f>
              <c:numCache/>
            </c:numRef>
          </c:val>
        </c:ser>
        <c:ser>
          <c:idx val="1"/>
          <c:order val="1"/>
          <c:tx>
            <c:v>Net Cash 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val>
            <c:numRef>
              <c:f>'EV Charging'!$A$83:$A$84</c:f>
              <c:numCache/>
            </c:numRef>
          </c:val>
        </c:ser>
        <c:ser>
          <c:idx val="2"/>
          <c:order val="2"/>
          <c:tx>
            <c:v>Cumulative Cash Flow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val>
            <c:numRef>
              <c:f>'EV Charging'!$B$57:$B$66</c:f>
              <c:numCache/>
            </c:numRef>
          </c:val>
        </c:ser>
        <c:ser>
          <c:idx val="3"/>
          <c:order val="3"/>
          <c:val>
            <c:numRef>
              <c:f>'EV Charging'!$B$83:$B$84</c:f>
              <c:numCache/>
            </c:numRef>
          </c:val>
        </c:ser>
        <c:ser>
          <c:idx val="4"/>
          <c:order val="4"/>
          <c:val>
            <c:numRef>
              <c:f>'EV Charging'!$C$57:$C$66</c:f>
              <c:numCache/>
            </c:numRef>
          </c:val>
        </c:ser>
        <c:ser>
          <c:idx val="5"/>
          <c:order val="5"/>
          <c:val>
            <c:numRef>
              <c:f>'EV Charging'!$C$83:$C$84</c:f>
              <c:numCache/>
            </c:numRef>
          </c:val>
        </c:ser>
        <c:axId val="1348955358"/>
        <c:axId val="2125142726"/>
      </c:barChart>
      <c:catAx>
        <c:axId val="1348955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125142726"/>
      </c:catAx>
      <c:valAx>
        <c:axId val="2125142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34895535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828675</xdr:colOff>
      <xdr:row>53</xdr:row>
      <xdr:rowOff>66675</xdr:rowOff>
    </xdr:from>
    <xdr:ext cx="6276975" cy="2771775"/>
    <xdr:graphicFrame>
      <xdr:nvGraphicFramePr>
        <xdr:cNvPr id="50920981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Ecoyield%20Financial%20Model%20(With%20Lease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Summary"/>
      <sheetName val="Assumptions"/>
      <sheetName val="Scenario_params"/>
      <sheetName val="Calcs"/>
      <sheetName val="PhaseIvsII"/>
      <sheetName val="Fee_Run"/>
      <sheetName val="30KWHydro"/>
      <sheetName val="StakingRewards"/>
      <sheetName val="100kW_Rooftop"/>
      <sheetName val="1MWSolar"/>
      <sheetName val="GPU+Solar"/>
      <sheetName val="Larger GPU+Solar"/>
      <sheetName val="EV Charging"/>
      <sheetName val="StakingFormula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5.75"/>
    <col customWidth="1" min="2" max="2" width="14.25"/>
    <col customWidth="1" min="3" max="3" width="18.75"/>
    <col customWidth="1" min="4" max="4" width="27.38"/>
    <col customWidth="1" min="5" max="5" width="21.0"/>
    <col customWidth="1" min="6" max="6" width="13.25"/>
    <col customWidth="1" min="7" max="7" width="17.13"/>
    <col customWidth="1" min="8" max="8" width="13.25"/>
    <col customWidth="1" min="9" max="9" width="14.75"/>
    <col customWidth="1" min="10" max="10" width="12.88"/>
    <col customWidth="1" min="11" max="11" width="21.75"/>
    <col customWidth="1" min="12" max="12" width="20.13"/>
    <col customWidth="1" min="13" max="15" width="14.25"/>
    <col customWidth="1" min="16" max="20" width="12.75"/>
    <col customWidth="1" min="21" max="27" width="12.88"/>
    <col customWidth="1" min="28" max="28" width="8.88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8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8.75" customHeight="1">
      <c r="A4" s="6" t="s">
        <v>2</v>
      </c>
      <c r="B4" s="7"/>
      <c r="C4" s="8"/>
      <c r="D4" s="6" t="s">
        <v>3</v>
      </c>
      <c r="E4" s="7"/>
      <c r="F4" s="8"/>
      <c r="G4" s="6" t="s">
        <v>4</v>
      </c>
      <c r="H4" s="7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0" customHeight="1">
      <c r="A5" s="9" t="s">
        <v>5</v>
      </c>
      <c r="B5" s="10">
        <f>B24</f>
        <v>0.386273492</v>
      </c>
      <c r="C5" s="11"/>
      <c r="D5" s="12" t="s">
        <v>6</v>
      </c>
      <c r="E5" s="13">
        <f>B22</f>
        <v>44296.875</v>
      </c>
      <c r="F5" s="11"/>
      <c r="G5" s="12"/>
      <c r="H5" s="13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0" customHeight="1">
      <c r="A6" s="14" t="s">
        <v>7</v>
      </c>
      <c r="B6" s="15">
        <f>B28</f>
        <v>2.644940289</v>
      </c>
      <c r="C6" s="16"/>
      <c r="D6" s="17" t="s">
        <v>8</v>
      </c>
      <c r="E6" s="18">
        <f>L51</f>
        <v>156507.4803</v>
      </c>
      <c r="F6" s="16"/>
      <c r="G6" s="17" t="s">
        <v>9</v>
      </c>
      <c r="H6" s="18">
        <f>C49</f>
        <v>15798.91935</v>
      </c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0" customHeight="1">
      <c r="A7" s="14" t="s">
        <v>10</v>
      </c>
      <c r="B7" s="19">
        <f>SUM(B50:L50)</f>
        <v>99934.46485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0" t="s">
        <v>11</v>
      </c>
      <c r="B8" s="21">
        <f>$B$5*(1-IF($B$5&lt;=$J$13,$J$12,$J$12+$J$14*($B$5-$J$13)))</f>
        <v>0.296218947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1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1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8.75" customHeight="1">
      <c r="A11" s="22" t="s">
        <v>12</v>
      </c>
      <c r="B11" s="23"/>
      <c r="C11" s="4"/>
      <c r="D11" s="24" t="s">
        <v>13</v>
      </c>
      <c r="E11" s="25"/>
      <c r="F11" s="25"/>
      <c r="G11" s="23"/>
      <c r="H11" s="4"/>
      <c r="I11" s="24" t="s">
        <v>14</v>
      </c>
      <c r="J11" s="2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0" customHeight="1">
      <c r="A12" s="27" t="s">
        <v>15</v>
      </c>
      <c r="B12" s="28"/>
      <c r="C12" s="4"/>
      <c r="D12" s="29" t="s">
        <v>16</v>
      </c>
      <c r="E12" s="30"/>
      <c r="F12" s="31" t="s">
        <v>17</v>
      </c>
      <c r="G12" s="32"/>
      <c r="H12" s="4"/>
      <c r="I12" s="33" t="s">
        <v>18</v>
      </c>
      <c r="J12" s="34">
        <v>0.1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0" customHeight="1">
      <c r="A13" s="33" t="s">
        <v>19</v>
      </c>
      <c r="B13" s="35">
        <v>15.0</v>
      </c>
      <c r="C13" s="4"/>
      <c r="D13" s="36" t="s">
        <v>20</v>
      </c>
      <c r="E13" s="37"/>
      <c r="F13" s="37"/>
      <c r="G13" s="38"/>
      <c r="H13" s="4"/>
      <c r="I13" s="33" t="s">
        <v>21</v>
      </c>
      <c r="J13" s="34">
        <v>0.12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0" customHeight="1">
      <c r="A14" s="33" t="s">
        <v>22</v>
      </c>
      <c r="B14" s="39">
        <f t="array" ref="B14">INDEX($E$20:$G$20,1,MATCH($F$12,$E$15:$G$15,0))</f>
        <v>7</v>
      </c>
      <c r="C14" s="4"/>
      <c r="D14" s="40" t="s">
        <v>23</v>
      </c>
      <c r="E14" s="7"/>
      <c r="F14" s="7"/>
      <c r="G14" s="41"/>
      <c r="H14" s="4"/>
      <c r="I14" s="42" t="s">
        <v>24</v>
      </c>
      <c r="J14" s="43">
        <v>0.5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0" customHeight="1">
      <c r="A15" s="33" t="s">
        <v>25</v>
      </c>
      <c r="B15" s="39">
        <f>B13*B14</f>
        <v>105</v>
      </c>
      <c r="C15" s="4"/>
      <c r="D15" s="44" t="s">
        <v>26</v>
      </c>
      <c r="E15" s="45" t="s">
        <v>27</v>
      </c>
      <c r="F15" s="45" t="s">
        <v>17</v>
      </c>
      <c r="G15" s="46" t="s">
        <v>28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0" customHeight="1">
      <c r="A16" s="33" t="s">
        <v>29</v>
      </c>
      <c r="B16" s="47">
        <f t="array" ref="B16">INDEX($E$16:$G$16,1,MATCH($F$12,$E$15:$G$15,0))</f>
        <v>0.27</v>
      </c>
      <c r="C16" s="4"/>
      <c r="D16" s="48" t="s">
        <v>29</v>
      </c>
      <c r="E16" s="49">
        <v>0.29</v>
      </c>
      <c r="F16" s="50">
        <f>0.2*1.35</f>
        <v>0.27</v>
      </c>
      <c r="G16" s="51">
        <v>0.25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0" customHeight="1">
      <c r="A17" s="33" t="s">
        <v>30</v>
      </c>
      <c r="B17" s="52">
        <f t="array" ref="B17">INDEX($E$19:$G$19,1,MATCH($F$12,$E$15:$G$15,0))</f>
        <v>0.6075</v>
      </c>
      <c r="C17" s="4"/>
      <c r="D17" s="33" t="s">
        <v>31</v>
      </c>
      <c r="E17" s="53">
        <v>3.5</v>
      </c>
      <c r="F17" s="54">
        <v>3.0</v>
      </c>
      <c r="G17" s="54">
        <v>2.5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0" customHeight="1">
      <c r="A18" s="33" t="s">
        <v>32</v>
      </c>
      <c r="B18" s="55">
        <f t="array" ref="B18">INDEX($E$22:$G$22,1,MATCH($F$12,$E$15:$G$15,0))</f>
        <v>2</v>
      </c>
      <c r="C18" s="4"/>
      <c r="D18" s="33" t="s">
        <v>33</v>
      </c>
      <c r="E18" s="56">
        <v>42000.0</v>
      </c>
      <c r="F18" s="57">
        <f>32812.5*1.35</f>
        <v>44296.875</v>
      </c>
      <c r="G18" s="57">
        <v>46000.0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0" customHeight="1">
      <c r="A19" s="33" t="s">
        <v>34</v>
      </c>
      <c r="B19" s="55">
        <f>B13*B18</f>
        <v>30</v>
      </c>
      <c r="C19" s="4"/>
      <c r="D19" s="58" t="s">
        <v>30</v>
      </c>
      <c r="E19" s="59">
        <f>0.4*1.35</f>
        <v>0.54</v>
      </c>
      <c r="F19" s="60">
        <f>0.45*1.35</f>
        <v>0.6075</v>
      </c>
      <c r="G19" s="60">
        <f>0.5*1.35</f>
        <v>0.675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0" customHeight="1">
      <c r="A20" s="33" t="s">
        <v>35</v>
      </c>
      <c r="B20" s="61">
        <f>3380*1.35</f>
        <v>4563</v>
      </c>
      <c r="C20" s="4"/>
      <c r="D20" s="62" t="s">
        <v>22</v>
      </c>
      <c r="E20" s="63">
        <v>6.6</v>
      </c>
      <c r="F20" s="64">
        <v>7.0</v>
      </c>
      <c r="G20" s="64">
        <v>7.4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0" customHeight="1">
      <c r="A21" s="33" t="s">
        <v>36</v>
      </c>
      <c r="B21" s="65">
        <f t="array" ref="B21">INDEX($E$21:$G$21,1,MATCH($F$12,$E$15:$G$15,0))</f>
        <v>0.93</v>
      </c>
      <c r="C21" s="4"/>
      <c r="D21" s="62" t="s">
        <v>36</v>
      </c>
      <c r="E21" s="66">
        <v>0.9</v>
      </c>
      <c r="F21" s="67">
        <v>0.93</v>
      </c>
      <c r="G21" s="67">
        <v>0.96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0" customHeight="1">
      <c r="A22" s="33" t="s">
        <v>37</v>
      </c>
      <c r="B22" s="47">
        <f t="array" ref="B22">INDEX($E$18:$G$18,1,MATCH($F$12,$E$15:$G$15,0))</f>
        <v>44296.875</v>
      </c>
      <c r="C22" s="4"/>
      <c r="D22" s="42" t="s">
        <v>38</v>
      </c>
      <c r="E22" s="68">
        <v>1.5</v>
      </c>
      <c r="F22" s="69">
        <v>2.0</v>
      </c>
      <c r="G22" s="69">
        <v>2.5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0" customHeight="1">
      <c r="A23" s="33" t="s">
        <v>31</v>
      </c>
      <c r="B23" s="70">
        <f t="array" ref="B23">INDEX($E$17:$G$17,1,MATCH($F$12,$E$15:$G$15,0))</f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0" customHeight="1">
      <c r="A24" s="33" t="s">
        <v>39</v>
      </c>
      <c r="B24" s="71">
        <f>IRR(B49:L49)</f>
        <v>0.386273492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0" customHeight="1">
      <c r="A25" s="33" t="s">
        <v>40</v>
      </c>
      <c r="B25" s="72">
        <v>0.05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0" customHeight="1">
      <c r="A26" s="33" t="s">
        <v>41</v>
      </c>
      <c r="B26" s="72">
        <v>0.05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0" customHeight="1">
      <c r="A27" s="33" t="s">
        <v>42</v>
      </c>
      <c r="B27" s="73">
        <v>10.0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0" customHeight="1">
      <c r="A28" s="33" t="s">
        <v>7</v>
      </c>
      <c r="B28" s="74">
        <f t="array" ref="B28">IF(B51&gt;=0,0,IF(L51&lt;0,"Payback not achieved in 25 years",MATCH(TRUE,C51:L51&gt;=0,0)-1+(-INDEX(B51:L51,MATCH(TRUE,C51:L51&gt;=0,0))/INDEX(B49:L49,MATCH(TRUE,B51:L51&gt;=0,0)+1))))</f>
        <v>2.644940289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0" customHeight="1">
      <c r="A29" s="33" t="s">
        <v>43</v>
      </c>
      <c r="B29" s="73">
        <v>10.0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0" customHeight="1">
      <c r="A30" s="75" t="s">
        <v>44</v>
      </c>
      <c r="B30" s="76">
        <v>0.06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58" t="s">
        <v>45</v>
      </c>
      <c r="B31" s="77">
        <v>0.04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0" customHeight="1">
      <c r="A32" s="78" t="s">
        <v>46</v>
      </c>
      <c r="B32" s="79">
        <v>0.2</v>
      </c>
      <c r="C32" s="4"/>
      <c r="D32" s="4"/>
      <c r="E32" s="4"/>
      <c r="F32" s="8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0" customHeight="1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0" customHeight="1">
      <c r="A34" s="81" t="s">
        <v>47</v>
      </c>
      <c r="B34" s="8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0" customHeight="1">
      <c r="A35" s="48" t="s">
        <v>48</v>
      </c>
      <c r="B35" s="83">
        <f>B22</f>
        <v>44296.875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0" customHeight="1">
      <c r="A36" s="33" t="s">
        <v>49</v>
      </c>
      <c r="B36" s="84">
        <f>B37/B21</f>
        <v>82419.35484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0" customHeight="1">
      <c r="A37" s="42" t="s">
        <v>50</v>
      </c>
      <c r="B37" s="85">
        <f>B14*B19*365</f>
        <v>76650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0" customHeight="1">
      <c r="C38" s="4"/>
      <c r="D38" s="4"/>
      <c r="E38" s="4"/>
      <c r="F38" s="4"/>
      <c r="G38" s="4"/>
      <c r="H38" s="4"/>
      <c r="I38" s="4"/>
      <c r="J38" s="4"/>
      <c r="K38" s="4"/>
      <c r="L38" s="4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4"/>
    </row>
    <row r="39" ht="15.0" customHeight="1">
      <c r="A39" s="87" t="s">
        <v>51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8"/>
      <c r="N39" s="88"/>
      <c r="O39" s="89"/>
      <c r="P39" s="89"/>
      <c r="Q39" s="89"/>
      <c r="R39" s="89"/>
      <c r="S39" s="89"/>
      <c r="T39" s="89"/>
      <c r="U39" s="89"/>
      <c r="V39" s="89"/>
      <c r="W39" s="88"/>
      <c r="X39" s="88"/>
      <c r="Y39" s="88"/>
      <c r="Z39" s="88"/>
      <c r="AA39" s="89"/>
      <c r="AB39" s="4"/>
    </row>
    <row r="40" ht="15.0" customHeight="1">
      <c r="A40" s="90"/>
      <c r="B40" s="90"/>
      <c r="C40" s="91" t="s">
        <v>52</v>
      </c>
      <c r="D40" s="91"/>
      <c r="E40" s="91"/>
      <c r="F40" s="91"/>
      <c r="G40" s="91"/>
      <c r="H40" s="91"/>
      <c r="I40" s="91"/>
      <c r="J40" s="91"/>
      <c r="K40" s="92"/>
      <c r="L40" s="93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4"/>
    </row>
    <row r="41" ht="15.0" customHeight="1">
      <c r="A41" s="95" t="s">
        <v>53</v>
      </c>
      <c r="B41" s="95">
        <v>0.0</v>
      </c>
      <c r="C41" s="95">
        <f t="shared" ref="C41:L41" si="1">B41+1</f>
        <v>1</v>
      </c>
      <c r="D41" s="95">
        <f t="shared" si="1"/>
        <v>2</v>
      </c>
      <c r="E41" s="95">
        <f t="shared" si="1"/>
        <v>3</v>
      </c>
      <c r="F41" s="95">
        <f t="shared" si="1"/>
        <v>4</v>
      </c>
      <c r="G41" s="95">
        <f t="shared" si="1"/>
        <v>5</v>
      </c>
      <c r="H41" s="95">
        <f t="shared" si="1"/>
        <v>6</v>
      </c>
      <c r="I41" s="95">
        <f t="shared" si="1"/>
        <v>7</v>
      </c>
      <c r="J41" s="95">
        <f t="shared" si="1"/>
        <v>8</v>
      </c>
      <c r="K41" s="95">
        <f t="shared" si="1"/>
        <v>9</v>
      </c>
      <c r="L41" s="95">
        <f t="shared" si="1"/>
        <v>10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4"/>
    </row>
    <row r="42" ht="15.0" customHeight="1">
      <c r="A42" s="97" t="s">
        <v>54</v>
      </c>
      <c r="B42" s="98">
        <f>-$B$35</f>
        <v>-44296.875</v>
      </c>
      <c r="C42" s="98">
        <v>0.0</v>
      </c>
      <c r="D42" s="98">
        <v>0.0</v>
      </c>
      <c r="E42" s="98">
        <v>0.0</v>
      </c>
      <c r="F42" s="98">
        <v>0.0</v>
      </c>
      <c r="G42" s="98">
        <v>0.0</v>
      </c>
      <c r="H42" s="98">
        <v>0.0</v>
      </c>
      <c r="I42" s="98">
        <v>0.0</v>
      </c>
      <c r="J42" s="98">
        <v>0.0</v>
      </c>
      <c r="K42" s="98">
        <v>0.0</v>
      </c>
      <c r="L42" s="99">
        <v>0.0</v>
      </c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4"/>
    </row>
    <row r="43" ht="15.0" customHeight="1">
      <c r="A43" s="101" t="s">
        <v>29</v>
      </c>
      <c r="B43" s="102"/>
      <c r="C43" s="103">
        <f t="shared" ref="C43:C44" si="3">B16</f>
        <v>0.27</v>
      </c>
      <c r="D43" s="103">
        <f t="shared" ref="D43:L43" si="2">C43*(1+$B$25)</f>
        <v>0.2835</v>
      </c>
      <c r="E43" s="103">
        <f t="shared" si="2"/>
        <v>0.297675</v>
      </c>
      <c r="F43" s="103">
        <f t="shared" si="2"/>
        <v>0.31255875</v>
      </c>
      <c r="G43" s="103">
        <f t="shared" si="2"/>
        <v>0.3281866875</v>
      </c>
      <c r="H43" s="103">
        <f t="shared" si="2"/>
        <v>0.3445960219</v>
      </c>
      <c r="I43" s="103">
        <f t="shared" si="2"/>
        <v>0.361825823</v>
      </c>
      <c r="J43" s="103">
        <f t="shared" si="2"/>
        <v>0.3799171141</v>
      </c>
      <c r="K43" s="103">
        <f t="shared" si="2"/>
        <v>0.3989129698</v>
      </c>
      <c r="L43" s="104">
        <f t="shared" si="2"/>
        <v>0.4188586183</v>
      </c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4"/>
    </row>
    <row r="44" ht="15.0" customHeight="1">
      <c r="A44" s="101" t="s">
        <v>55</v>
      </c>
      <c r="B44" s="102"/>
      <c r="C44" s="105">
        <f t="shared" si="3"/>
        <v>0.6075</v>
      </c>
      <c r="D44" s="105">
        <f t="shared" ref="D44:L44" si="4">C44*(1+$B$26)</f>
        <v>0.637875</v>
      </c>
      <c r="E44" s="105">
        <f t="shared" si="4"/>
        <v>0.66976875</v>
      </c>
      <c r="F44" s="105">
        <f t="shared" si="4"/>
        <v>0.7032571875</v>
      </c>
      <c r="G44" s="105">
        <f t="shared" si="4"/>
        <v>0.7384200469</v>
      </c>
      <c r="H44" s="105">
        <f t="shared" si="4"/>
        <v>0.7753410492</v>
      </c>
      <c r="I44" s="105">
        <f t="shared" si="4"/>
        <v>0.8141081017</v>
      </c>
      <c r="J44" s="105">
        <f t="shared" si="4"/>
        <v>0.8548135068</v>
      </c>
      <c r="K44" s="105">
        <f t="shared" si="4"/>
        <v>0.8975541821</v>
      </c>
      <c r="L44" s="106">
        <f t="shared" si="4"/>
        <v>0.9424318912</v>
      </c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4"/>
    </row>
    <row r="45" ht="15.0" customHeight="1">
      <c r="A45" s="101" t="s">
        <v>56</v>
      </c>
      <c r="B45" s="102"/>
      <c r="C45" s="108">
        <f t="shared" ref="C45:L45" si="5">C44*$B$37</f>
        <v>46564.875</v>
      </c>
      <c r="D45" s="108">
        <f t="shared" si="5"/>
        <v>48893.11875</v>
      </c>
      <c r="E45" s="108">
        <f t="shared" si="5"/>
        <v>51337.77469</v>
      </c>
      <c r="F45" s="108">
        <f t="shared" si="5"/>
        <v>53904.66342</v>
      </c>
      <c r="G45" s="108">
        <f t="shared" si="5"/>
        <v>56599.89659</v>
      </c>
      <c r="H45" s="108">
        <f t="shared" si="5"/>
        <v>59429.89142</v>
      </c>
      <c r="I45" s="108">
        <f t="shared" si="5"/>
        <v>62401.38599</v>
      </c>
      <c r="J45" s="108">
        <f t="shared" si="5"/>
        <v>65521.45529</v>
      </c>
      <c r="K45" s="108">
        <f t="shared" si="5"/>
        <v>68797.52806</v>
      </c>
      <c r="L45" s="109">
        <f t="shared" si="5"/>
        <v>72237.40446</v>
      </c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4"/>
    </row>
    <row r="46" ht="15.0" customHeight="1">
      <c r="A46" s="101" t="s">
        <v>57</v>
      </c>
      <c r="B46" s="102"/>
      <c r="C46" s="108">
        <f t="shared" ref="C46:L46" si="6">$B$36*C43</f>
        <v>22253.22581</v>
      </c>
      <c r="D46" s="108">
        <f t="shared" si="6"/>
        <v>23365.8871</v>
      </c>
      <c r="E46" s="108">
        <f t="shared" si="6"/>
        <v>24534.18145</v>
      </c>
      <c r="F46" s="108">
        <f t="shared" si="6"/>
        <v>25760.89052</v>
      </c>
      <c r="G46" s="108">
        <f t="shared" si="6"/>
        <v>27048.93505</v>
      </c>
      <c r="H46" s="108">
        <f t="shared" si="6"/>
        <v>28401.3818</v>
      </c>
      <c r="I46" s="108">
        <f t="shared" si="6"/>
        <v>29821.45089</v>
      </c>
      <c r="J46" s="108">
        <f t="shared" si="6"/>
        <v>31312.52344</v>
      </c>
      <c r="K46" s="108">
        <f t="shared" si="6"/>
        <v>32878.14961</v>
      </c>
      <c r="L46" s="109">
        <f t="shared" si="6"/>
        <v>34522.05709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4"/>
    </row>
    <row r="47" ht="15.75" customHeight="1">
      <c r="A47" s="101" t="s">
        <v>58</v>
      </c>
      <c r="B47" s="102"/>
      <c r="C47" s="103">
        <f>$B$20</f>
        <v>4563</v>
      </c>
      <c r="D47" s="103">
        <f t="shared" ref="D47:L47" si="7">C47*(1+$B$31)</f>
        <v>4745.52</v>
      </c>
      <c r="E47" s="103">
        <f t="shared" si="7"/>
        <v>4935.3408</v>
      </c>
      <c r="F47" s="103">
        <f t="shared" si="7"/>
        <v>5132.754432</v>
      </c>
      <c r="G47" s="103">
        <f t="shared" si="7"/>
        <v>5338.064609</v>
      </c>
      <c r="H47" s="103">
        <f t="shared" si="7"/>
        <v>5551.587194</v>
      </c>
      <c r="I47" s="103">
        <f t="shared" si="7"/>
        <v>5773.650681</v>
      </c>
      <c r="J47" s="103">
        <f t="shared" si="7"/>
        <v>6004.596709</v>
      </c>
      <c r="K47" s="103">
        <f t="shared" si="7"/>
        <v>6244.780577</v>
      </c>
      <c r="L47" s="104">
        <f t="shared" si="7"/>
        <v>6494.5718</v>
      </c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4"/>
    </row>
    <row r="48" ht="18.75" customHeight="1">
      <c r="A48" s="101" t="s">
        <v>59</v>
      </c>
      <c r="B48" s="102"/>
      <c r="C48" s="103">
        <f t="shared" ref="C48:L48" si="8">(C45-C47-C46)*$B$32</f>
        <v>3949.729839</v>
      </c>
      <c r="D48" s="103">
        <f t="shared" si="8"/>
        <v>4156.342331</v>
      </c>
      <c r="E48" s="103">
        <f t="shared" si="8"/>
        <v>4373.650487</v>
      </c>
      <c r="F48" s="103">
        <f t="shared" si="8"/>
        <v>4602.203693</v>
      </c>
      <c r="G48" s="103">
        <f t="shared" si="8"/>
        <v>4842.579387</v>
      </c>
      <c r="H48" s="103">
        <f t="shared" si="8"/>
        <v>5095.384485</v>
      </c>
      <c r="I48" s="103">
        <f t="shared" si="8"/>
        <v>5361.256884</v>
      </c>
      <c r="J48" s="103">
        <f t="shared" si="8"/>
        <v>5640.867029</v>
      </c>
      <c r="K48" s="103">
        <f t="shared" si="8"/>
        <v>5934.919574</v>
      </c>
      <c r="L48" s="103">
        <f t="shared" si="8"/>
        <v>6244.155114</v>
      </c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4"/>
    </row>
    <row r="49" ht="15.0" customHeight="1">
      <c r="A49" s="101" t="s">
        <v>60</v>
      </c>
      <c r="B49" s="103">
        <f>B42</f>
        <v>-44296.875</v>
      </c>
      <c r="C49" s="103">
        <f t="shared" ref="C49:L49" si="9">C42+C45-C46-C47-C48</f>
        <v>15798.91935</v>
      </c>
      <c r="D49" s="103">
        <f t="shared" si="9"/>
        <v>16625.36932</v>
      </c>
      <c r="E49" s="103">
        <f t="shared" si="9"/>
        <v>17494.60195</v>
      </c>
      <c r="F49" s="103">
        <f t="shared" si="9"/>
        <v>18408.81477</v>
      </c>
      <c r="G49" s="103">
        <f t="shared" si="9"/>
        <v>19370.31755</v>
      </c>
      <c r="H49" s="103">
        <f t="shared" si="9"/>
        <v>20381.53794</v>
      </c>
      <c r="I49" s="103">
        <f t="shared" si="9"/>
        <v>21445.02754</v>
      </c>
      <c r="J49" s="103">
        <f t="shared" si="9"/>
        <v>22563.46812</v>
      </c>
      <c r="K49" s="103">
        <f t="shared" si="9"/>
        <v>23739.6783</v>
      </c>
      <c r="L49" s="112">
        <f t="shared" si="9"/>
        <v>24976.62046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4"/>
    </row>
    <row r="50" ht="15.0" customHeight="1">
      <c r="A50" s="101" t="s">
        <v>61</v>
      </c>
      <c r="B50" s="103">
        <f>B49</f>
        <v>-44296.875</v>
      </c>
      <c r="C50" s="103">
        <f t="shared" ref="C50:L50" si="10">C49/((1+$B$30)^C$41)</f>
        <v>14904.6409</v>
      </c>
      <c r="D50" s="103">
        <f t="shared" si="10"/>
        <v>14796.51951</v>
      </c>
      <c r="E50" s="103">
        <f t="shared" si="10"/>
        <v>14688.80515</v>
      </c>
      <c r="F50" s="103">
        <f t="shared" si="10"/>
        <v>14581.50553</v>
      </c>
      <c r="G50" s="103">
        <f t="shared" si="10"/>
        <v>14474.6281</v>
      </c>
      <c r="H50" s="103">
        <f t="shared" si="10"/>
        <v>14368.18</v>
      </c>
      <c r="I50" s="103">
        <f t="shared" si="10"/>
        <v>14262.16811</v>
      </c>
      <c r="J50" s="103">
        <f t="shared" si="10"/>
        <v>14156.59904</v>
      </c>
      <c r="K50" s="103">
        <f t="shared" si="10"/>
        <v>14051.47911</v>
      </c>
      <c r="L50" s="104">
        <f t="shared" si="10"/>
        <v>13946.81441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4"/>
    </row>
    <row r="51" ht="15.0" customHeight="1">
      <c r="A51" s="113" t="s">
        <v>62</v>
      </c>
      <c r="B51" s="114">
        <f>B49</f>
        <v>-44296.875</v>
      </c>
      <c r="C51" s="114">
        <f t="shared" ref="C51:L51" si="11">B51+C49</f>
        <v>-28497.95565</v>
      </c>
      <c r="D51" s="114">
        <f t="shared" si="11"/>
        <v>-11872.58632</v>
      </c>
      <c r="E51" s="114">
        <f t="shared" si="11"/>
        <v>5622.015626</v>
      </c>
      <c r="F51" s="114">
        <f t="shared" si="11"/>
        <v>24030.8304</v>
      </c>
      <c r="G51" s="114">
        <f t="shared" si="11"/>
        <v>43401.14795</v>
      </c>
      <c r="H51" s="114">
        <f t="shared" si="11"/>
        <v>63782.68589</v>
      </c>
      <c r="I51" s="114">
        <f t="shared" si="11"/>
        <v>85227.71342</v>
      </c>
      <c r="J51" s="114">
        <f t="shared" si="11"/>
        <v>107791.1815</v>
      </c>
      <c r="K51" s="114">
        <f t="shared" si="11"/>
        <v>131530.8598</v>
      </c>
      <c r="L51" s="115">
        <f t="shared" si="11"/>
        <v>156507.4803</v>
      </c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4"/>
    </row>
    <row r="52" ht="15.0" customHeight="1"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4"/>
    </row>
    <row r="53" ht="15.0" customHeight="1">
      <c r="A53" s="116" t="s">
        <v>63</v>
      </c>
      <c r="B53" s="117"/>
      <c r="C53" s="117"/>
      <c r="D53" s="117"/>
      <c r="E53" s="117"/>
      <c r="F53" s="117"/>
      <c r="G53" s="117"/>
      <c r="H53" s="117"/>
      <c r="I53" s="117"/>
      <c r="J53" s="117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4"/>
    </row>
    <row r="54" ht="15.0" customHeight="1">
      <c r="A54" s="88"/>
      <c r="B54" s="4"/>
      <c r="C54" s="4"/>
      <c r="D54" s="4"/>
      <c r="E54" s="4"/>
      <c r="F54" s="4"/>
      <c r="G54" s="4"/>
      <c r="H54" s="4"/>
      <c r="I54" s="4"/>
      <c r="J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118" t="s">
        <v>53</v>
      </c>
      <c r="B56" s="118" t="s">
        <v>64</v>
      </c>
      <c r="C56" s="118" t="s">
        <v>65</v>
      </c>
      <c r="D56" s="4"/>
      <c r="E56" s="4"/>
      <c r="F56" s="4"/>
      <c r="G56" s="4"/>
      <c r="H56" s="4"/>
      <c r="I56" s="4"/>
      <c r="J56" s="4"/>
      <c r="K56" s="88"/>
      <c r="L56" s="8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0" customHeight="1">
      <c r="A57" s="119">
        <v>0.0</v>
      </c>
      <c r="B57" s="120">
        <f>B49</f>
        <v>-44296.875</v>
      </c>
      <c r="C57" s="120">
        <f>B51</f>
        <v>-44296.875</v>
      </c>
      <c r="D57" s="4"/>
      <c r="E57" s="4"/>
      <c r="F57" s="4"/>
      <c r="G57" s="4"/>
      <c r="H57" s="4"/>
      <c r="I57" s="4"/>
      <c r="J57" s="4"/>
      <c r="K57" s="117"/>
      <c r="L57" s="12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11"/>
    </row>
    <row r="58" ht="15.0" customHeight="1">
      <c r="A58" s="119">
        <f t="shared" ref="A58:A67" si="12">A57+1</f>
        <v>1</v>
      </c>
      <c r="B58" s="120">
        <f>C49</f>
        <v>15798.91935</v>
      </c>
      <c r="C58" s="120">
        <f>C51</f>
        <v>-28497.95565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11"/>
    </row>
    <row r="59" ht="15.0" customHeight="1">
      <c r="A59" s="119">
        <f t="shared" si="12"/>
        <v>2</v>
      </c>
      <c r="B59" s="120">
        <f>D49</f>
        <v>16625.36932</v>
      </c>
      <c r="C59" s="120">
        <f>D51</f>
        <v>-11872.58632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96"/>
    </row>
    <row r="60" ht="15.0" customHeight="1">
      <c r="A60" s="119">
        <f t="shared" si="12"/>
        <v>3</v>
      </c>
      <c r="B60" s="120">
        <f>E49</f>
        <v>17494.60195</v>
      </c>
      <c r="C60" s="120">
        <f>E51</f>
        <v>5622.015626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0" customHeight="1">
      <c r="A61" s="119">
        <f t="shared" si="12"/>
        <v>4</v>
      </c>
      <c r="B61" s="120">
        <f>F49</f>
        <v>18408.81477</v>
      </c>
      <c r="C61" s="120">
        <f>F51</f>
        <v>24030.8304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0" customHeight="1">
      <c r="A62" s="119">
        <f t="shared" si="12"/>
        <v>5</v>
      </c>
      <c r="B62" s="120">
        <f>G49</f>
        <v>19370.31755</v>
      </c>
      <c r="C62" s="120">
        <f>G51</f>
        <v>43401.14795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0" customHeight="1">
      <c r="A63" s="119">
        <f t="shared" si="12"/>
        <v>6</v>
      </c>
      <c r="B63" s="120">
        <f>H49</f>
        <v>20381.53794</v>
      </c>
      <c r="C63" s="120">
        <f>H51</f>
        <v>63782.68589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0" customHeight="1">
      <c r="A64" s="119">
        <f t="shared" si="12"/>
        <v>7</v>
      </c>
      <c r="B64" s="120">
        <f>I49</f>
        <v>21445.02754</v>
      </c>
      <c r="C64" s="120">
        <f>I51</f>
        <v>85227.71342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0" customHeight="1">
      <c r="A65" s="119">
        <f t="shared" si="12"/>
        <v>8</v>
      </c>
      <c r="B65" s="120">
        <f>J49</f>
        <v>22563.46812</v>
      </c>
      <c r="C65" s="120">
        <f>J51</f>
        <v>107791.1815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19">
        <f t="shared" si="12"/>
        <v>9</v>
      </c>
      <c r="B66" s="120">
        <f>K49</f>
        <v>23739.6783</v>
      </c>
      <c r="C66" s="120">
        <f>K51</f>
        <v>131530.8598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0" customHeight="1">
      <c r="A67" s="119">
        <f t="shared" si="12"/>
        <v>10</v>
      </c>
      <c r="B67" s="120">
        <f>L49</f>
        <v>24976.62046</v>
      </c>
      <c r="C67" s="120">
        <f>L51</f>
        <v>156507.4803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0" customHeight="1">
      <c r="A68" s="122"/>
      <c r="B68" s="120"/>
      <c r="C68" s="12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0" customHeight="1"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0" customHeight="1"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0" customHeight="1"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0" customHeight="1">
      <c r="A72" s="122"/>
      <c r="B72" s="120"/>
      <c r="C72" s="12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0" customHeight="1">
      <c r="A73" s="122"/>
      <c r="B73" s="120"/>
      <c r="C73" s="12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0" customHeight="1">
      <c r="A74" s="122"/>
      <c r="B74" s="120"/>
      <c r="C74" s="12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0" customHeight="1">
      <c r="A75" s="122"/>
      <c r="B75" s="120"/>
      <c r="C75" s="12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0" customHeight="1">
      <c r="A76" s="122"/>
      <c r="B76" s="120"/>
      <c r="C76" s="12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0" customHeight="1">
      <c r="A77" s="122"/>
      <c r="B77" s="120"/>
      <c r="C77" s="12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0" customHeight="1">
      <c r="A78" s="122"/>
      <c r="B78" s="120"/>
      <c r="C78" s="12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0" customHeight="1">
      <c r="A79" s="122"/>
      <c r="B79" s="120"/>
      <c r="C79" s="12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0" customHeight="1">
      <c r="A80" s="122"/>
      <c r="B80" s="120"/>
      <c r="C80" s="12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0" customHeight="1">
      <c r="A81" s="122"/>
      <c r="B81" s="120"/>
      <c r="C81" s="12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0" customHeight="1">
      <c r="A82" s="122"/>
      <c r="B82" s="120"/>
      <c r="C82" s="12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0" customHeight="1">
      <c r="A83" s="122"/>
      <c r="B83" s="120"/>
      <c r="C83" s="12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0" customHeight="1">
      <c r="A84" s="122"/>
      <c r="B84" s="120"/>
      <c r="C84" s="12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0" customHeight="1">
      <c r="AB85" s="4"/>
    </row>
    <row r="86" ht="15.0" customHeight="1">
      <c r="AB86" s="4"/>
    </row>
    <row r="87" ht="15.0" customHeight="1">
      <c r="AB87" s="4"/>
    </row>
    <row r="88" ht="15.0" customHeight="1">
      <c r="AB88" s="4"/>
    </row>
    <row r="89" ht="15.0" customHeight="1">
      <c r="AB89" s="4"/>
    </row>
    <row r="90" ht="15.0" customHeight="1">
      <c r="AB90" s="4"/>
    </row>
    <row r="91" ht="15.0" customHeight="1">
      <c r="AB91" s="4"/>
    </row>
    <row r="92" ht="15.0" customHeight="1">
      <c r="AB92" s="4"/>
    </row>
    <row r="93" ht="15.0" customHeight="1">
      <c r="AB93" s="4"/>
    </row>
    <row r="94" ht="15.75" customHeight="1">
      <c r="AB94" s="4"/>
    </row>
    <row r="95" ht="15.75" customHeight="1"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1:B11"/>
    <mergeCell ref="A12:B12"/>
    <mergeCell ref="D14:G14"/>
    <mergeCell ref="A1:O1"/>
    <mergeCell ref="A2:O2"/>
    <mergeCell ref="A4:C4"/>
    <mergeCell ref="D4:F4"/>
    <mergeCell ref="G4:I4"/>
    <mergeCell ref="D11:G11"/>
    <mergeCell ref="I11:J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2025-09-11T14:14:47Z</dcterms:created>
  <dc:creator>Kye Barwell</dc:creator>
</cp:coreProperties>
</file>