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4615" windowHeight="14250" firstSheet="10" activeTab="17"/>
  </bookViews>
  <sheets>
    <sheet name="Table 2" sheetId="1" r:id="rId1"/>
    <sheet name="Table 3" sheetId="2" r:id="rId2"/>
    <sheet name="Sunk Costs" sheetId="3" r:id="rId3"/>
    <sheet name="Anchoring1" sheetId="4" r:id="rId4"/>
    <sheet name="Anchoring2" sheetId="5" r:id="rId5"/>
    <sheet name="Anchoring3" sheetId="6" r:id="rId6"/>
    <sheet name="Anchoring4" sheetId="7" r:id="rId7"/>
    <sheet name="Gambler's Fallacy" sheetId="8" r:id="rId8"/>
    <sheet name="Flag Priming" sheetId="9" r:id="rId9"/>
    <sheet name="Quote Attribution" sheetId="10" r:id="rId10"/>
    <sheet name="Money Priming" sheetId="11" r:id="rId11"/>
    <sheet name="Imagined Contact" sheetId="12" r:id="rId12"/>
    <sheet name="Math_Art Gender" sheetId="13" r:id="rId13"/>
    <sheet name="IAT correlation" sheetId="14" r:id="rId14"/>
    <sheet name="Gain_Loss" sheetId="15" r:id="rId15"/>
    <sheet name="Allowed_forbidden" sheetId="16" r:id="rId16"/>
    <sheet name="Reciprocity" sheetId="17" r:id="rId17"/>
    <sheet name="Scales" sheetId="18" r:id="rId18"/>
  </sheets>
  <calcPr calcId="145621"/>
</workbook>
</file>

<file path=xl/calcChain.xml><?xml version="1.0" encoding="utf-8"?>
<calcChain xmlns="http://schemas.openxmlformats.org/spreadsheetml/2006/main">
  <c r="G39" i="18" l="1"/>
  <c r="F39" i="18"/>
  <c r="G38" i="18"/>
  <c r="F38" i="18"/>
  <c r="G37" i="18"/>
  <c r="F37" i="18"/>
  <c r="G36" i="18"/>
  <c r="F36" i="18"/>
  <c r="G35" i="18"/>
  <c r="F35" i="18"/>
  <c r="G34" i="18"/>
  <c r="F34" i="18"/>
  <c r="G33" i="18"/>
  <c r="F33" i="18"/>
  <c r="G32" i="18"/>
  <c r="F32" i="18"/>
  <c r="G31" i="18"/>
  <c r="F31" i="18"/>
  <c r="G30" i="18"/>
  <c r="F30" i="18"/>
  <c r="G29" i="18"/>
  <c r="F29" i="18"/>
  <c r="G28" i="18"/>
  <c r="F28" i="18"/>
  <c r="G27" i="18"/>
  <c r="F27" i="18"/>
  <c r="G26" i="18"/>
  <c r="F26" i="18"/>
  <c r="G25" i="18"/>
  <c r="F25" i="18"/>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H3" i="18"/>
  <c r="E3" i="18"/>
  <c r="D3" i="18"/>
  <c r="C3" i="18"/>
  <c r="B3" i="18"/>
  <c r="G2" i="18"/>
  <c r="F2" i="18"/>
  <c r="G39" i="17"/>
  <c r="F39" i="17"/>
  <c r="G38" i="17"/>
  <c r="F38" i="17"/>
  <c r="G37" i="17"/>
  <c r="F37" i="17"/>
  <c r="G36" i="17"/>
  <c r="F36" i="17"/>
  <c r="G35" i="17"/>
  <c r="F35" i="17"/>
  <c r="G34" i="17"/>
  <c r="F34" i="17"/>
  <c r="G33" i="17"/>
  <c r="F33" i="17"/>
  <c r="G32" i="17"/>
  <c r="F32" i="17"/>
  <c r="G31" i="17"/>
  <c r="F31" i="17"/>
  <c r="G30" i="17"/>
  <c r="F30" i="17"/>
  <c r="G29" i="17"/>
  <c r="F29" i="17"/>
  <c r="G28" i="17"/>
  <c r="F28" i="17"/>
  <c r="G27" i="17"/>
  <c r="F27" i="17"/>
  <c r="G26" i="17"/>
  <c r="F26" i="17"/>
  <c r="G25" i="17"/>
  <c r="F25" i="17"/>
  <c r="G24" i="17"/>
  <c r="F24" i="17"/>
  <c r="G23" i="17"/>
  <c r="F23" i="17"/>
  <c r="G22" i="17"/>
  <c r="F22" i="17"/>
  <c r="G21" i="17"/>
  <c r="F21" i="17"/>
  <c r="G20" i="17"/>
  <c r="F20" i="17"/>
  <c r="G19" i="17"/>
  <c r="F19" i="17"/>
  <c r="G18" i="17"/>
  <c r="F18" i="17"/>
  <c r="G17" i="17"/>
  <c r="F17" i="17"/>
  <c r="G16" i="17"/>
  <c r="F16" i="17"/>
  <c r="G15" i="17"/>
  <c r="F15" i="17"/>
  <c r="G14" i="17"/>
  <c r="F14" i="17"/>
  <c r="G13" i="17"/>
  <c r="F13" i="17"/>
  <c r="G12" i="17"/>
  <c r="F12" i="17"/>
  <c r="G11" i="17"/>
  <c r="F11" i="17"/>
  <c r="G10" i="17"/>
  <c r="F10" i="17"/>
  <c r="G9" i="17"/>
  <c r="F9" i="17"/>
  <c r="G8" i="17"/>
  <c r="F8" i="17"/>
  <c r="G7" i="17"/>
  <c r="F7" i="17"/>
  <c r="G6" i="17"/>
  <c r="F6" i="17"/>
  <c r="G5" i="17"/>
  <c r="F5" i="17"/>
  <c r="G4" i="17"/>
  <c r="F4" i="17"/>
  <c r="H3" i="17"/>
  <c r="E3" i="17"/>
  <c r="D3" i="17"/>
  <c r="C3" i="17"/>
  <c r="B3" i="17"/>
  <c r="G2" i="17"/>
  <c r="F2" i="17"/>
  <c r="G39" i="16"/>
  <c r="F39" i="16"/>
  <c r="G38" i="16"/>
  <c r="F38" i="16"/>
  <c r="G37" i="16"/>
  <c r="F37" i="16"/>
  <c r="G36" i="16"/>
  <c r="F36" i="16"/>
  <c r="G35" i="16"/>
  <c r="F35" i="16"/>
  <c r="G34" i="16"/>
  <c r="F34" i="16"/>
  <c r="G33" i="16"/>
  <c r="F33" i="16"/>
  <c r="G32" i="16"/>
  <c r="F32" i="16"/>
  <c r="G31" i="16"/>
  <c r="F31" i="16"/>
  <c r="G30" i="16"/>
  <c r="F30" i="16"/>
  <c r="G29" i="16"/>
  <c r="F29" i="16"/>
  <c r="G28" i="16"/>
  <c r="F28" i="16"/>
  <c r="G27" i="16"/>
  <c r="F27" i="16"/>
  <c r="G26" i="16"/>
  <c r="F26" i="16"/>
  <c r="G25" i="16"/>
  <c r="F25" i="16"/>
  <c r="G24" i="16"/>
  <c r="F24" i="16"/>
  <c r="G23" i="16"/>
  <c r="F23" i="16"/>
  <c r="G22" i="16"/>
  <c r="F22" i="16"/>
  <c r="G21" i="16"/>
  <c r="F21" i="16"/>
  <c r="G20" i="16"/>
  <c r="F20" i="16"/>
  <c r="G19" i="16"/>
  <c r="F19" i="16"/>
  <c r="G18" i="16"/>
  <c r="F18" i="16"/>
  <c r="G17" i="16"/>
  <c r="F17" i="16"/>
  <c r="G16" i="16"/>
  <c r="F16" i="16"/>
  <c r="G15" i="16"/>
  <c r="F15" i="16"/>
  <c r="G14" i="16"/>
  <c r="F14" i="16"/>
  <c r="G13" i="16"/>
  <c r="F13" i="16"/>
  <c r="G12" i="16"/>
  <c r="F12" i="16"/>
  <c r="G11" i="16"/>
  <c r="F11" i="16"/>
  <c r="G10" i="16"/>
  <c r="F10" i="16"/>
  <c r="G9" i="16"/>
  <c r="F9" i="16"/>
  <c r="G8" i="16"/>
  <c r="F8" i="16"/>
  <c r="G7" i="16"/>
  <c r="F7" i="16"/>
  <c r="G6" i="16"/>
  <c r="F6" i="16"/>
  <c r="G5" i="16"/>
  <c r="F5" i="16"/>
  <c r="G4" i="16"/>
  <c r="F4" i="16"/>
  <c r="H3" i="16"/>
  <c r="E3" i="16"/>
  <c r="D3" i="16"/>
  <c r="C3" i="16"/>
  <c r="B3" i="16"/>
  <c r="G2" i="16"/>
  <c r="F2" i="16"/>
  <c r="G39" i="15"/>
  <c r="F39" i="15"/>
  <c r="G38" i="15"/>
  <c r="F38" i="15"/>
  <c r="G37" i="15"/>
  <c r="F37" i="15"/>
  <c r="G36" i="15"/>
  <c r="F36" i="15"/>
  <c r="G35" i="15"/>
  <c r="F35" i="15"/>
  <c r="G34" i="15"/>
  <c r="F34" i="15"/>
  <c r="G33" i="15"/>
  <c r="F33" i="15"/>
  <c r="G32" i="15"/>
  <c r="F32" i="15"/>
  <c r="G31" i="15"/>
  <c r="F31" i="15"/>
  <c r="G30" i="15"/>
  <c r="F30" i="15"/>
  <c r="G29" i="15"/>
  <c r="F29" i="15"/>
  <c r="G28" i="15"/>
  <c r="F28" i="15"/>
  <c r="G27" i="15"/>
  <c r="F27" i="15"/>
  <c r="G26" i="15"/>
  <c r="F26" i="15"/>
  <c r="G25" i="15"/>
  <c r="F25" i="15"/>
  <c r="G24" i="15"/>
  <c r="F24" i="15"/>
  <c r="G23" i="15"/>
  <c r="F23" i="15"/>
  <c r="G22" i="15"/>
  <c r="F22" i="15"/>
  <c r="G21" i="15"/>
  <c r="F21" i="15"/>
  <c r="G20" i="15"/>
  <c r="F20" i="15"/>
  <c r="G19" i="15"/>
  <c r="F19" i="15"/>
  <c r="G18" i="15"/>
  <c r="F18" i="15"/>
  <c r="G17" i="15"/>
  <c r="F17" i="15"/>
  <c r="G16" i="15"/>
  <c r="F16" i="15"/>
  <c r="G15" i="15"/>
  <c r="F15" i="15"/>
  <c r="G14" i="15"/>
  <c r="F14" i="15"/>
  <c r="G13" i="15"/>
  <c r="F13" i="15"/>
  <c r="G12" i="15"/>
  <c r="F12" i="15"/>
  <c r="G11" i="15"/>
  <c r="F11" i="15"/>
  <c r="G10" i="15"/>
  <c r="F10" i="15"/>
  <c r="G9" i="15"/>
  <c r="F9" i="15"/>
  <c r="G8" i="15"/>
  <c r="F8" i="15"/>
  <c r="G7" i="15"/>
  <c r="F7" i="15"/>
  <c r="G6" i="15"/>
  <c r="F6" i="15"/>
  <c r="G5" i="15"/>
  <c r="F5" i="15"/>
  <c r="G4" i="15"/>
  <c r="F4" i="15"/>
  <c r="H3" i="15"/>
  <c r="E3" i="15"/>
  <c r="D3" i="15"/>
  <c r="C3" i="15"/>
  <c r="B3" i="15"/>
  <c r="G2" i="15"/>
  <c r="F2" i="15"/>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D3" i="14"/>
  <c r="B3" i="14"/>
  <c r="C2" i="14"/>
  <c r="M39" i="13"/>
  <c r="D39" i="13"/>
  <c r="M38" i="13"/>
  <c r="D38" i="13"/>
  <c r="M37" i="13"/>
  <c r="D37" i="13"/>
  <c r="M36" i="13"/>
  <c r="D36" i="13"/>
  <c r="M35" i="13"/>
  <c r="D35" i="13"/>
  <c r="M34" i="13"/>
  <c r="D34" i="13"/>
  <c r="M33" i="13"/>
  <c r="D33" i="13"/>
  <c r="M32" i="13"/>
  <c r="D32" i="13"/>
  <c r="M31" i="13"/>
  <c r="D31" i="13"/>
  <c r="M30" i="13"/>
  <c r="D30" i="13"/>
  <c r="M29" i="13"/>
  <c r="D29" i="13"/>
  <c r="M28" i="13"/>
  <c r="D28" i="13"/>
  <c r="M27" i="13"/>
  <c r="D27" i="13"/>
  <c r="M26" i="13"/>
  <c r="D26" i="13"/>
  <c r="M25" i="13"/>
  <c r="D25" i="13"/>
  <c r="D24" i="13"/>
  <c r="M23" i="13"/>
  <c r="D23" i="13"/>
  <c r="M22" i="13"/>
  <c r="D22" i="13"/>
  <c r="M21" i="13"/>
  <c r="D21" i="13"/>
  <c r="M20" i="13"/>
  <c r="D20" i="13"/>
  <c r="M19" i="13"/>
  <c r="D19" i="13"/>
  <c r="M18" i="13"/>
  <c r="D18" i="13"/>
  <c r="M17" i="13"/>
  <c r="D17" i="13"/>
  <c r="M16" i="13"/>
  <c r="D16" i="13"/>
  <c r="M15" i="13"/>
  <c r="D15" i="13"/>
  <c r="M14" i="13"/>
  <c r="D14" i="13"/>
  <c r="M13" i="13"/>
  <c r="D13" i="13"/>
  <c r="M12" i="13"/>
  <c r="D12" i="13"/>
  <c r="M11" i="13"/>
  <c r="D11" i="13"/>
  <c r="M10" i="13"/>
  <c r="D10" i="13"/>
  <c r="M9" i="13"/>
  <c r="D9" i="13"/>
  <c r="M8" i="13"/>
  <c r="D8" i="13"/>
  <c r="M7" i="13"/>
  <c r="D7" i="13"/>
  <c r="M6" i="13"/>
  <c r="D6" i="13"/>
  <c r="M5" i="13"/>
  <c r="D5" i="13"/>
  <c r="M4" i="13"/>
  <c r="D4" i="13"/>
  <c r="N3" i="13"/>
  <c r="M3" i="13"/>
  <c r="L3" i="13"/>
  <c r="K3" i="13"/>
  <c r="J3" i="13"/>
  <c r="I3" i="13"/>
  <c r="H3" i="13"/>
  <c r="G3" i="13"/>
  <c r="F3" i="13"/>
  <c r="E3" i="13"/>
  <c r="C3" i="13"/>
  <c r="B3" i="13"/>
  <c r="M2" i="13"/>
  <c r="D2" i="13"/>
  <c r="C2" i="13"/>
  <c r="B2" i="13"/>
  <c r="M39" i="12"/>
  <c r="D39" i="12"/>
  <c r="M38" i="12"/>
  <c r="D38" i="12"/>
  <c r="M37" i="12"/>
  <c r="D37" i="12"/>
  <c r="M36" i="12"/>
  <c r="D36" i="12"/>
  <c r="M35" i="12"/>
  <c r="D35" i="12"/>
  <c r="M34" i="12"/>
  <c r="D34" i="12"/>
  <c r="M33" i="12"/>
  <c r="D33" i="12"/>
  <c r="M32" i="12"/>
  <c r="D32" i="12"/>
  <c r="M31" i="12"/>
  <c r="D31" i="12"/>
  <c r="M30" i="12"/>
  <c r="D30" i="12"/>
  <c r="M29" i="12"/>
  <c r="D29" i="12"/>
  <c r="M28" i="12"/>
  <c r="D28" i="12"/>
  <c r="M27" i="12"/>
  <c r="D27" i="12"/>
  <c r="M26" i="12"/>
  <c r="D26" i="12"/>
  <c r="M25" i="12"/>
  <c r="D25" i="12"/>
  <c r="M24" i="12"/>
  <c r="D24" i="12"/>
  <c r="M23" i="12"/>
  <c r="D23" i="12"/>
  <c r="M22" i="12"/>
  <c r="D22" i="12"/>
  <c r="M21" i="12"/>
  <c r="D21" i="12"/>
  <c r="M20" i="12"/>
  <c r="D20" i="12"/>
  <c r="M19" i="12"/>
  <c r="D19" i="12"/>
  <c r="M18" i="12"/>
  <c r="D18" i="12"/>
  <c r="M17" i="12"/>
  <c r="D17" i="12"/>
  <c r="M16" i="12"/>
  <c r="D16" i="12"/>
  <c r="M15" i="12"/>
  <c r="D15" i="12"/>
  <c r="M14" i="12"/>
  <c r="D14" i="12"/>
  <c r="M13" i="12"/>
  <c r="D13" i="12"/>
  <c r="M12" i="12"/>
  <c r="D12" i="12"/>
  <c r="M11" i="12"/>
  <c r="D11" i="12"/>
  <c r="M10" i="12"/>
  <c r="D10" i="12"/>
  <c r="M9" i="12"/>
  <c r="D9" i="12"/>
  <c r="M8" i="12"/>
  <c r="D8" i="12"/>
  <c r="M7" i="12"/>
  <c r="D7" i="12"/>
  <c r="M6" i="12"/>
  <c r="D6" i="12"/>
  <c r="M5" i="12"/>
  <c r="D5" i="12"/>
  <c r="M4" i="12"/>
  <c r="D4" i="12"/>
  <c r="N3" i="12"/>
  <c r="M3" i="12"/>
  <c r="L3" i="12"/>
  <c r="K3" i="12"/>
  <c r="J3" i="12"/>
  <c r="I3" i="12"/>
  <c r="H3" i="12"/>
  <c r="G3" i="12"/>
  <c r="F3" i="12"/>
  <c r="E3" i="12"/>
  <c r="C3" i="12"/>
  <c r="B3" i="12"/>
  <c r="M2" i="12"/>
  <c r="D2" i="12"/>
  <c r="C2" i="12"/>
  <c r="B2" i="12"/>
  <c r="M39" i="11"/>
  <c r="D39" i="11"/>
  <c r="M38" i="11"/>
  <c r="D38" i="11"/>
  <c r="M37" i="11"/>
  <c r="D37" i="11"/>
  <c r="M36" i="11"/>
  <c r="D36" i="11"/>
  <c r="M35" i="11"/>
  <c r="D35" i="11"/>
  <c r="M34" i="11"/>
  <c r="D34" i="11"/>
  <c r="M33" i="11"/>
  <c r="D33" i="11"/>
  <c r="M32" i="11"/>
  <c r="D32" i="11"/>
  <c r="M31" i="11"/>
  <c r="D31" i="11"/>
  <c r="M30" i="11"/>
  <c r="D30" i="11"/>
  <c r="M29" i="11"/>
  <c r="D29" i="11"/>
  <c r="M28" i="11"/>
  <c r="D28" i="11"/>
  <c r="M27" i="11"/>
  <c r="D27" i="11"/>
  <c r="M26" i="11"/>
  <c r="D26" i="11"/>
  <c r="M25" i="11"/>
  <c r="D25" i="11"/>
  <c r="M24" i="11"/>
  <c r="D24" i="11"/>
  <c r="M23" i="11"/>
  <c r="D23" i="11"/>
  <c r="M22" i="11"/>
  <c r="D22" i="11"/>
  <c r="M21" i="11"/>
  <c r="D21" i="11"/>
  <c r="M20" i="11"/>
  <c r="D20" i="11"/>
  <c r="M19" i="11"/>
  <c r="D19" i="11"/>
  <c r="M18" i="11"/>
  <c r="D18" i="11"/>
  <c r="M17" i="11"/>
  <c r="D17" i="11"/>
  <c r="M16" i="11"/>
  <c r="D16" i="11"/>
  <c r="M15" i="11"/>
  <c r="D15" i="11"/>
  <c r="M14" i="11"/>
  <c r="D14" i="11"/>
  <c r="M13" i="11"/>
  <c r="D13" i="11"/>
  <c r="M12" i="11"/>
  <c r="D12" i="11"/>
  <c r="M11" i="11"/>
  <c r="D11" i="11"/>
  <c r="M10" i="11"/>
  <c r="D10" i="11"/>
  <c r="M9" i="11"/>
  <c r="D9" i="11"/>
  <c r="M8" i="11"/>
  <c r="D8" i="11"/>
  <c r="M7" i="11"/>
  <c r="D7" i="11"/>
  <c r="M6" i="11"/>
  <c r="D6" i="11"/>
  <c r="M5" i="11"/>
  <c r="D5" i="11"/>
  <c r="M4" i="11"/>
  <c r="D4" i="11"/>
  <c r="N3" i="11"/>
  <c r="M3" i="11"/>
  <c r="L3" i="11"/>
  <c r="K3" i="11"/>
  <c r="H3" i="11"/>
  <c r="G3" i="11"/>
  <c r="F3" i="11"/>
  <c r="E3" i="11"/>
  <c r="C3" i="11"/>
  <c r="B3" i="11"/>
  <c r="M2" i="11"/>
  <c r="C2" i="11"/>
  <c r="B2" i="11"/>
  <c r="D2" i="11" s="1"/>
  <c r="M39" i="10"/>
  <c r="D39" i="10"/>
  <c r="M38" i="10"/>
  <c r="D38" i="10"/>
  <c r="M37" i="10"/>
  <c r="D37" i="10"/>
  <c r="M36" i="10"/>
  <c r="D36" i="10"/>
  <c r="M35" i="10"/>
  <c r="D35" i="10"/>
  <c r="M34" i="10"/>
  <c r="D34" i="10"/>
  <c r="M33" i="10"/>
  <c r="D33" i="10"/>
  <c r="M32" i="10"/>
  <c r="D32" i="10"/>
  <c r="M31" i="10"/>
  <c r="D31" i="10"/>
  <c r="M30" i="10"/>
  <c r="D30" i="10"/>
  <c r="M29" i="10"/>
  <c r="D29" i="10"/>
  <c r="M28" i="10"/>
  <c r="D28" i="10"/>
  <c r="M27" i="10"/>
  <c r="D27" i="10"/>
  <c r="M26" i="10"/>
  <c r="D26" i="10"/>
  <c r="M25" i="10"/>
  <c r="D25" i="10"/>
  <c r="M24" i="10"/>
  <c r="D24" i="10"/>
  <c r="M23" i="10"/>
  <c r="D23" i="10"/>
  <c r="M22" i="10"/>
  <c r="D22" i="10"/>
  <c r="M21" i="10"/>
  <c r="D21" i="10"/>
  <c r="M20" i="10"/>
  <c r="D20" i="10"/>
  <c r="M19" i="10"/>
  <c r="D19" i="10"/>
  <c r="M18" i="10"/>
  <c r="D18" i="10"/>
  <c r="M17" i="10"/>
  <c r="D17" i="10"/>
  <c r="M16" i="10"/>
  <c r="D16" i="10"/>
  <c r="M15" i="10"/>
  <c r="D15" i="10"/>
  <c r="M14" i="10"/>
  <c r="D14" i="10"/>
  <c r="M13" i="10"/>
  <c r="D13" i="10"/>
  <c r="M12" i="10"/>
  <c r="D12" i="10"/>
  <c r="M11" i="10"/>
  <c r="D11" i="10"/>
  <c r="M10" i="10"/>
  <c r="D10" i="10"/>
  <c r="M9" i="10"/>
  <c r="D9" i="10"/>
  <c r="M8" i="10"/>
  <c r="D8" i="10"/>
  <c r="M7" i="10"/>
  <c r="D7" i="10"/>
  <c r="M6" i="10"/>
  <c r="D6" i="10"/>
  <c r="M5" i="10"/>
  <c r="D5" i="10"/>
  <c r="M4" i="10"/>
  <c r="M3" i="10" s="1"/>
  <c r="D4" i="10"/>
  <c r="N3" i="10"/>
  <c r="L3" i="10"/>
  <c r="K3" i="10"/>
  <c r="H3" i="10"/>
  <c r="G3" i="10"/>
  <c r="F3" i="10"/>
  <c r="E3" i="10"/>
  <c r="C3" i="10"/>
  <c r="B3" i="10"/>
  <c r="M2" i="10"/>
  <c r="D2" i="10"/>
  <c r="C2" i="10"/>
  <c r="B2" i="10"/>
  <c r="M40" i="9"/>
  <c r="D40" i="9"/>
  <c r="M39" i="9"/>
  <c r="D39" i="9"/>
  <c r="M38" i="9"/>
  <c r="D38" i="9"/>
  <c r="M37" i="9"/>
  <c r="D37" i="9"/>
  <c r="M36" i="9"/>
  <c r="D36" i="9"/>
  <c r="M35" i="9"/>
  <c r="D35" i="9"/>
  <c r="M34" i="9"/>
  <c r="D34" i="9"/>
  <c r="M33" i="9"/>
  <c r="D33" i="9"/>
  <c r="M32" i="9"/>
  <c r="D32" i="9"/>
  <c r="M31" i="9"/>
  <c r="D31" i="9"/>
  <c r="M30" i="9"/>
  <c r="D30" i="9"/>
  <c r="M29" i="9"/>
  <c r="D29" i="9"/>
  <c r="M28" i="9"/>
  <c r="D28" i="9"/>
  <c r="M27" i="9"/>
  <c r="D27" i="9"/>
  <c r="M26" i="9"/>
  <c r="D26" i="9"/>
  <c r="M25" i="9"/>
  <c r="D25" i="9"/>
  <c r="M24" i="9"/>
  <c r="D24" i="9"/>
  <c r="M23" i="9"/>
  <c r="D23" i="9"/>
  <c r="M22" i="9"/>
  <c r="D22" i="9"/>
  <c r="M21" i="9"/>
  <c r="D21" i="9"/>
  <c r="M20" i="9"/>
  <c r="D20" i="9"/>
  <c r="M19" i="9"/>
  <c r="D19" i="9"/>
  <c r="M18" i="9"/>
  <c r="D18" i="9"/>
  <c r="M17" i="9"/>
  <c r="D17" i="9"/>
  <c r="M16" i="9"/>
  <c r="D16" i="9"/>
  <c r="M15" i="9"/>
  <c r="D15" i="9"/>
  <c r="M14" i="9"/>
  <c r="D14" i="9"/>
  <c r="M13" i="9"/>
  <c r="D13" i="9"/>
  <c r="M12" i="9"/>
  <c r="D12" i="9"/>
  <c r="M11" i="9"/>
  <c r="D11" i="9"/>
  <c r="M10" i="9"/>
  <c r="D10" i="9"/>
  <c r="M9" i="9"/>
  <c r="D9" i="9"/>
  <c r="M8" i="9"/>
  <c r="D8" i="9"/>
  <c r="M7" i="9"/>
  <c r="D7" i="9"/>
  <c r="M6" i="9"/>
  <c r="D6" i="9"/>
  <c r="M5" i="9"/>
  <c r="D5" i="9"/>
  <c r="N4" i="9"/>
  <c r="M4" i="9"/>
  <c r="L4" i="9"/>
  <c r="K4" i="9"/>
  <c r="H4" i="9"/>
  <c r="G4" i="9"/>
  <c r="F4" i="9"/>
  <c r="E4" i="9"/>
  <c r="C4" i="9"/>
  <c r="B4" i="9"/>
  <c r="N3" i="9"/>
  <c r="M3" i="9"/>
  <c r="M2" i="9"/>
  <c r="D2" i="9"/>
  <c r="C2" i="9"/>
  <c r="B2" i="9"/>
  <c r="M39" i="8"/>
  <c r="D39" i="8"/>
  <c r="M38" i="8"/>
  <c r="D38" i="8"/>
  <c r="M37" i="8"/>
  <c r="D37" i="8"/>
  <c r="M36" i="8"/>
  <c r="D36" i="8"/>
  <c r="M35" i="8"/>
  <c r="D35" i="8"/>
  <c r="M34" i="8"/>
  <c r="D34" i="8"/>
  <c r="M33" i="8"/>
  <c r="D33" i="8"/>
  <c r="M32" i="8"/>
  <c r="D32" i="8"/>
  <c r="M31" i="8"/>
  <c r="D31" i="8"/>
  <c r="M30" i="8"/>
  <c r="D30" i="8"/>
  <c r="M29" i="8"/>
  <c r="D29" i="8"/>
  <c r="M28" i="8"/>
  <c r="D28" i="8"/>
  <c r="M27" i="8"/>
  <c r="D27" i="8"/>
  <c r="M26" i="8"/>
  <c r="D26" i="8"/>
  <c r="M25" i="8"/>
  <c r="D25" i="8"/>
  <c r="M24" i="8"/>
  <c r="D24" i="8"/>
  <c r="M23" i="8"/>
  <c r="D23" i="8"/>
  <c r="M22" i="8"/>
  <c r="D22" i="8"/>
  <c r="M21" i="8"/>
  <c r="D21" i="8"/>
  <c r="M20" i="8"/>
  <c r="D20" i="8"/>
  <c r="M19" i="8"/>
  <c r="D19" i="8"/>
  <c r="M18" i="8"/>
  <c r="D18" i="8"/>
  <c r="M17" i="8"/>
  <c r="D17" i="8"/>
  <c r="M16" i="8"/>
  <c r="D16" i="8"/>
  <c r="M15" i="8"/>
  <c r="D15" i="8"/>
  <c r="M14" i="8"/>
  <c r="D14" i="8"/>
  <c r="M13" i="8"/>
  <c r="D13" i="8"/>
  <c r="M12" i="8"/>
  <c r="D12" i="8"/>
  <c r="M11" i="8"/>
  <c r="D11" i="8"/>
  <c r="M10" i="8"/>
  <c r="D10" i="8"/>
  <c r="M9" i="8"/>
  <c r="D9" i="8"/>
  <c r="M8" i="8"/>
  <c r="D8" i="8"/>
  <c r="M7" i="8"/>
  <c r="D7" i="8"/>
  <c r="M6" i="8"/>
  <c r="D6" i="8"/>
  <c r="M5" i="8"/>
  <c r="D5" i="8"/>
  <c r="M4" i="8"/>
  <c r="D4" i="8"/>
  <c r="N3" i="8"/>
  <c r="M3" i="8"/>
  <c r="L3" i="8"/>
  <c r="K3" i="8"/>
  <c r="H3" i="8"/>
  <c r="G3" i="8"/>
  <c r="F3" i="8"/>
  <c r="E3" i="8"/>
  <c r="C3" i="8"/>
  <c r="B3" i="8"/>
  <c r="M2" i="8"/>
  <c r="C2" i="8"/>
  <c r="B2" i="8"/>
  <c r="D2" i="8" s="1"/>
  <c r="M39" i="7"/>
  <c r="D39" i="7"/>
  <c r="M38" i="7"/>
  <c r="D38" i="7"/>
  <c r="M37" i="7"/>
  <c r="D37" i="7"/>
  <c r="M36" i="7"/>
  <c r="D36" i="7"/>
  <c r="M35" i="7"/>
  <c r="D35" i="7"/>
  <c r="M34" i="7"/>
  <c r="D34" i="7"/>
  <c r="M33" i="7"/>
  <c r="D33" i="7"/>
  <c r="M32" i="7"/>
  <c r="D32" i="7"/>
  <c r="M31" i="7"/>
  <c r="D31" i="7"/>
  <c r="M30" i="7"/>
  <c r="D30" i="7"/>
  <c r="M29" i="7"/>
  <c r="D29" i="7"/>
  <c r="M28" i="7"/>
  <c r="D28" i="7"/>
  <c r="M27" i="7"/>
  <c r="D27" i="7"/>
  <c r="M26" i="7"/>
  <c r="D26" i="7"/>
  <c r="M25" i="7"/>
  <c r="D25" i="7"/>
  <c r="M24" i="7"/>
  <c r="D24" i="7"/>
  <c r="M23" i="7"/>
  <c r="D23" i="7"/>
  <c r="M22" i="7"/>
  <c r="D22" i="7"/>
  <c r="M21" i="7"/>
  <c r="D21" i="7"/>
  <c r="M20" i="7"/>
  <c r="D20" i="7"/>
  <c r="M19" i="7"/>
  <c r="D19" i="7"/>
  <c r="M18" i="7"/>
  <c r="D18" i="7"/>
  <c r="M17" i="7"/>
  <c r="D17" i="7"/>
  <c r="M16" i="7"/>
  <c r="D16" i="7"/>
  <c r="M15" i="7"/>
  <c r="D15" i="7"/>
  <c r="M14" i="7"/>
  <c r="D14" i="7"/>
  <c r="M13" i="7"/>
  <c r="D13" i="7"/>
  <c r="M12" i="7"/>
  <c r="D12" i="7"/>
  <c r="M11" i="7"/>
  <c r="D11" i="7"/>
  <c r="M10" i="7"/>
  <c r="D10" i="7"/>
  <c r="M9" i="7"/>
  <c r="D9" i="7"/>
  <c r="M8" i="7"/>
  <c r="D8" i="7"/>
  <c r="M7" i="7"/>
  <c r="D7" i="7"/>
  <c r="M6" i="7"/>
  <c r="D6" i="7"/>
  <c r="M5" i="7"/>
  <c r="D5" i="7"/>
  <c r="M4" i="7"/>
  <c r="M3" i="7" s="1"/>
  <c r="D4" i="7"/>
  <c r="N3" i="7"/>
  <c r="L3" i="7"/>
  <c r="K3" i="7"/>
  <c r="H3" i="7"/>
  <c r="G3" i="7"/>
  <c r="F3" i="7"/>
  <c r="E3" i="7"/>
  <c r="C3" i="7"/>
  <c r="B3" i="7"/>
  <c r="M2" i="7"/>
  <c r="D2" i="7"/>
  <c r="C2" i="7"/>
  <c r="B2" i="7"/>
  <c r="M39" i="6"/>
  <c r="D39" i="6"/>
  <c r="M38" i="6"/>
  <c r="D38" i="6"/>
  <c r="M37" i="6"/>
  <c r="D37" i="6"/>
  <c r="M36" i="6"/>
  <c r="D36" i="6"/>
  <c r="M35" i="6"/>
  <c r="D35" i="6"/>
  <c r="M34" i="6"/>
  <c r="D34" i="6"/>
  <c r="M33" i="6"/>
  <c r="D33" i="6"/>
  <c r="M32" i="6"/>
  <c r="D32" i="6"/>
  <c r="M31" i="6"/>
  <c r="D31" i="6"/>
  <c r="M30" i="6"/>
  <c r="D30" i="6"/>
  <c r="M29" i="6"/>
  <c r="D29" i="6"/>
  <c r="M28" i="6"/>
  <c r="D28" i="6"/>
  <c r="M27" i="6"/>
  <c r="D27" i="6"/>
  <c r="M26" i="6"/>
  <c r="D26" i="6"/>
  <c r="M25" i="6"/>
  <c r="D25" i="6"/>
  <c r="M24" i="6"/>
  <c r="D24" i="6"/>
  <c r="M23" i="6"/>
  <c r="D23" i="6"/>
  <c r="M22" i="6"/>
  <c r="D22" i="6"/>
  <c r="M21" i="6"/>
  <c r="D21" i="6"/>
  <c r="M20" i="6"/>
  <c r="D20" i="6"/>
  <c r="M19" i="6"/>
  <c r="D19" i="6"/>
  <c r="M18" i="6"/>
  <c r="D18" i="6"/>
  <c r="M17" i="6"/>
  <c r="D17" i="6"/>
  <c r="M16" i="6"/>
  <c r="D16" i="6"/>
  <c r="M15" i="6"/>
  <c r="D15" i="6"/>
  <c r="M14" i="6"/>
  <c r="D14" i="6"/>
  <c r="M13" i="6"/>
  <c r="D13" i="6"/>
  <c r="M12" i="6"/>
  <c r="D12" i="6"/>
  <c r="M11" i="6"/>
  <c r="D11" i="6"/>
  <c r="M10" i="6"/>
  <c r="D10" i="6"/>
  <c r="M9" i="6"/>
  <c r="D9" i="6"/>
  <c r="M8" i="6"/>
  <c r="D8" i="6"/>
  <c r="M7" i="6"/>
  <c r="D7" i="6"/>
  <c r="M6" i="6"/>
  <c r="D6" i="6"/>
  <c r="M5" i="6"/>
  <c r="D5" i="6"/>
  <c r="M4" i="6"/>
  <c r="D4" i="6"/>
  <c r="N3" i="6"/>
  <c r="M3" i="6"/>
  <c r="L3" i="6"/>
  <c r="K3" i="6"/>
  <c r="H3" i="6"/>
  <c r="G3" i="6"/>
  <c r="F3" i="6"/>
  <c r="E3" i="6"/>
  <c r="C3" i="6"/>
  <c r="B3" i="6"/>
  <c r="M2" i="6"/>
  <c r="C2" i="6"/>
  <c r="B2" i="6"/>
  <c r="D2" i="6" s="1"/>
  <c r="M39" i="5"/>
  <c r="D39" i="5"/>
  <c r="M38" i="5"/>
  <c r="D38" i="5"/>
  <c r="M37" i="5"/>
  <c r="D37" i="5"/>
  <c r="M36" i="5"/>
  <c r="D36" i="5"/>
  <c r="M35" i="5"/>
  <c r="D35" i="5"/>
  <c r="M34" i="5"/>
  <c r="D34" i="5"/>
  <c r="M33" i="5"/>
  <c r="D33" i="5"/>
  <c r="M32" i="5"/>
  <c r="D32" i="5"/>
  <c r="M31" i="5"/>
  <c r="D31" i="5"/>
  <c r="M30" i="5"/>
  <c r="D30" i="5"/>
  <c r="M29" i="5"/>
  <c r="D29" i="5"/>
  <c r="M28" i="5"/>
  <c r="D28" i="5"/>
  <c r="M27" i="5"/>
  <c r="D27" i="5"/>
  <c r="M26" i="5"/>
  <c r="D26" i="5"/>
  <c r="M25" i="5"/>
  <c r="D25" i="5"/>
  <c r="M24" i="5"/>
  <c r="D24" i="5"/>
  <c r="M23" i="5"/>
  <c r="D23" i="5"/>
  <c r="M22" i="5"/>
  <c r="D22" i="5"/>
  <c r="M21" i="5"/>
  <c r="D21" i="5"/>
  <c r="M20" i="5"/>
  <c r="D20" i="5"/>
  <c r="M19" i="5"/>
  <c r="D19" i="5"/>
  <c r="M18" i="5"/>
  <c r="D18" i="5"/>
  <c r="M17" i="5"/>
  <c r="D17" i="5"/>
  <c r="M16" i="5"/>
  <c r="D16" i="5"/>
  <c r="M15" i="5"/>
  <c r="D15" i="5"/>
  <c r="M14" i="5"/>
  <c r="D14" i="5"/>
  <c r="M13" i="5"/>
  <c r="D13" i="5"/>
  <c r="M12" i="5"/>
  <c r="D12" i="5"/>
  <c r="M11" i="5"/>
  <c r="D11" i="5"/>
  <c r="M10" i="5"/>
  <c r="D10" i="5"/>
  <c r="M9" i="5"/>
  <c r="D9" i="5"/>
  <c r="M8" i="5"/>
  <c r="D8" i="5"/>
  <c r="M7" i="5"/>
  <c r="D7" i="5"/>
  <c r="M6" i="5"/>
  <c r="D6" i="5"/>
  <c r="M5" i="5"/>
  <c r="D5" i="5"/>
  <c r="M4" i="5"/>
  <c r="M3" i="5" s="1"/>
  <c r="D4" i="5"/>
  <c r="N3" i="5"/>
  <c r="L3" i="5"/>
  <c r="K3" i="5"/>
  <c r="H3" i="5"/>
  <c r="G3" i="5"/>
  <c r="F3" i="5"/>
  <c r="E3" i="5"/>
  <c r="C3" i="5"/>
  <c r="B3" i="5"/>
  <c r="M2" i="5"/>
  <c r="D2" i="5"/>
  <c r="C2" i="5"/>
  <c r="B2" i="5"/>
  <c r="M39" i="4"/>
  <c r="D39" i="4"/>
  <c r="M38" i="4"/>
  <c r="D38" i="4"/>
  <c r="M37" i="4"/>
  <c r="D37" i="4"/>
  <c r="M36" i="4"/>
  <c r="D36" i="4"/>
  <c r="M35" i="4"/>
  <c r="D35" i="4"/>
  <c r="M34" i="4"/>
  <c r="D34" i="4"/>
  <c r="M33" i="4"/>
  <c r="D33" i="4"/>
  <c r="M32" i="4"/>
  <c r="D32" i="4"/>
  <c r="M31" i="4"/>
  <c r="D31" i="4"/>
  <c r="M30" i="4"/>
  <c r="D30" i="4"/>
  <c r="M29" i="4"/>
  <c r="D29" i="4"/>
  <c r="M28" i="4"/>
  <c r="D28" i="4"/>
  <c r="M27" i="4"/>
  <c r="D27" i="4"/>
  <c r="M26" i="4"/>
  <c r="D26" i="4"/>
  <c r="M25" i="4"/>
  <c r="D25" i="4"/>
  <c r="M24" i="4"/>
  <c r="D24" i="4"/>
  <c r="M23" i="4"/>
  <c r="D23" i="4"/>
  <c r="M22" i="4"/>
  <c r="D22" i="4"/>
  <c r="M21" i="4"/>
  <c r="D21" i="4"/>
  <c r="M20" i="4"/>
  <c r="D20" i="4"/>
  <c r="M19" i="4"/>
  <c r="D19" i="4"/>
  <c r="M18" i="4"/>
  <c r="D18" i="4"/>
  <c r="M17" i="4"/>
  <c r="D17" i="4"/>
  <c r="M16" i="4"/>
  <c r="D16" i="4"/>
  <c r="M15" i="4"/>
  <c r="D15" i="4"/>
  <c r="M14" i="4"/>
  <c r="D14" i="4"/>
  <c r="M13" i="4"/>
  <c r="D13" i="4"/>
  <c r="M12" i="4"/>
  <c r="D12" i="4"/>
  <c r="M11" i="4"/>
  <c r="D11" i="4"/>
  <c r="M10" i="4"/>
  <c r="D10" i="4"/>
  <c r="M9" i="4"/>
  <c r="D9" i="4"/>
  <c r="M8" i="4"/>
  <c r="D8" i="4"/>
  <c r="M7" i="4"/>
  <c r="D7" i="4"/>
  <c r="M6" i="4"/>
  <c r="D6" i="4"/>
  <c r="M5" i="4"/>
  <c r="D5" i="4"/>
  <c r="M4" i="4"/>
  <c r="D4" i="4"/>
  <c r="N3" i="4"/>
  <c r="M3" i="4"/>
  <c r="L3" i="4"/>
  <c r="K3" i="4"/>
  <c r="H3" i="4"/>
  <c r="G3" i="4"/>
  <c r="F3" i="4"/>
  <c r="E3" i="4"/>
  <c r="C3" i="4"/>
  <c r="B3" i="4"/>
  <c r="M2" i="4"/>
  <c r="C2" i="4"/>
  <c r="B2" i="4"/>
  <c r="D2" i="4" s="1"/>
  <c r="M39" i="3"/>
  <c r="D39" i="3"/>
  <c r="M38" i="3"/>
  <c r="D38" i="3"/>
  <c r="M37" i="3"/>
  <c r="D37" i="3"/>
  <c r="M36" i="3"/>
  <c r="D36" i="3"/>
  <c r="M35" i="3"/>
  <c r="D35" i="3"/>
  <c r="M34" i="3"/>
  <c r="D34" i="3"/>
  <c r="M33" i="3"/>
  <c r="D33" i="3"/>
  <c r="M32" i="3"/>
  <c r="D32" i="3"/>
  <c r="M31" i="3"/>
  <c r="D31" i="3"/>
  <c r="M30" i="3"/>
  <c r="D30" i="3"/>
  <c r="M29" i="3"/>
  <c r="D29" i="3"/>
  <c r="M28" i="3"/>
  <c r="D28" i="3"/>
  <c r="M27" i="3"/>
  <c r="D27" i="3"/>
  <c r="M26" i="3"/>
  <c r="D26" i="3"/>
  <c r="M25" i="3"/>
  <c r="D25" i="3"/>
  <c r="M24" i="3"/>
  <c r="D24" i="3"/>
  <c r="M23" i="3"/>
  <c r="D23" i="3"/>
  <c r="M22" i="3"/>
  <c r="D22" i="3"/>
  <c r="M21" i="3"/>
  <c r="D21" i="3"/>
  <c r="M20" i="3"/>
  <c r="D20" i="3"/>
  <c r="M19" i="3"/>
  <c r="D19" i="3"/>
  <c r="M18" i="3"/>
  <c r="D18" i="3"/>
  <c r="M17" i="3"/>
  <c r="D17" i="3"/>
  <c r="M16" i="3"/>
  <c r="D16" i="3"/>
  <c r="M15" i="3"/>
  <c r="D15" i="3"/>
  <c r="M14" i="3"/>
  <c r="D14" i="3"/>
  <c r="M13" i="3"/>
  <c r="D13" i="3"/>
  <c r="M12" i="3"/>
  <c r="D12" i="3"/>
  <c r="M11" i="3"/>
  <c r="D11" i="3"/>
  <c r="M10" i="3"/>
  <c r="D10" i="3"/>
  <c r="M9" i="3"/>
  <c r="D9" i="3"/>
  <c r="M8" i="3"/>
  <c r="D8" i="3"/>
  <c r="M7" i="3"/>
  <c r="D7" i="3"/>
  <c r="M6" i="3"/>
  <c r="D6" i="3"/>
  <c r="M5" i="3"/>
  <c r="D5" i="3"/>
  <c r="M4" i="3"/>
  <c r="M3" i="3" s="1"/>
  <c r="D4" i="3"/>
  <c r="N3" i="3"/>
  <c r="L3" i="3"/>
  <c r="K3" i="3"/>
  <c r="J3" i="3"/>
  <c r="I3" i="3"/>
  <c r="H3" i="3"/>
  <c r="G3" i="3"/>
  <c r="F3" i="3"/>
  <c r="E3" i="3"/>
  <c r="C3" i="3"/>
  <c r="B3" i="3"/>
  <c r="M2" i="3"/>
  <c r="C2" i="3"/>
  <c r="B2" i="3"/>
  <c r="D2" i="3" s="1"/>
  <c r="G27" i="1"/>
  <c r="E27" i="1"/>
  <c r="D27" i="1"/>
  <c r="B27" i="1"/>
  <c r="G26" i="1"/>
  <c r="E26" i="1"/>
  <c r="D26" i="1"/>
  <c r="B26" i="1"/>
  <c r="N18" i="1"/>
  <c r="K18" i="1"/>
  <c r="J18" i="1"/>
  <c r="N17" i="1"/>
  <c r="I17" i="1"/>
  <c r="K17" i="1" s="1"/>
  <c r="N16" i="1"/>
  <c r="J16" i="1"/>
  <c r="K16" i="1" s="1"/>
  <c r="I16" i="1"/>
  <c r="N15" i="1"/>
  <c r="J15" i="1"/>
  <c r="K15" i="1" s="1"/>
  <c r="I15" i="1"/>
  <c r="J14" i="1"/>
  <c r="K14" i="1" s="1"/>
  <c r="I14" i="1"/>
  <c r="I26" i="1" s="1"/>
  <c r="N13" i="1"/>
  <c r="J13" i="1"/>
  <c r="K13" i="1" s="1"/>
  <c r="J12" i="1"/>
  <c r="K12" i="1" s="1"/>
  <c r="N11" i="1"/>
  <c r="J11" i="1"/>
  <c r="K11" i="1" s="1"/>
  <c r="K10" i="1"/>
  <c r="J10" i="1"/>
  <c r="N9" i="1"/>
  <c r="J9" i="1"/>
  <c r="K9" i="1" s="1"/>
  <c r="J8" i="1"/>
  <c r="K8" i="1" s="1"/>
  <c r="N7" i="1"/>
  <c r="K7" i="1"/>
  <c r="J7" i="1"/>
  <c r="N6" i="1"/>
  <c r="J6" i="1"/>
  <c r="K6" i="1" s="1"/>
  <c r="J5" i="1"/>
  <c r="K5" i="1" s="1"/>
  <c r="N4" i="1"/>
  <c r="K4" i="1"/>
  <c r="J4" i="1"/>
  <c r="N3" i="1"/>
  <c r="J3" i="1"/>
  <c r="J26" i="1" s="1"/>
  <c r="K3" i="1" l="1"/>
  <c r="I27" i="1"/>
  <c r="J27" i="1"/>
  <c r="K27" i="1" l="1"/>
  <c r="K26" i="1"/>
</calcChain>
</file>

<file path=xl/comments1.xml><?xml version="1.0" encoding="utf-8"?>
<comments xmlns="http://schemas.openxmlformats.org/spreadsheetml/2006/main">
  <authors>
    <author/>
  </authors>
  <commentList>
    <comment ref="J8" authorId="0">
      <text>
        <r>
          <rPr>
            <sz val="10"/>
            <color rgb="FF000000"/>
            <rFont val="Arial"/>
          </rPr>
          <t>Excluded qccuny2
	-Rick Klein</t>
        </r>
      </text>
    </comment>
    <comment ref="J9" authorId="0">
      <text>
        <r>
          <rPr>
            <sz val="10"/>
            <color rgb="FF000000"/>
            <rFont val="Arial"/>
          </rPr>
          <t>31/36 if we don't assume homogeneity of variance (Levene's test was non significant for the sample where the two tests disagree though)
	-Rick Klein</t>
        </r>
      </text>
    </comment>
    <comment ref="J11" authorId="0">
      <text>
        <r>
          <rPr>
            <sz val="10"/>
            <color rgb="FF000000"/>
            <rFont val="Arial"/>
          </rPr>
          <t>24/35 if we don't assume homogeneity (but levene's was non significant). I excluded QCCuny2.
	-Rick Klein</t>
        </r>
      </text>
    </comment>
    <comment ref="J12" authorId="0">
      <text>
        <r>
          <rPr>
            <sz val="10"/>
            <color rgb="FF000000"/>
            <rFont val="Arial"/>
          </rPr>
          <t>Used Pearson unless N in any cell was &lt; 5 (Then I used Fisher's exact 2-sided)
	-Rick Klein</t>
        </r>
      </text>
    </comment>
  </commentList>
</comments>
</file>

<file path=xl/sharedStrings.xml><?xml version="1.0" encoding="utf-8"?>
<sst xmlns="http://schemas.openxmlformats.org/spreadsheetml/2006/main" count="1042" uniqueCount="243">
  <si>
    <t>Original Study</t>
  </si>
  <si>
    <t>Unweighted</t>
  </si>
  <si>
    <t>Weighted</t>
  </si>
  <si>
    <t>Null Hypothesis Significance Tests by Sample (N = 36)</t>
  </si>
  <si>
    <t>Null Hypothesis Significance Tests of Aggregate</t>
  </si>
  <si>
    <t>Effect</t>
  </si>
  <si>
    <t>ES</t>
  </si>
  <si>
    <t>95% CI Lower, Upper</t>
  </si>
  <si>
    <t>Median Replication ES</t>
  </si>
  <si>
    <t>Replication ES</t>
  </si>
  <si>
    <t>99% CI Lower, Upper</t>
  </si>
  <si>
    <t>Proportion &lt;0 (p&lt;.05)</t>
  </si>
  <si>
    <t>Proportion &gt;0 (p&lt;.05)</t>
  </si>
  <si>
    <t>Proportion ns</t>
  </si>
  <si>
    <t>Key statistics</t>
  </si>
  <si>
    <t>df</t>
  </si>
  <si>
    <t>N</t>
  </si>
  <si>
    <t>p</t>
  </si>
  <si>
    <t>Anchoring - Babies Born</t>
  </si>
  <si>
    <t>.51, 1.33</t>
  </si>
  <si>
    <t>2.41, 2.79</t>
  </si>
  <si>
    <t>2.33, 2.51</t>
  </si>
  <si>
    <t>t=90.49</t>
  </si>
  <si>
    <t>&lt;.001</t>
  </si>
  <si>
    <t>Anchoring - Mt. Everest</t>
  </si>
  <si>
    <t>2.12, 2.77</t>
  </si>
  <si>
    <t>2.14, 2.32</t>
  </si>
  <si>
    <t>t=83.66</t>
  </si>
  <si>
    <t>Allowed/Forbidden</t>
  </si>
  <si>
    <t>.57, .73</t>
  </si>
  <si>
    <t>1.58, 2.16</t>
  </si>
  <si>
    <t>1.88, 2.04</t>
  </si>
  <si>
    <t>X^2=3088.7</t>
  </si>
  <si>
    <t>Anchoring - Chicago</t>
  </si>
  <si>
    <t>1.84, 2.25</t>
  </si>
  <si>
    <t>1.71, 1.87</t>
  </si>
  <si>
    <t>t=65.00</t>
  </si>
  <si>
    <t>Anchoring - Distance to NYC</t>
  </si>
  <si>
    <t>1.13, 1.40</t>
  </si>
  <si>
    <t>1.09, 1.25</t>
  </si>
  <si>
    <t>t=42.86</t>
  </si>
  <si>
    <t>Relations between I and E math attitudes</t>
  </si>
  <si>
    <t>.77, 1.08</t>
  </si>
  <si>
    <t>0.63, 0.96</t>
  </si>
  <si>
    <t>0.75, 0.83</t>
  </si>
  <si>
    <t>r=.38</t>
  </si>
  <si>
    <t>Retrospective gambler fallacy</t>
  </si>
  <si>
    <t>.16, 1.21</t>
  </si>
  <si>
    <t>0.49, 0.70</t>
  </si>
  <si>
    <t>0.54, 0.68</t>
  </si>
  <si>
    <t>t=24.01</t>
  </si>
  <si>
    <t>Gain vs loss framing</t>
  </si>
  <si>
    <t>.89, 1.37</t>
  </si>
  <si>
    <t>0.52, 0.71</t>
  </si>
  <si>
    <t>0.53, 0.67</t>
  </si>
  <si>
    <t>X^2=516.4</t>
  </si>
  <si>
    <t>Sex differences in implicit math attitudes</t>
  </si>
  <si>
    <t>.54, 1.48</t>
  </si>
  <si>
    <t>0.45, 0.68</t>
  </si>
  <si>
    <t>0.46, 0.60</t>
  </si>
  <si>
    <t>t=19.28</t>
  </si>
  <si>
    <t>Low vs high category scales</t>
  </si>
  <si>
    <t>.15, .84</t>
  </si>
  <si>
    <t>0.42,  0.61</t>
  </si>
  <si>
    <t>0.40, 0.58</t>
  </si>
  <si>
    <t>X^2=342.4</t>
  </si>
  <si>
    <t>Quote Attribution</t>
  </si>
  <si>
    <t>na</t>
  </si>
  <si>
    <t>0.19, 0.42</t>
  </si>
  <si>
    <t>0.25, 0.39</t>
  </si>
  <si>
    <t>t=12.79</t>
  </si>
  <si>
    <t>Norm of reciprocity</t>
  </si>
  <si>
    <t>.06, .27</t>
  </si>
  <si>
    <t>0.18, 0.36</t>
  </si>
  <si>
    <t>0.23, 0.37</t>
  </si>
  <si>
    <t>X^2=135.3</t>
  </si>
  <si>
    <t>Sunk Costs</t>
  </si>
  <si>
    <t>-.04, .50</t>
  </si>
  <si>
    <t>0.22, 0.39</t>
  </si>
  <si>
    <t>0.20, 0.34</t>
  </si>
  <si>
    <t>t=10.83</t>
  </si>
  <si>
    <t>Imagined contact</t>
  </si>
  <si>
    <t>.14, 1.57</t>
  </si>
  <si>
    <t>0.00, 0.19</t>
  </si>
  <si>
    <t>0.07, 0.19</t>
  </si>
  <si>
    <t>t=5.05</t>
  </si>
  <si>
    <t>Flag Priming</t>
  </si>
  <si>
    <t>.01, .99</t>
  </si>
  <si>
    <t>-0.07, 0.08</t>
  </si>
  <si>
    <t>-0.04, 0.10</t>
  </si>
  <si>
    <t>t=0.88</t>
  </si>
  <si>
    <t>Currency Priming</t>
  </si>
  <si>
    <t>.05, 1.54</t>
  </si>
  <si>
    <t>-0.06, 0.09</t>
  </si>
  <si>
    <t>-0.08, 0.04</t>
  </si>
  <si>
    <t>t=-0.79</t>
  </si>
  <si>
    <t>Notes: All effect sizes (ES) presented in Cohen's d units. Weighted statistics are computed on the whole aggregated dataset (N&gt;6000); Unweighted statistics are computed on the disaggegated dataset (N=36). 95% CI's for original effect sizes used cell sample sizes when available and assumed equal distribution across conditions when not available.  The original anchoring article did not provide sufficient information to calculate effect sizes for individual scenarios, an overall effect size is reported. The Anchoring original effect size is a mean point-biserial correlation computed across 15 different questions in a test-retest design, wheras the present replication adopted a between-subjects design with random assignments. One sample was removed from sex difference and relations between implicit and explicit math attitudes because of a systemic error in that laboratory's recording of reaction times. Flag priming includes only U.S. samples. Confidence intervals around the unweighted mean are based on the central normal distribution. Confidence intervals around the weighted effect size are based on non-central distributions.</t>
  </si>
  <si>
    <t>Mean (excluding when original unavailable)</t>
  </si>
  <si>
    <t>Median (excluding when original unavailable)</t>
  </si>
  <si>
    <t>Heterogeneity tests</t>
  </si>
  <si>
    <t>Moderators</t>
  </si>
  <si>
    <t>Q</t>
  </si>
  <si>
    <t>p-value</t>
  </si>
  <si>
    <t>I^2</t>
  </si>
  <si>
    <t>US or International</t>
  </si>
  <si>
    <t>partial eta-sq</t>
  </si>
  <si>
    <t>Lab or online</t>
  </si>
  <si>
    <t>&lt;0.01</t>
  </si>
  <si>
    <t>&lt;.0001</t>
  </si>
  <si>
    <t>0.41*</t>
  </si>
  <si>
    <t>&lt;.001*</t>
  </si>
  <si>
    <t>2.80*</t>
  </si>
  <si>
    <t>Notes: Tasks ordered from largest to smallest observed effect size (see Table 2).  Heterogeneity tests conducted with R-package metafor.  REML was used for estimation for all tests.  One sample was removed from sex difference and relations between implicit and explicit math attitudes because of a systemic error in that laboratory's recording of reaction times. * Moderator statistics are F value of the interaction of condition and the moderator from an ANOVA with condition, country, and location as independent variables with the exception of Relations between impl. and expl. math attitudes for is reported the F value associated with the change in R squared after the product term between the independent variable and the moderator is added in a hierarchical linear regression model. Details of all analyses are available in the supplement.</t>
  </si>
  <si>
    <t>Relations between impl. and expl. math attitudes</t>
  </si>
  <si>
    <t>F(1,5989)=.41</t>
  </si>
  <si>
    <t>R^2 change &lt;.001</t>
  </si>
  <si>
    <t>F(1,5989)=2.799</t>
  </si>
  <si>
    <t>Site</t>
  </si>
  <si>
    <t>N (Paid)</t>
  </si>
  <si>
    <t>N (Free)</t>
  </si>
  <si>
    <t>N (Excluded or no response)</t>
  </si>
  <si>
    <t>Mean (Paid)</t>
  </si>
  <si>
    <t>Mean (Free)</t>
  </si>
  <si>
    <t>SD (Paid)</t>
  </si>
  <si>
    <t>SD (Free)</t>
  </si>
  <si>
    <t>t (equal var)</t>
  </si>
  <si>
    <t>t (unequal var)</t>
  </si>
  <si>
    <t>df (equal var)</t>
  </si>
  <si>
    <t>df (unequal var)</t>
  </si>
  <si>
    <t>ES (test of unequal var)</t>
  </si>
  <si>
    <t>ES (from means)</t>
  </si>
  <si>
    <t>Transformation Notes</t>
  </si>
  <si>
    <t>Outlier notes</t>
  </si>
  <si>
    <t>Overall:</t>
  </si>
  <si>
    <t>No transformation needed</t>
  </si>
  <si>
    <t>No participants excluded</t>
  </si>
  <si>
    <t>Mean across samples:</t>
  </si>
  <si>
    <t>abington</t>
  </si>
  <si>
    <t>brasilia</t>
  </si>
  <si>
    <t>charles</t>
  </si>
  <si>
    <t>conncoll</t>
  </si>
  <si>
    <t>csun</t>
  </si>
  <si>
    <t>help</t>
  </si>
  <si>
    <t>ithaca</t>
  </si>
  <si>
    <t>jmu</t>
  </si>
  <si>
    <t>ku</t>
  </si>
  <si>
    <t>laurier</t>
  </si>
  <si>
    <t>lse</t>
  </si>
  <si>
    <t>luc</t>
  </si>
  <si>
    <t>mcdaniel</t>
  </si>
  <si>
    <t>msvu</t>
  </si>
  <si>
    <t>mturk</t>
  </si>
  <si>
    <t>osu</t>
  </si>
  <si>
    <t>oxy</t>
  </si>
  <si>
    <t>pi</t>
  </si>
  <si>
    <t>psu</t>
  </si>
  <si>
    <t>qccuny</t>
  </si>
  <si>
    <t>qccuny2</t>
  </si>
  <si>
    <t>sdsu</t>
  </si>
  <si>
    <t>swps</t>
  </si>
  <si>
    <t>swpson</t>
  </si>
  <si>
    <t>tamu</t>
  </si>
  <si>
    <t>tamuc</t>
  </si>
  <si>
    <t>tamuon</t>
  </si>
  <si>
    <t>tilburg</t>
  </si>
  <si>
    <t>ufl</t>
  </si>
  <si>
    <t>unipd</t>
  </si>
  <si>
    <t>uva</t>
  </si>
  <si>
    <t>vcu</t>
  </si>
  <si>
    <t>wisc</t>
  </si>
  <si>
    <t>wku</t>
  </si>
  <si>
    <t>wl</t>
  </si>
  <si>
    <t>wpi</t>
  </si>
  <si>
    <t>N (High)</t>
  </si>
  <si>
    <t>N (Low)</t>
  </si>
  <si>
    <t>Mean (High)</t>
  </si>
  <si>
    <t>Mean (Low)</t>
  </si>
  <si>
    <t>SD (High)</t>
  </si>
  <si>
    <t>SD (Low)</t>
  </si>
  <si>
    <t>DVs have been rank-transformed</t>
  </si>
  <si>
    <t>Dropped responses outside the anchors, and uninterpretable or written responses (e.g. range estimates)</t>
  </si>
  <si>
    <t>Overall (sum of samples)</t>
  </si>
  <si>
    <t>N (Three6)</t>
  </si>
  <si>
    <t>N (Two6)</t>
  </si>
  <si>
    <t>Mean (Three6)</t>
  </si>
  <si>
    <t>Mean (Two6)</t>
  </si>
  <si>
    <t>SD (Three6)</t>
  </si>
  <si>
    <t>SD (Two6)</t>
  </si>
  <si>
    <t>ES (from t-test with unequal variances correction)</t>
  </si>
  <si>
    <t>Responses have been square-root-transformed to correct asymmetry</t>
  </si>
  <si>
    <t>Dropped 37 responses that were 3SDs above the mean, and dropped uninterpretable or written responses (range estimates, etc.)</t>
  </si>
  <si>
    <t>N (Flag Prime)</t>
  </si>
  <si>
    <t>N (Control)</t>
  </si>
  <si>
    <t>Mean (Flag Prime)</t>
  </si>
  <si>
    <t>Mean (Control)</t>
  </si>
  <si>
    <t>SD (Flag Prime)</t>
  </si>
  <si>
    <t>SD (Control)</t>
  </si>
  <si>
    <t>Excluded those who did not provide time estimates for all four flag-priming images, or who did not estimate the time for at least one no-flag (control) image.</t>
  </si>
  <si>
    <t>Overall for US participants:</t>
  </si>
  <si>
    <t>N (Liked)</t>
  </si>
  <si>
    <t>N (Disliked)</t>
  </si>
  <si>
    <t>Mean (Liked)</t>
  </si>
  <si>
    <t>Mean (Disliked)</t>
  </si>
  <si>
    <t>SD (Liked)</t>
  </si>
  <si>
    <t>SD (Disliked)</t>
  </si>
  <si>
    <t>N (Money Priming)</t>
  </si>
  <si>
    <t>Mean (Money Primg)</t>
  </si>
  <si>
    <t>SD (Money Primg)</t>
  </si>
  <si>
    <t>Participants who failed to provide a response to at least six of the eight system justification items (11) have been excluded form the analyses.</t>
  </si>
  <si>
    <t>N (Contact)</t>
  </si>
  <si>
    <t>Mean (Contact)</t>
  </si>
  <si>
    <t>SD (Contact)</t>
  </si>
  <si>
    <t>N (Female)</t>
  </si>
  <si>
    <t>N (Male)</t>
  </si>
  <si>
    <t>Mean (Female)</t>
  </si>
  <si>
    <t>Mean (Male)</t>
  </si>
  <si>
    <t>SD (Female)</t>
  </si>
  <si>
    <t>SD (Male)</t>
  </si>
  <si>
    <t>Deleted trials &gt;10,000ms or &lt; 400ms</t>
  </si>
  <si>
    <t>Excluded participants with &gt; 40% errors in any block or overall error rate &gt; 30%</t>
  </si>
  <si>
    <t>Sample removed because of a systemic error in recording of reaction times</t>
  </si>
  <si>
    <t>Correlation (r)</t>
  </si>
  <si>
    <t>Sum across samples:</t>
  </si>
  <si>
    <t>Excluded participants with &gt; 40% errors in any block or overall error rate &gt; 30%</t>
  </si>
  <si>
    <t>Participants who did not respond to a particular item for both math and arts explicit attitudes have been excluded from analysis</t>
  </si>
  <si>
    <t>Participants who did not respond to at least 6 of the eight total explicit attitude items have been excluded form analysis</t>
  </si>
  <si>
    <t>Count (Gain - Exact outcome)</t>
  </si>
  <si>
    <t>Count (Loss - Exact outcome)</t>
  </si>
  <si>
    <t>Count (Gain - Probability outcome)</t>
  </si>
  <si>
    <t>X2(1)</t>
  </si>
  <si>
    <t>Mean of ESs:</t>
  </si>
  <si>
    <t>Count (Yes, allow)</t>
  </si>
  <si>
    <t>Count (No, do not allow)</t>
  </si>
  <si>
    <t>Count (Yes, forbid)</t>
  </si>
  <si>
    <t>Count (No, do not forbid)</t>
  </si>
  <si>
    <t>Count (Yes, let N. Korea reporters in - Asked first)</t>
  </si>
  <si>
    <t>Count (Yes, let N. Korea reporters in - Asked second)</t>
  </si>
  <si>
    <t>Count (No, let N. Korea reporters out- Asked first)</t>
  </si>
  <si>
    <t>Count (No, let N. Korea reporters out - Asked second)</t>
  </si>
  <si>
    <t>Count (Less than 2 1/2 hrs - Low category scale)</t>
  </si>
  <si>
    <t>Count (Less than 2 1/2 hrs - High category scale)</t>
  </si>
  <si>
    <t>Count (More than 2 1/2 hrs - Low category scale)</t>
  </si>
  <si>
    <t>Count (More than 2 1/2 hrs - High category scale)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</si>
</sst>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 x14ac:knownFonts="1">
    <font>
      <sz val="10"/>
      <color rgb="FF000000"/>
      <name val="Arial"/>
    </font>
    <font>
      <b/>
      <sz val="10"/>
      <color rgb="FF000000"/>
      <name val="Arial"/>
    </font>
    <font>
      <b/>
      <i/>
      <sz val="10"/>
      <color rgb="FF000000"/>
      <name val="Arial"/>
    </font>
    <font>
      <b/>
      <sz val="10"/>
      <color rgb="FF000000"/>
      <name val="Arial"/>
    </font>
    <font>
      <i/>
      <sz val="10"/>
      <color rgb="FF000000"/>
      <name val="Arial"/>
    </font>
  </fonts>
  <fills count="9">
    <fill>
      <patternFill patternType="none"/>
    </fill>
    <fill>
      <patternFill patternType="gray125"/>
    </fill>
    <fill>
      <patternFill patternType="solid">
        <fgColor rgb="FFCFE2F3"/>
        <bgColor indexed="64"/>
      </patternFill>
    </fill>
    <fill>
      <patternFill patternType="solid">
        <fgColor rgb="FFCFE2F3"/>
        <bgColor indexed="64"/>
      </patternFill>
    </fill>
    <fill>
      <patternFill patternType="solid">
        <fgColor rgb="FFD9D2E9"/>
        <bgColor indexed="64"/>
      </patternFill>
    </fill>
    <fill>
      <patternFill patternType="solid">
        <fgColor rgb="FFFFFFFF"/>
        <bgColor indexed="64"/>
      </patternFill>
    </fill>
    <fill>
      <patternFill patternType="solid">
        <fgColor rgb="FFD9D2E9"/>
        <bgColor indexed="64"/>
      </patternFill>
    </fill>
    <fill>
      <patternFill patternType="solid">
        <fgColor rgb="FFFFFFFF"/>
        <bgColor indexed="64"/>
      </patternFill>
    </fill>
    <fill>
      <patternFill patternType="solid">
        <fgColor rgb="FFCFE2F3"/>
        <bgColor indexed="64"/>
      </patternFill>
    </fill>
  </fills>
  <borders count="14">
    <border>
      <left/>
      <right/>
      <top/>
      <bottom/>
      <diagonal/>
    </border>
    <border>
      <left/>
      <right/>
      <top style="thin">
        <color indexed="64"/>
      </top>
      <bottom/>
      <diagonal/>
    </border>
    <border>
      <left/>
      <right/>
      <top/>
      <bottom style="thin">
        <color indexed="64"/>
      </bottom>
      <diagonal/>
    </border>
    <border>
      <left/>
      <right/>
      <top/>
      <bottom style="thin">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right/>
      <top/>
      <bottom style="thin">
        <color indexed="64"/>
      </bottom>
      <diagonal/>
    </border>
    <border>
      <left/>
      <right/>
      <top/>
      <bottom style="thin">
        <color indexed="64"/>
      </bottom>
      <diagonal/>
    </border>
    <border>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4">
    <xf numFmtId="0" fontId="0" fillId="0" borderId="0" xfId="0" applyAlignment="1">
      <alignment wrapText="1"/>
    </xf>
    <xf numFmtId="0" fontId="0" fillId="2" borderId="0" xfId="0" applyFill="1" applyAlignment="1">
      <alignment horizontal="center" wrapText="1"/>
    </xf>
    <xf numFmtId="4" fontId="0" fillId="3" borderId="0" xfId="0" applyNumberFormat="1" applyFill="1" applyAlignment="1">
      <alignment wrapText="1"/>
    </xf>
    <xf numFmtId="3" fontId="0" fillId="0" borderId="0" xfId="0" applyNumberFormat="1" applyAlignment="1">
      <alignment horizontal="center" wrapText="1"/>
    </xf>
    <xf numFmtId="0" fontId="0" fillId="0" borderId="0" xfId="0" applyAlignment="1">
      <alignment horizontal="center" wrapText="1"/>
    </xf>
    <xf numFmtId="4" fontId="0" fillId="4" borderId="0" xfId="0" applyNumberFormat="1" applyFill="1" applyAlignment="1">
      <alignment horizontal="center" wrapText="1"/>
    </xf>
    <xf numFmtId="0" fontId="1" fillId="0" borderId="0" xfId="0" applyFont="1" applyAlignment="1">
      <alignment wrapText="1"/>
    </xf>
    <xf numFmtId="4" fontId="0" fillId="5" borderId="0" xfId="0" applyNumberFormat="1" applyFill="1" applyAlignment="1">
      <alignment horizontal="center" wrapText="1"/>
    </xf>
    <xf numFmtId="4" fontId="0" fillId="6" borderId="0" xfId="0" applyNumberFormat="1" applyFill="1" applyAlignment="1">
      <alignment wrapText="1"/>
    </xf>
    <xf numFmtId="4" fontId="2" fillId="0" borderId="0" xfId="0" applyNumberFormat="1" applyFont="1" applyAlignment="1">
      <alignment horizontal="center" wrapText="1"/>
    </xf>
    <xf numFmtId="0" fontId="3" fillId="0" borderId="0" xfId="0" applyFont="1" applyAlignment="1">
      <alignment horizontal="center" wrapText="1"/>
    </xf>
    <xf numFmtId="4" fontId="0" fillId="0" borderId="0" xfId="0" applyNumberFormat="1" applyAlignment="1">
      <alignment wrapText="1"/>
    </xf>
    <xf numFmtId="4" fontId="0" fillId="7" borderId="0" xfId="0" applyNumberFormat="1" applyFill="1" applyAlignment="1">
      <alignment horizontal="center" wrapText="1"/>
    </xf>
    <xf numFmtId="4" fontId="0" fillId="8" borderId="0" xfId="0" applyNumberFormat="1" applyFill="1" applyAlignment="1">
      <alignment horizontal="center" wrapText="1"/>
    </xf>
    <xf numFmtId="3" fontId="0" fillId="0" borderId="0" xfId="0" applyNumberFormat="1" applyAlignment="1">
      <alignment wrapText="1"/>
    </xf>
    <xf numFmtId="4" fontId="0" fillId="0" borderId="0" xfId="0" applyNumberFormat="1" applyAlignment="1">
      <alignment horizontal="center" wrapText="1"/>
    </xf>
    <xf numFmtId="0" fontId="0" fillId="0" borderId="0" xfId="0" applyAlignment="1">
      <alignment horizontal="center" wrapText="1"/>
    </xf>
    <xf numFmtId="4" fontId="0" fillId="0" borderId="0" xfId="0" applyNumberFormat="1" applyAlignment="1">
      <alignment horizontal="center" wrapText="1"/>
    </xf>
    <xf numFmtId="3" fontId="0" fillId="0" borderId="0" xfId="0" applyNumberFormat="1" applyAlignment="1">
      <alignment horizontal="center" wrapText="1"/>
    </xf>
    <xf numFmtId="0" fontId="0" fillId="0" borderId="0" xfId="0" applyFill="1" applyAlignment="1">
      <alignment horizontal="left" wrapText="1"/>
    </xf>
    <xf numFmtId="4" fontId="0" fillId="0" borderId="0" xfId="0" applyNumberFormat="1" applyFill="1" applyAlignment="1">
      <alignment horizontal="left" wrapText="1"/>
    </xf>
    <xf numFmtId="0" fontId="0" fillId="0" borderId="0" xfId="0" applyFill="1" applyAlignment="1">
      <alignment wrapText="1"/>
    </xf>
    <xf numFmtId="0" fontId="0" fillId="0" borderId="0" xfId="0" applyFill="1" applyAlignment="1">
      <alignment horizontal="center" wrapText="1"/>
    </xf>
    <xf numFmtId="4" fontId="0" fillId="0" borderId="0" xfId="0" applyNumberFormat="1" applyFill="1" applyAlignment="1">
      <alignment horizontal="center" wrapText="1"/>
    </xf>
    <xf numFmtId="0" fontId="0" fillId="0" borderId="0" xfId="0" applyFill="1" applyAlignment="1">
      <alignment horizontal="center" wrapText="1"/>
    </xf>
    <xf numFmtId="0" fontId="0" fillId="0" borderId="8" xfId="0" applyFill="1" applyBorder="1" applyAlignment="1">
      <alignment wrapText="1"/>
    </xf>
    <xf numFmtId="0" fontId="0" fillId="0" borderId="11" xfId="0" applyFill="1" applyBorder="1" applyAlignment="1">
      <alignment horizontal="center" wrapText="1"/>
    </xf>
    <xf numFmtId="0" fontId="0" fillId="0" borderId="2" xfId="0" applyFill="1" applyBorder="1" applyAlignment="1">
      <alignment horizontal="center" wrapText="1"/>
    </xf>
    <xf numFmtId="4" fontId="0" fillId="0" borderId="5" xfId="0" applyNumberFormat="1" applyFill="1" applyBorder="1" applyAlignment="1">
      <alignment horizontal="center" wrapText="1"/>
    </xf>
    <xf numFmtId="0" fontId="4" fillId="0" borderId="13" xfId="0" applyFont="1" applyFill="1" applyBorder="1" applyAlignment="1">
      <alignment horizontal="center" wrapText="1"/>
    </xf>
    <xf numFmtId="4" fontId="0" fillId="0" borderId="7" xfId="0" applyNumberFormat="1" applyFill="1" applyBorder="1" applyAlignment="1">
      <alignment horizontal="center" wrapText="1"/>
    </xf>
    <xf numFmtId="0" fontId="0" fillId="0" borderId="1" xfId="0" applyFill="1" applyBorder="1" applyAlignment="1">
      <alignment wrapText="1"/>
    </xf>
    <xf numFmtId="4" fontId="0" fillId="0" borderId="9" xfId="0" applyNumberFormat="1" applyFill="1" applyBorder="1" applyAlignment="1">
      <alignment horizontal="center" wrapText="1"/>
    </xf>
    <xf numFmtId="4" fontId="0" fillId="0" borderId="4" xfId="0" applyNumberFormat="1" applyFill="1" applyBorder="1" applyAlignment="1">
      <alignment horizontal="center" wrapText="1"/>
    </xf>
    <xf numFmtId="0" fontId="0" fillId="0" borderId="12" xfId="0" applyFill="1" applyBorder="1" applyAlignment="1">
      <alignment horizontal="center" wrapText="1"/>
    </xf>
    <xf numFmtId="0" fontId="0" fillId="0" borderId="6" xfId="0" applyFill="1" applyBorder="1" applyAlignment="1">
      <alignment horizontal="center" wrapText="1"/>
    </xf>
    <xf numFmtId="0" fontId="0" fillId="0" borderId="0" xfId="0" applyFill="1" applyAlignment="1">
      <alignment wrapText="1"/>
    </xf>
    <xf numFmtId="3" fontId="0" fillId="0" borderId="10" xfId="0" applyNumberFormat="1" applyFill="1" applyBorder="1" applyAlignment="1">
      <alignment horizontal="center" wrapText="1"/>
    </xf>
    <xf numFmtId="3" fontId="0" fillId="0" borderId="0" xfId="0" applyNumberFormat="1" applyFill="1" applyAlignment="1">
      <alignment horizontal="center" wrapText="1"/>
    </xf>
    <xf numFmtId="164" fontId="0" fillId="0" borderId="0" xfId="0" applyNumberFormat="1" applyFill="1" applyAlignment="1">
      <alignment horizontal="center" wrapText="1"/>
    </xf>
    <xf numFmtId="3" fontId="0" fillId="0" borderId="3" xfId="0" applyNumberFormat="1" applyFill="1" applyBorder="1" applyAlignment="1">
      <alignment horizontal="center" wrapText="1"/>
    </xf>
    <xf numFmtId="0" fontId="0" fillId="0" borderId="0" xfId="0" applyFill="1" applyAlignment="1">
      <alignment horizontal="left" wrapText="1"/>
    </xf>
    <xf numFmtId="49" fontId="0" fillId="0" borderId="0" xfId="0" applyNumberFormat="1" applyFill="1" applyAlignment="1">
      <alignment wrapText="1"/>
    </xf>
    <xf numFmtId="4" fontId="0" fillId="0" borderId="0" xfId="0" applyNumberForma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133350</xdr:colOff>
      <xdr:row>35</xdr:row>
      <xdr:rowOff>123825</xdr:rowOff>
    </xdr:to>
    <xdr:sp macro="" textlink="">
      <xdr:nvSpPr>
        <xdr:cNvPr id="1031"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0"/>
  <sheetViews>
    <sheetView workbookViewId="0">
      <selection activeCell="H12" sqref="H12"/>
    </sheetView>
  </sheetViews>
  <sheetFormatPr defaultColWidth="17.140625" defaultRowHeight="12.75" customHeight="1" x14ac:dyDescent="0.2"/>
  <cols>
    <col min="1" max="1" width="35.140625" customWidth="1"/>
    <col min="2" max="2" width="7.85546875" customWidth="1"/>
    <col min="3" max="3" width="10" customWidth="1"/>
    <col min="4" max="4" width="9.7109375" customWidth="1"/>
    <col min="5" max="5" width="10" customWidth="1"/>
    <col min="6" max="6" width="10.42578125" customWidth="1"/>
    <col min="7" max="7" width="10.85546875" customWidth="1"/>
    <col min="8" max="8" width="10.28515625" customWidth="1"/>
    <col min="9" max="11" width="9.140625" customWidth="1"/>
    <col min="12" max="12" width="10.5703125" customWidth="1"/>
    <col min="13" max="13" width="6.42578125" customWidth="1"/>
    <col min="14" max="14" width="6.7109375" customWidth="1"/>
    <col min="15" max="15" width="8.140625" customWidth="1"/>
  </cols>
  <sheetData>
    <row r="1" spans="1:16" x14ac:dyDescent="0.2">
      <c r="A1" s="21"/>
      <c r="B1" s="24" t="s">
        <v>0</v>
      </c>
      <c r="C1" s="24"/>
      <c r="D1" s="21"/>
      <c r="E1" s="24" t="s">
        <v>1</v>
      </c>
      <c r="F1" s="24"/>
      <c r="G1" s="24" t="s">
        <v>2</v>
      </c>
      <c r="H1" s="24"/>
      <c r="I1" s="24" t="s">
        <v>3</v>
      </c>
      <c r="J1" s="24"/>
      <c r="K1" s="24"/>
      <c r="L1" s="24" t="s">
        <v>4</v>
      </c>
      <c r="M1" s="24"/>
      <c r="N1" s="24"/>
      <c r="O1" s="24"/>
      <c r="P1" s="21"/>
    </row>
    <row r="2" spans="1:16" ht="38.25" x14ac:dyDescent="0.2">
      <c r="A2" s="25" t="s">
        <v>5</v>
      </c>
      <c r="B2" s="26" t="s">
        <v>6</v>
      </c>
      <c r="C2" s="27" t="s">
        <v>7</v>
      </c>
      <c r="D2" s="27" t="s">
        <v>8</v>
      </c>
      <c r="E2" s="28" t="s">
        <v>9</v>
      </c>
      <c r="F2" s="27" t="s">
        <v>10</v>
      </c>
      <c r="G2" s="28" t="s">
        <v>9</v>
      </c>
      <c r="H2" s="27" t="s">
        <v>10</v>
      </c>
      <c r="I2" s="26" t="s">
        <v>11</v>
      </c>
      <c r="J2" s="26" t="s">
        <v>12</v>
      </c>
      <c r="K2" s="29" t="s">
        <v>13</v>
      </c>
      <c r="L2" s="30" t="s">
        <v>14</v>
      </c>
      <c r="M2" s="26" t="s">
        <v>15</v>
      </c>
      <c r="N2" s="26" t="s">
        <v>16</v>
      </c>
      <c r="O2" s="26" t="s">
        <v>17</v>
      </c>
      <c r="P2" s="21"/>
    </row>
    <row r="3" spans="1:16" ht="25.5" x14ac:dyDescent="0.2">
      <c r="A3" s="31" t="s">
        <v>18</v>
      </c>
      <c r="B3" s="32">
        <v>0.93</v>
      </c>
      <c r="C3" s="32" t="s">
        <v>19</v>
      </c>
      <c r="D3" s="33">
        <v>2.4300000000000002</v>
      </c>
      <c r="E3" s="33">
        <v>2.6</v>
      </c>
      <c r="F3" s="33" t="s">
        <v>20</v>
      </c>
      <c r="G3" s="32">
        <v>2.42</v>
      </c>
      <c r="H3" s="32" t="s">
        <v>21</v>
      </c>
      <c r="I3" s="32">
        <v>0</v>
      </c>
      <c r="J3" s="32">
        <f>36/36</f>
        <v>1</v>
      </c>
      <c r="K3" s="32">
        <f t="shared" ref="K3:K18" si="0">1-(J3+I3)</f>
        <v>0</v>
      </c>
      <c r="L3" s="32" t="s">
        <v>22</v>
      </c>
      <c r="M3" s="34">
        <v>5607</v>
      </c>
      <c r="N3" s="34">
        <f>2933+2676</f>
        <v>5609</v>
      </c>
      <c r="O3" s="34" t="s">
        <v>23</v>
      </c>
      <c r="P3" s="21"/>
    </row>
    <row r="4" spans="1:16" ht="25.5" x14ac:dyDescent="0.2">
      <c r="A4" s="21" t="s">
        <v>24</v>
      </c>
      <c r="B4" s="23">
        <v>0.93</v>
      </c>
      <c r="C4" s="23" t="s">
        <v>19</v>
      </c>
      <c r="D4" s="23">
        <v>2</v>
      </c>
      <c r="E4" s="23">
        <v>2.4500000000000002</v>
      </c>
      <c r="F4" s="23" t="s">
        <v>25</v>
      </c>
      <c r="G4" s="23">
        <v>2.23</v>
      </c>
      <c r="H4" s="23" t="s">
        <v>26</v>
      </c>
      <c r="I4" s="23">
        <v>0</v>
      </c>
      <c r="J4" s="23">
        <f>36/36</f>
        <v>1</v>
      </c>
      <c r="K4" s="23">
        <f t="shared" si="0"/>
        <v>0</v>
      </c>
      <c r="L4" s="23" t="s">
        <v>27</v>
      </c>
      <c r="M4" s="22">
        <v>5625</v>
      </c>
      <c r="N4" s="22">
        <f>2764+2863</f>
        <v>5627</v>
      </c>
      <c r="O4" s="22" t="s">
        <v>23</v>
      </c>
      <c r="P4" s="21"/>
    </row>
    <row r="5" spans="1:16" ht="25.5" x14ac:dyDescent="0.2">
      <c r="A5" s="21" t="s">
        <v>28</v>
      </c>
      <c r="B5" s="23">
        <v>0.65</v>
      </c>
      <c r="C5" s="23" t="s">
        <v>29</v>
      </c>
      <c r="D5" s="23">
        <v>1.88</v>
      </c>
      <c r="E5" s="23">
        <v>1.87</v>
      </c>
      <c r="F5" s="23" t="s">
        <v>30</v>
      </c>
      <c r="G5" s="23">
        <v>1.96</v>
      </c>
      <c r="H5" s="23" t="s">
        <v>31</v>
      </c>
      <c r="I5" s="23">
        <v>0</v>
      </c>
      <c r="J5" s="23">
        <f>35/36</f>
        <v>0.97222222222222221</v>
      </c>
      <c r="K5" s="23">
        <f t="shared" si="0"/>
        <v>2.777777777777779E-2</v>
      </c>
      <c r="L5" s="23" t="s">
        <v>32</v>
      </c>
      <c r="M5" s="22">
        <v>1</v>
      </c>
      <c r="N5" s="22">
        <v>6292</v>
      </c>
      <c r="O5" s="22" t="s">
        <v>23</v>
      </c>
      <c r="P5" s="21"/>
    </row>
    <row r="6" spans="1:16" ht="25.5" x14ac:dyDescent="0.2">
      <c r="A6" s="21" t="s">
        <v>33</v>
      </c>
      <c r="B6" s="23">
        <v>0.93</v>
      </c>
      <c r="C6" s="23" t="s">
        <v>19</v>
      </c>
      <c r="D6" s="23">
        <v>1.88</v>
      </c>
      <c r="E6" s="23">
        <v>2.0499999999999998</v>
      </c>
      <c r="F6" s="23" t="s">
        <v>34</v>
      </c>
      <c r="G6" s="23">
        <v>1.79</v>
      </c>
      <c r="H6" s="23" t="s">
        <v>35</v>
      </c>
      <c r="I6" s="23">
        <v>0</v>
      </c>
      <c r="J6" s="23">
        <f>36/36</f>
        <v>1</v>
      </c>
      <c r="K6" s="23">
        <f t="shared" si="0"/>
        <v>0</v>
      </c>
      <c r="L6" s="23" t="s">
        <v>36</v>
      </c>
      <c r="M6" s="22">
        <v>5282</v>
      </c>
      <c r="N6" s="22">
        <f>2698+2586</f>
        <v>5284</v>
      </c>
      <c r="O6" s="22" t="s">
        <v>23</v>
      </c>
      <c r="P6" s="21"/>
    </row>
    <row r="7" spans="1:16" ht="25.5" x14ac:dyDescent="0.2">
      <c r="A7" s="21" t="s">
        <v>37</v>
      </c>
      <c r="B7" s="23">
        <v>0.93</v>
      </c>
      <c r="C7" s="23" t="s">
        <v>19</v>
      </c>
      <c r="D7" s="23">
        <v>1.18</v>
      </c>
      <c r="E7" s="23">
        <v>1.27</v>
      </c>
      <c r="F7" s="23" t="s">
        <v>38</v>
      </c>
      <c r="G7" s="23">
        <v>1.17</v>
      </c>
      <c r="H7" s="23" t="s">
        <v>39</v>
      </c>
      <c r="I7" s="23">
        <v>0</v>
      </c>
      <c r="J7" s="23">
        <f>36/36</f>
        <v>1</v>
      </c>
      <c r="K7" s="23">
        <f t="shared" si="0"/>
        <v>0</v>
      </c>
      <c r="L7" s="23" t="s">
        <v>40</v>
      </c>
      <c r="M7" s="22">
        <v>5360</v>
      </c>
      <c r="N7" s="22">
        <f>2762+2600</f>
        <v>5362</v>
      </c>
      <c r="O7" s="22" t="s">
        <v>23</v>
      </c>
      <c r="P7" s="21"/>
    </row>
    <row r="8" spans="1:16" ht="25.5" x14ac:dyDescent="0.2">
      <c r="A8" s="21" t="s">
        <v>41</v>
      </c>
      <c r="B8" s="23">
        <v>0.93</v>
      </c>
      <c r="C8" s="23" t="s">
        <v>42</v>
      </c>
      <c r="D8" s="23">
        <v>0.84</v>
      </c>
      <c r="E8" s="23">
        <v>0.79</v>
      </c>
      <c r="F8" s="23" t="s">
        <v>43</v>
      </c>
      <c r="G8" s="23">
        <v>0.79</v>
      </c>
      <c r="H8" s="23" t="s">
        <v>44</v>
      </c>
      <c r="I8" s="23">
        <v>0</v>
      </c>
      <c r="J8" s="23">
        <f>33/35</f>
        <v>0.94285714285714284</v>
      </c>
      <c r="K8" s="23">
        <f t="shared" si="0"/>
        <v>5.7142857142857162E-2</v>
      </c>
      <c r="L8" s="23" t="s">
        <v>45</v>
      </c>
      <c r="M8" s="22"/>
      <c r="N8" s="22">
        <v>5623</v>
      </c>
      <c r="O8" s="22" t="s">
        <v>23</v>
      </c>
      <c r="P8" s="21"/>
    </row>
    <row r="9" spans="1:16" ht="25.5" x14ac:dyDescent="0.2">
      <c r="A9" s="21" t="s">
        <v>46</v>
      </c>
      <c r="B9" s="23">
        <v>0.69</v>
      </c>
      <c r="C9" s="23" t="s">
        <v>47</v>
      </c>
      <c r="D9" s="23">
        <v>0.61</v>
      </c>
      <c r="E9" s="23">
        <v>0.59</v>
      </c>
      <c r="F9" s="23" t="s">
        <v>48</v>
      </c>
      <c r="G9" s="23">
        <v>0.61</v>
      </c>
      <c r="H9" s="23" t="s">
        <v>49</v>
      </c>
      <c r="I9" s="23">
        <v>0</v>
      </c>
      <c r="J9" s="23">
        <f>30/36</f>
        <v>0.83333333333333337</v>
      </c>
      <c r="K9" s="23">
        <f t="shared" si="0"/>
        <v>0.16666666666666663</v>
      </c>
      <c r="L9" s="23" t="s">
        <v>50</v>
      </c>
      <c r="M9" s="22">
        <v>5940</v>
      </c>
      <c r="N9" s="22">
        <f>2680+3262</f>
        <v>5942</v>
      </c>
      <c r="O9" s="22" t="s">
        <v>23</v>
      </c>
      <c r="P9" s="21"/>
    </row>
    <row r="10" spans="1:16" ht="25.5" x14ac:dyDescent="0.2">
      <c r="A10" s="21" t="s">
        <v>51</v>
      </c>
      <c r="B10" s="23">
        <v>1.1299999999999999</v>
      </c>
      <c r="C10" s="23" t="s">
        <v>52</v>
      </c>
      <c r="D10" s="23">
        <v>0.57999999999999996</v>
      </c>
      <c r="E10" s="23">
        <v>0.62</v>
      </c>
      <c r="F10" s="23" t="s">
        <v>53</v>
      </c>
      <c r="G10" s="23">
        <v>0.6</v>
      </c>
      <c r="H10" s="23" t="s">
        <v>54</v>
      </c>
      <c r="I10" s="23">
        <v>0</v>
      </c>
      <c r="J10" s="23">
        <f>31/36</f>
        <v>0.86111111111111116</v>
      </c>
      <c r="K10" s="23">
        <f t="shared" si="0"/>
        <v>0.13888888888888884</v>
      </c>
      <c r="L10" s="23" t="s">
        <v>55</v>
      </c>
      <c r="M10" s="22">
        <v>1</v>
      </c>
      <c r="N10" s="22">
        <v>6271</v>
      </c>
      <c r="O10" s="22" t="s">
        <v>23</v>
      </c>
      <c r="P10" s="21"/>
    </row>
    <row r="11" spans="1:16" ht="25.5" x14ac:dyDescent="0.2">
      <c r="A11" s="21" t="s">
        <v>56</v>
      </c>
      <c r="B11" s="23">
        <v>1.01</v>
      </c>
      <c r="C11" s="23" t="s">
        <v>57</v>
      </c>
      <c r="D11" s="23">
        <v>0.59</v>
      </c>
      <c r="E11" s="23">
        <v>0.56000000000000005</v>
      </c>
      <c r="F11" s="23" t="s">
        <v>58</v>
      </c>
      <c r="G11" s="23">
        <v>0.53</v>
      </c>
      <c r="H11" s="23" t="s">
        <v>59</v>
      </c>
      <c r="I11" s="23">
        <v>0</v>
      </c>
      <c r="J11" s="23">
        <f>25/35</f>
        <v>0.7142857142857143</v>
      </c>
      <c r="K11" s="23">
        <f t="shared" si="0"/>
        <v>0.2857142857142857</v>
      </c>
      <c r="L11" s="23" t="s">
        <v>60</v>
      </c>
      <c r="M11" s="22">
        <v>5840</v>
      </c>
      <c r="N11" s="22">
        <f>3982+1860</f>
        <v>5842</v>
      </c>
      <c r="O11" s="22" t="s">
        <v>23</v>
      </c>
      <c r="P11" s="21"/>
    </row>
    <row r="12" spans="1:16" ht="25.5" x14ac:dyDescent="0.2">
      <c r="A12" s="21" t="s">
        <v>61</v>
      </c>
      <c r="B12" s="23">
        <v>0.5</v>
      </c>
      <c r="C12" s="23" t="s">
        <v>62</v>
      </c>
      <c r="D12" s="23">
        <v>0.5</v>
      </c>
      <c r="E12" s="23">
        <v>0.51</v>
      </c>
      <c r="F12" s="23" t="s">
        <v>63</v>
      </c>
      <c r="G12" s="23">
        <v>0.49</v>
      </c>
      <c r="H12" s="23" t="s">
        <v>64</v>
      </c>
      <c r="I12" s="23">
        <v>0</v>
      </c>
      <c r="J12" s="23">
        <f>24/36</f>
        <v>0.66666666666666663</v>
      </c>
      <c r="K12" s="23">
        <f t="shared" si="0"/>
        <v>0.33333333333333337</v>
      </c>
      <c r="L12" s="23" t="s">
        <v>65</v>
      </c>
      <c r="M12" s="22">
        <v>1</v>
      </c>
      <c r="N12" s="22">
        <v>5899</v>
      </c>
      <c r="O12" s="22" t="s">
        <v>23</v>
      </c>
      <c r="P12" s="21"/>
    </row>
    <row r="13" spans="1:16" ht="25.5" x14ac:dyDescent="0.2">
      <c r="A13" s="21" t="s">
        <v>66</v>
      </c>
      <c r="B13" s="23" t="s">
        <v>67</v>
      </c>
      <c r="C13" s="23"/>
      <c r="D13" s="23">
        <v>0.3</v>
      </c>
      <c r="E13" s="23">
        <v>0.31</v>
      </c>
      <c r="F13" s="23" t="s">
        <v>68</v>
      </c>
      <c r="G13" s="23">
        <v>0.32</v>
      </c>
      <c r="H13" s="23" t="s">
        <v>69</v>
      </c>
      <c r="I13" s="23">
        <v>0</v>
      </c>
      <c r="J13" s="23">
        <f>17/36</f>
        <v>0.47222222222222221</v>
      </c>
      <c r="K13" s="23">
        <f t="shared" si="0"/>
        <v>0.52777777777777779</v>
      </c>
      <c r="L13" s="23" t="s">
        <v>70</v>
      </c>
      <c r="M13" s="22">
        <v>6323</v>
      </c>
      <c r="N13" s="22">
        <f>3242+3083</f>
        <v>6325</v>
      </c>
      <c r="O13" s="22" t="s">
        <v>23</v>
      </c>
      <c r="P13" s="21"/>
    </row>
    <row r="14" spans="1:16" x14ac:dyDescent="0.2">
      <c r="A14" s="21" t="s">
        <v>71</v>
      </c>
      <c r="B14" s="23">
        <v>0.16</v>
      </c>
      <c r="C14" s="23" t="s">
        <v>72</v>
      </c>
      <c r="D14" s="23">
        <v>0.27</v>
      </c>
      <c r="E14" s="23">
        <v>0.27</v>
      </c>
      <c r="F14" s="23" t="s">
        <v>73</v>
      </c>
      <c r="G14" s="23">
        <v>0.3</v>
      </c>
      <c r="H14" s="23" t="s">
        <v>74</v>
      </c>
      <c r="I14" s="23">
        <f>0/36</f>
        <v>0</v>
      </c>
      <c r="J14" s="23">
        <f>13/36</f>
        <v>0.3611111111111111</v>
      </c>
      <c r="K14" s="23">
        <f t="shared" si="0"/>
        <v>0.63888888888888884</v>
      </c>
      <c r="L14" s="23" t="s">
        <v>75</v>
      </c>
      <c r="M14" s="22">
        <v>1</v>
      </c>
      <c r="N14" s="22">
        <v>6276</v>
      </c>
      <c r="O14" s="22" t="s">
        <v>23</v>
      </c>
      <c r="P14" s="21"/>
    </row>
    <row r="15" spans="1:16" ht="25.5" x14ac:dyDescent="0.2">
      <c r="A15" s="21" t="s">
        <v>76</v>
      </c>
      <c r="B15" s="23">
        <v>0.227912862495395</v>
      </c>
      <c r="C15" s="23" t="s">
        <v>77</v>
      </c>
      <c r="D15" s="23">
        <v>0.32</v>
      </c>
      <c r="E15" s="23">
        <v>0.31</v>
      </c>
      <c r="F15" s="23" t="s">
        <v>78</v>
      </c>
      <c r="G15" s="23">
        <v>0.27</v>
      </c>
      <c r="H15" s="23" t="s">
        <v>79</v>
      </c>
      <c r="I15" s="23">
        <f>0</f>
        <v>0</v>
      </c>
      <c r="J15" s="23">
        <f>15/30</f>
        <v>0.5</v>
      </c>
      <c r="K15" s="23">
        <f t="shared" si="0"/>
        <v>0.5</v>
      </c>
      <c r="L15" s="23" t="s">
        <v>80</v>
      </c>
      <c r="M15" s="22">
        <v>6328</v>
      </c>
      <c r="N15" s="22">
        <f>3243+3087</f>
        <v>6330</v>
      </c>
      <c r="O15" s="22" t="s">
        <v>23</v>
      </c>
      <c r="P15" s="21"/>
    </row>
    <row r="16" spans="1:16" ht="25.5" x14ac:dyDescent="0.2">
      <c r="A16" s="21" t="s">
        <v>81</v>
      </c>
      <c r="B16" s="23">
        <v>0.86</v>
      </c>
      <c r="C16" s="23" t="s">
        <v>82</v>
      </c>
      <c r="D16" s="23">
        <v>0.12</v>
      </c>
      <c r="E16" s="23">
        <v>0.1</v>
      </c>
      <c r="F16" s="23" t="s">
        <v>83</v>
      </c>
      <c r="G16" s="23">
        <v>0.13</v>
      </c>
      <c r="H16" s="23" t="s">
        <v>84</v>
      </c>
      <c r="I16" s="23">
        <f>1/36</f>
        <v>2.7777777777777776E-2</v>
      </c>
      <c r="J16" s="23">
        <f>4/36</f>
        <v>0.1111111111111111</v>
      </c>
      <c r="K16" s="23">
        <f t="shared" si="0"/>
        <v>0.86111111111111116</v>
      </c>
      <c r="L16" s="23" t="s">
        <v>85</v>
      </c>
      <c r="M16" s="22">
        <v>6334</v>
      </c>
      <c r="N16" s="22">
        <f>3172+3164</f>
        <v>6336</v>
      </c>
      <c r="O16" s="22" t="s">
        <v>23</v>
      </c>
      <c r="P16" s="21"/>
    </row>
    <row r="17" spans="1:16" x14ac:dyDescent="0.2">
      <c r="A17" s="21" t="s">
        <v>86</v>
      </c>
      <c r="B17" s="23">
        <v>0.5</v>
      </c>
      <c r="C17" s="23" t="s">
        <v>87</v>
      </c>
      <c r="D17" s="23">
        <v>1.9E-2</v>
      </c>
      <c r="E17" s="23">
        <v>0.01</v>
      </c>
      <c r="F17" s="23" t="s">
        <v>88</v>
      </c>
      <c r="G17" s="23">
        <v>0.03</v>
      </c>
      <c r="H17" s="23" t="s">
        <v>89</v>
      </c>
      <c r="I17" s="23">
        <f>1/25</f>
        <v>0.04</v>
      </c>
      <c r="J17" s="23">
        <v>0</v>
      </c>
      <c r="K17" s="23">
        <f t="shared" si="0"/>
        <v>0.96</v>
      </c>
      <c r="L17" s="23" t="s">
        <v>90</v>
      </c>
      <c r="M17" s="22">
        <v>4894</v>
      </c>
      <c r="N17" s="22">
        <f>2424+2472</f>
        <v>4896</v>
      </c>
      <c r="O17" s="22">
        <v>0.379</v>
      </c>
      <c r="P17" s="21"/>
    </row>
    <row r="18" spans="1:16" x14ac:dyDescent="0.2">
      <c r="A18" s="25" t="s">
        <v>91</v>
      </c>
      <c r="B18" s="30">
        <v>0.8</v>
      </c>
      <c r="C18" s="30" t="s">
        <v>92</v>
      </c>
      <c r="D18" s="28">
        <v>0</v>
      </c>
      <c r="E18" s="28">
        <v>0.01</v>
      </c>
      <c r="F18" s="28" t="s">
        <v>93</v>
      </c>
      <c r="G18" s="30">
        <v>-0.02</v>
      </c>
      <c r="H18" s="30" t="s">
        <v>94</v>
      </c>
      <c r="I18" s="30">
        <v>0</v>
      </c>
      <c r="J18" s="30">
        <f>1/36</f>
        <v>2.7777777777777776E-2</v>
      </c>
      <c r="K18" s="30">
        <f t="shared" si="0"/>
        <v>0.97222222222222221</v>
      </c>
      <c r="L18" s="30" t="s">
        <v>95</v>
      </c>
      <c r="M18" s="26">
        <v>6331</v>
      </c>
      <c r="N18" s="26">
        <f>3138+3195</f>
        <v>6333</v>
      </c>
      <c r="O18" s="26">
        <v>0.83099999999999996</v>
      </c>
      <c r="P18" s="21"/>
    </row>
    <row r="19" spans="1:16" x14ac:dyDescent="0.2">
      <c r="A19" s="31"/>
      <c r="B19" s="34"/>
      <c r="C19" s="34"/>
      <c r="D19" s="35"/>
      <c r="E19" s="35"/>
      <c r="F19" s="35"/>
      <c r="G19" s="34"/>
      <c r="H19" s="32"/>
      <c r="I19" s="34"/>
      <c r="J19" s="34"/>
      <c r="K19" s="34"/>
      <c r="L19" s="32"/>
      <c r="M19" s="34"/>
      <c r="N19" s="34"/>
      <c r="O19" s="34"/>
      <c r="P19" s="21"/>
    </row>
    <row r="20" spans="1:16" ht="77.25" customHeight="1" x14ac:dyDescent="0.2">
      <c r="A20" s="19" t="s">
        <v>96</v>
      </c>
      <c r="B20" s="19"/>
      <c r="C20" s="19"/>
      <c r="D20" s="19"/>
      <c r="E20" s="19"/>
      <c r="F20" s="19"/>
      <c r="G20" s="19"/>
      <c r="H20" s="20"/>
      <c r="I20" s="19"/>
      <c r="J20" s="19"/>
      <c r="K20" s="19"/>
      <c r="L20" s="23"/>
      <c r="M20" s="22"/>
      <c r="N20" s="22"/>
      <c r="O20" s="22"/>
      <c r="P20" s="21"/>
    </row>
    <row r="21" spans="1:16" x14ac:dyDescent="0.2">
      <c r="A21" s="21"/>
      <c r="B21" s="22"/>
      <c r="C21" s="22"/>
      <c r="D21" s="22"/>
      <c r="E21" s="22"/>
      <c r="F21" s="22"/>
      <c r="G21" s="22"/>
      <c r="H21" s="23"/>
      <c r="I21" s="22"/>
      <c r="J21" s="22"/>
      <c r="K21" s="22"/>
      <c r="L21" s="23"/>
      <c r="M21" s="22"/>
      <c r="N21" s="22"/>
      <c r="O21" s="22"/>
      <c r="P21" s="21"/>
    </row>
    <row r="22" spans="1:16" x14ac:dyDescent="0.2">
      <c r="A22" s="21"/>
      <c r="B22" s="22"/>
      <c r="C22" s="22"/>
      <c r="D22" s="22"/>
      <c r="E22" s="22"/>
      <c r="F22" s="22"/>
      <c r="G22" s="22"/>
      <c r="H22" s="23"/>
      <c r="I22" s="22"/>
      <c r="J22" s="22"/>
      <c r="K22" s="22"/>
      <c r="L22" s="23"/>
      <c r="M22" s="22"/>
      <c r="N22" s="22"/>
      <c r="O22" s="22"/>
      <c r="P22" s="21"/>
    </row>
    <row r="23" spans="1:16" x14ac:dyDescent="0.2">
      <c r="A23" s="21"/>
      <c r="B23" s="22"/>
      <c r="C23" s="22"/>
      <c r="D23" s="22"/>
      <c r="E23" s="22"/>
      <c r="F23" s="22"/>
      <c r="G23" s="22"/>
      <c r="H23" s="23"/>
      <c r="I23" s="22"/>
      <c r="J23" s="22"/>
      <c r="K23" s="22"/>
      <c r="L23" s="23"/>
      <c r="M23" s="22"/>
      <c r="N23" s="22"/>
      <c r="O23" s="22"/>
      <c r="P23" s="21"/>
    </row>
    <row r="24" spans="1:16" x14ac:dyDescent="0.2">
      <c r="A24" s="21"/>
      <c r="B24" s="22"/>
      <c r="C24" s="22"/>
      <c r="D24" s="22"/>
      <c r="E24" s="22"/>
      <c r="F24" s="22"/>
      <c r="G24" s="22"/>
      <c r="H24" s="23"/>
      <c r="I24" s="22"/>
      <c r="J24" s="22"/>
      <c r="K24" s="22"/>
      <c r="L24" s="23"/>
      <c r="M24" s="22"/>
      <c r="N24" s="22"/>
      <c r="O24" s="22"/>
      <c r="P24" s="21"/>
    </row>
    <row r="25" spans="1:16" x14ac:dyDescent="0.2">
      <c r="A25" s="21"/>
      <c r="B25" s="22"/>
      <c r="C25" s="22"/>
      <c r="D25" s="22"/>
      <c r="E25" s="22"/>
      <c r="F25" s="22"/>
      <c r="G25" s="22"/>
      <c r="H25" s="23"/>
      <c r="I25" s="22"/>
      <c r="J25" s="22"/>
      <c r="K25" s="22"/>
      <c r="L25" s="23"/>
      <c r="M25" s="22"/>
      <c r="N25" s="22"/>
      <c r="O25" s="22"/>
      <c r="P25" s="21"/>
    </row>
    <row r="26" spans="1:16" ht="25.5" x14ac:dyDescent="0.2">
      <c r="A26" s="21" t="s">
        <v>97</v>
      </c>
      <c r="B26" s="23">
        <f>AVERAGE(B3:B12,B15:B16,B17:B18)</f>
        <v>0.78699377589252839</v>
      </c>
      <c r="C26" s="23"/>
      <c r="D26" s="23">
        <f>AVERAGE(D3:D12,D15:D16,D17:D18)</f>
        <v>0.92492857142857132</v>
      </c>
      <c r="E26" s="23">
        <f>AVERAGE(E3:E12,E15:E16,E17:E18)</f>
        <v>0.98142857142857143</v>
      </c>
      <c r="F26" s="23"/>
      <c r="G26" s="23">
        <f>AVERAGE(G3:G12,G15:G16,G17:G18)</f>
        <v>0.92857142857142849</v>
      </c>
      <c r="H26" s="23"/>
      <c r="I26" s="23">
        <f>AVERAGE(I3:I18)</f>
        <v>4.2361111111111106E-3</v>
      </c>
      <c r="J26" s="23">
        <f>AVERAGE(J3:J18)</f>
        <v>0.65391865079365064</v>
      </c>
      <c r="K26" s="23">
        <f>AVERAGE(K3:K18)</f>
        <v>0.34184523809523809</v>
      </c>
      <c r="L26" s="23"/>
      <c r="M26" s="22"/>
      <c r="N26" s="22"/>
      <c r="O26" s="22"/>
      <c r="P26" s="21"/>
    </row>
    <row r="27" spans="1:16" ht="25.5" x14ac:dyDescent="0.2">
      <c r="A27" s="21" t="s">
        <v>98</v>
      </c>
      <c r="B27" s="23">
        <f>MEDIAN(B3:B12,B15:B16,B17:B18)</f>
        <v>0.89500000000000002</v>
      </c>
      <c r="C27" s="23"/>
      <c r="D27" s="23">
        <f>MEDIAN(D3:D12,D15:D16,D17:D18)</f>
        <v>0.6</v>
      </c>
      <c r="E27" s="23">
        <f>MEDIAN(E3:E12,E15:E16,E17:E18)</f>
        <v>0.60499999999999998</v>
      </c>
      <c r="F27" s="23"/>
      <c r="G27" s="23">
        <f>MEDIAN(G3:G12,G15:G16,G17:G18)</f>
        <v>0.60499999999999998</v>
      </c>
      <c r="H27" s="23"/>
      <c r="I27" s="23">
        <f>MEDIAN(I3:I18)</f>
        <v>0</v>
      </c>
      <c r="J27" s="23">
        <f>MEDIAN(J3:J18)</f>
        <v>0.77380952380952384</v>
      </c>
      <c r="K27" s="23">
        <f>MEDIAN(K3:K18)</f>
        <v>0.22619047619047616</v>
      </c>
      <c r="L27" s="23"/>
      <c r="M27" s="22"/>
      <c r="N27" s="22"/>
      <c r="O27" s="22"/>
      <c r="P27" s="21"/>
    </row>
    <row r="28" spans="1:16" ht="12.75" customHeight="1" x14ac:dyDescent="0.2">
      <c r="A28" s="21"/>
      <c r="B28" s="21"/>
      <c r="C28" s="21"/>
      <c r="D28" s="21"/>
      <c r="E28" s="21"/>
      <c r="F28" s="21"/>
      <c r="G28" s="21"/>
      <c r="H28" s="21"/>
      <c r="I28" s="21"/>
      <c r="J28" s="21"/>
      <c r="K28" s="21"/>
      <c r="L28" s="21"/>
      <c r="M28" s="21"/>
      <c r="N28" s="21"/>
      <c r="O28" s="21"/>
      <c r="P28" s="21"/>
    </row>
    <row r="29" spans="1:16" ht="12.75" customHeight="1" x14ac:dyDescent="0.2">
      <c r="A29" s="21"/>
      <c r="B29" s="21"/>
      <c r="C29" s="21"/>
      <c r="D29" s="21"/>
      <c r="E29" s="21"/>
      <c r="F29" s="21"/>
      <c r="G29" s="21"/>
      <c r="H29" s="21"/>
      <c r="I29" s="21"/>
      <c r="J29" s="21"/>
      <c r="K29" s="21"/>
      <c r="L29" s="21"/>
      <c r="M29" s="21"/>
      <c r="N29" s="21"/>
      <c r="O29" s="21"/>
      <c r="P29" s="21"/>
    </row>
    <row r="30" spans="1:16" ht="12.75" customHeight="1" x14ac:dyDescent="0.2">
      <c r="A30" s="21"/>
      <c r="B30" s="21"/>
      <c r="C30" s="21"/>
      <c r="D30" s="21"/>
      <c r="E30" s="21"/>
      <c r="F30" s="21"/>
      <c r="G30" s="21"/>
      <c r="H30" s="21"/>
      <c r="I30" s="21"/>
      <c r="J30" s="21"/>
      <c r="K30" s="21"/>
      <c r="L30" s="21"/>
      <c r="M30" s="21"/>
      <c r="N30" s="21"/>
      <c r="O30" s="21"/>
      <c r="P30" s="21"/>
    </row>
  </sheetData>
  <mergeCells count="6">
    <mergeCell ref="A20:K20"/>
    <mergeCell ref="B1:C1"/>
    <mergeCell ref="E1:F1"/>
    <mergeCell ref="G1:H1"/>
    <mergeCell ref="I1:K1"/>
    <mergeCell ref="L1:O1"/>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5703125" customWidth="1"/>
    <col min="5" max="5" width="12.7109375" customWidth="1"/>
    <col min="6" max="6" width="13.140625" customWidth="1"/>
    <col min="7" max="7" width="11.140625" customWidth="1"/>
    <col min="8" max="8" width="11" customWidth="1"/>
    <col min="9" max="9" width="10.28515625" customWidth="1"/>
    <col min="10" max="10" width="13.28515625" customWidth="1"/>
    <col min="11" max="11" width="12" customWidth="1"/>
    <col min="12" max="12" width="13.28515625" customWidth="1"/>
    <col min="13" max="13" width="10.85546875" customWidth="1"/>
    <col min="14" max="14" width="9.42578125" customWidth="1"/>
    <col min="15" max="15" width="17.28515625" customWidth="1"/>
    <col min="16" max="16" width="14.7109375" customWidth="1"/>
  </cols>
  <sheetData>
    <row r="1" spans="1:16" ht="12.75" customHeight="1" x14ac:dyDescent="0.2">
      <c r="A1" t="s">
        <v>117</v>
      </c>
      <c r="B1" s="14" t="s">
        <v>199</v>
      </c>
      <c r="C1" s="14" t="s">
        <v>200</v>
      </c>
      <c r="D1" s="4" t="s">
        <v>120</v>
      </c>
      <c r="E1" s="2" t="s">
        <v>201</v>
      </c>
      <c r="F1" s="2" t="s">
        <v>202</v>
      </c>
      <c r="G1" s="8" t="s">
        <v>203</v>
      </c>
      <c r="H1" s="8" t="s">
        <v>204</v>
      </c>
      <c r="I1" s="11" t="s">
        <v>125</v>
      </c>
      <c r="J1" s="11" t="s">
        <v>126</v>
      </c>
      <c r="K1" s="14" t="s">
        <v>127</v>
      </c>
      <c r="L1" s="11" t="s">
        <v>128</v>
      </c>
      <c r="M1" s="11" t="s">
        <v>129</v>
      </c>
      <c r="N1" s="15" t="s">
        <v>130</v>
      </c>
      <c r="O1" t="s">
        <v>131</v>
      </c>
      <c r="P1" t="s">
        <v>132</v>
      </c>
    </row>
    <row r="2" spans="1:16" ht="43.5" customHeight="1" x14ac:dyDescent="0.2">
      <c r="A2" s="6" t="s">
        <v>133</v>
      </c>
      <c r="B2" s="4">
        <f>SUM(B4:B39)</f>
        <v>3242</v>
      </c>
      <c r="C2" s="4">
        <f>SUM(C4:C39)</f>
        <v>3083</v>
      </c>
      <c r="D2" s="4">
        <f>6344-(B2+C2)</f>
        <v>19</v>
      </c>
      <c r="E2" s="2">
        <v>5.9275138800000002</v>
      </c>
      <c r="F2" s="2">
        <v>5.23224132</v>
      </c>
      <c r="G2" s="8">
        <v>2.20682833</v>
      </c>
      <c r="H2" s="8">
        <v>2.1126388899999999</v>
      </c>
      <c r="I2" s="11">
        <v>12.787000000000001</v>
      </c>
      <c r="J2" s="11">
        <v>12.801</v>
      </c>
      <c r="K2" s="14">
        <v>6323</v>
      </c>
      <c r="L2" s="11">
        <v>6322.7179999999998</v>
      </c>
      <c r="M2" s="11">
        <f>(2*J2)/SQRT(L2)</f>
        <v>0.3219748778577301</v>
      </c>
      <c r="N2" s="15">
        <v>0.32184864000000002</v>
      </c>
      <c r="O2" t="s">
        <v>134</v>
      </c>
      <c r="P2" t="s">
        <v>135</v>
      </c>
    </row>
    <row r="3" spans="1:16" ht="12.75" customHeight="1" x14ac:dyDescent="0.2">
      <c r="A3" s="6" t="s">
        <v>136</v>
      </c>
      <c r="B3" s="11">
        <f>AVERAGE(B4:B39)</f>
        <v>90.055555555555557</v>
      </c>
      <c r="C3" s="11">
        <f>AVERAGE(C4:C39)</f>
        <v>85.638888888888886</v>
      </c>
      <c r="D3" s="15"/>
      <c r="E3" s="2">
        <f>AVERAGE(E4:E39)</f>
        <v>5.8287609428326554</v>
      </c>
      <c r="F3" s="2">
        <f>AVERAGE(F4:F39)</f>
        <v>5.189760813360162</v>
      </c>
      <c r="G3" s="8">
        <f>AVERAGE(G4:G39)</f>
        <v>2.1243466960049258</v>
      </c>
      <c r="H3" s="8">
        <f>AVERAGE(H4:H39)</f>
        <v>2.0328833308644225</v>
      </c>
      <c r="I3" s="11">
        <v>1.8789341981388901</v>
      </c>
      <c r="J3" s="11">
        <v>1.87896204044444</v>
      </c>
      <c r="K3" s="11">
        <f>AVERAGE(K4:K39)</f>
        <v>173.69444444444446</v>
      </c>
      <c r="L3" s="11">
        <f>AVERAGE(L4:L39)</f>
        <v>167.13171430583333</v>
      </c>
      <c r="M3" s="11">
        <f>AVERAGE(M4:M39)</f>
        <v>0.31563524770679108</v>
      </c>
      <c r="N3" s="15">
        <f>AVERAGE(N4:N39)</f>
        <v>0.30539661826683884</v>
      </c>
    </row>
    <row r="4" spans="1:16" ht="12.75" customHeight="1" x14ac:dyDescent="0.2">
      <c r="A4" t="s">
        <v>137</v>
      </c>
      <c r="B4" s="14">
        <v>36</v>
      </c>
      <c r="C4" s="14">
        <v>48</v>
      </c>
      <c r="D4" s="4">
        <f>84-(B4+C4)</f>
        <v>0</v>
      </c>
      <c r="E4" s="2">
        <v>5.4444444444444402</v>
      </c>
      <c r="F4" s="2">
        <v>4.9375</v>
      </c>
      <c r="G4" s="8">
        <v>2.37179190179004</v>
      </c>
      <c r="H4" s="8">
        <v>2.2822744348006601</v>
      </c>
      <c r="I4" s="11">
        <v>0.99068397500000005</v>
      </c>
      <c r="J4" s="11">
        <v>0.98519017900000005</v>
      </c>
      <c r="K4" s="14">
        <v>82</v>
      </c>
      <c r="L4" s="11">
        <v>73.93758622</v>
      </c>
      <c r="M4" s="11">
        <f t="shared" ref="M4:M39" si="0">(2*J4)/SQRT(L4)</f>
        <v>0.22914871982002941</v>
      </c>
      <c r="N4" s="15">
        <v>0.217809829148467</v>
      </c>
    </row>
    <row r="5" spans="1:16" ht="12.75" customHeight="1" x14ac:dyDescent="0.2">
      <c r="A5" t="s">
        <v>138</v>
      </c>
      <c r="B5" s="14">
        <v>76</v>
      </c>
      <c r="C5" s="14">
        <v>43</v>
      </c>
      <c r="D5" s="4">
        <f>120-(B5+C5)</f>
        <v>1</v>
      </c>
      <c r="E5" s="2">
        <v>5.9736842105263204</v>
      </c>
      <c r="F5" s="2">
        <v>5.5813953488372103</v>
      </c>
      <c r="G5" s="8">
        <v>1.8328388487845899</v>
      </c>
      <c r="H5" s="8">
        <v>2.4027024283138898</v>
      </c>
      <c r="I5" s="11">
        <v>1.000050053</v>
      </c>
      <c r="J5" s="11">
        <v>0.92862345499999999</v>
      </c>
      <c r="K5" s="14">
        <v>117</v>
      </c>
      <c r="L5" s="11">
        <v>69.961423850000003</v>
      </c>
      <c r="M5" s="11">
        <f t="shared" si="0"/>
        <v>0.22204465563135425</v>
      </c>
      <c r="N5" s="15">
        <v>0.18358256448663701</v>
      </c>
    </row>
    <row r="6" spans="1:16" ht="12.75" customHeight="1" x14ac:dyDescent="0.2">
      <c r="A6" t="s">
        <v>139</v>
      </c>
      <c r="B6" s="14">
        <v>39</v>
      </c>
      <c r="C6" s="14">
        <v>45</v>
      </c>
      <c r="D6" s="4">
        <f>84-(B6+C6)</f>
        <v>0</v>
      </c>
      <c r="E6" s="2">
        <v>6.2051282051282097</v>
      </c>
      <c r="F6" s="2">
        <v>5.6444444444444404</v>
      </c>
      <c r="G6" s="8">
        <v>1.96253712240434</v>
      </c>
      <c r="H6" s="8">
        <v>1.9324449369499299</v>
      </c>
      <c r="I6" s="11">
        <v>1.3166613970000001</v>
      </c>
      <c r="J6" s="11">
        <v>1.3151913669999999</v>
      </c>
      <c r="K6" s="14">
        <v>82</v>
      </c>
      <c r="L6" s="11">
        <v>79.943600959999998</v>
      </c>
      <c r="M6" s="11">
        <f t="shared" si="0"/>
        <v>0.29418944830193899</v>
      </c>
      <c r="N6" s="15">
        <v>0.28789196945016998</v>
      </c>
    </row>
    <row r="7" spans="1:16" ht="12.75" customHeight="1" x14ac:dyDescent="0.2">
      <c r="A7" t="s">
        <v>140</v>
      </c>
      <c r="B7" s="14">
        <v>46</v>
      </c>
      <c r="C7" s="14">
        <v>48</v>
      </c>
      <c r="D7" s="4">
        <f>95-(B7+C7)</f>
        <v>1</v>
      </c>
      <c r="E7" s="2">
        <v>5.7173913043478297</v>
      </c>
      <c r="F7" s="2">
        <v>5.3958333333333304</v>
      </c>
      <c r="G7" s="8">
        <v>2.34438377099409</v>
      </c>
      <c r="H7" s="8">
        <v>2.12121586303437</v>
      </c>
      <c r="I7" s="11">
        <v>0.69787012999999998</v>
      </c>
      <c r="J7" s="11">
        <v>0.69637521800000002</v>
      </c>
      <c r="K7" s="14">
        <v>92</v>
      </c>
      <c r="L7" s="11">
        <v>90.169153739999999</v>
      </c>
      <c r="M7" s="11">
        <f t="shared" si="0"/>
        <v>0.1466710179723478</v>
      </c>
      <c r="N7" s="15">
        <v>0.143836081984974</v>
      </c>
    </row>
    <row r="8" spans="1:16" ht="12.75" customHeight="1" x14ac:dyDescent="0.2">
      <c r="A8" t="s">
        <v>141</v>
      </c>
      <c r="B8" s="14">
        <v>47</v>
      </c>
      <c r="C8" s="14">
        <v>49</v>
      </c>
      <c r="D8" s="4">
        <f>96-(B8+C8)</f>
        <v>0</v>
      </c>
      <c r="E8" s="2">
        <v>5.9787234042553203</v>
      </c>
      <c r="F8" s="2">
        <v>4.3265306122449001</v>
      </c>
      <c r="G8" s="8">
        <v>2.36357652447494</v>
      </c>
      <c r="H8" s="8">
        <v>1.7840468405430701</v>
      </c>
      <c r="I8" s="11">
        <v>3.8759152979999998</v>
      </c>
      <c r="J8" s="11">
        <v>3.853609563</v>
      </c>
      <c r="K8" s="14">
        <v>94</v>
      </c>
      <c r="L8" s="11">
        <v>85.534066120000006</v>
      </c>
      <c r="M8" s="11">
        <f t="shared" si="0"/>
        <v>0.83335135843651331</v>
      </c>
      <c r="N8" s="15">
        <v>0.78902875969347896</v>
      </c>
    </row>
    <row r="9" spans="1:16" ht="12.75" customHeight="1" x14ac:dyDescent="0.2">
      <c r="A9" t="s">
        <v>142</v>
      </c>
      <c r="B9" s="14">
        <v>59</v>
      </c>
      <c r="C9" s="14">
        <v>43</v>
      </c>
      <c r="D9" s="4">
        <f>102-(B9+C9)</f>
        <v>0</v>
      </c>
      <c r="E9" s="2">
        <v>5.7627118644067803</v>
      </c>
      <c r="F9" s="2">
        <v>5.2790697674418601</v>
      </c>
      <c r="G9" s="8">
        <v>2.54164610691336</v>
      </c>
      <c r="H9" s="8">
        <v>2.4911804564192401</v>
      </c>
      <c r="I9" s="11">
        <v>0.95694033300000003</v>
      </c>
      <c r="J9" s="11">
        <v>0.95998523999999996</v>
      </c>
      <c r="K9" s="14">
        <v>100</v>
      </c>
      <c r="L9" s="11">
        <v>91.686426990000001</v>
      </c>
      <c r="M9" s="11">
        <f t="shared" si="0"/>
        <v>0.20051276557803036</v>
      </c>
      <c r="N9" s="15">
        <v>0.19218535683836299</v>
      </c>
    </row>
    <row r="10" spans="1:16" ht="12.75" customHeight="1" x14ac:dyDescent="0.2">
      <c r="A10" t="s">
        <v>143</v>
      </c>
      <c r="B10" s="14">
        <v>55</v>
      </c>
      <c r="C10" s="14">
        <v>35</v>
      </c>
      <c r="D10" s="4">
        <f>90-(B10+C10)</f>
        <v>0</v>
      </c>
      <c r="E10" s="2">
        <v>5.8727272727272704</v>
      </c>
      <c r="F10" s="2">
        <v>4.6857142857142904</v>
      </c>
      <c r="G10" s="8">
        <v>2.2775437179570002</v>
      </c>
      <c r="H10" s="8">
        <v>2.0403492862948802</v>
      </c>
      <c r="I10" s="11">
        <v>2.5079210650000001</v>
      </c>
      <c r="J10" s="11">
        <v>2.570422008</v>
      </c>
      <c r="K10" s="14">
        <v>88</v>
      </c>
      <c r="L10" s="11">
        <v>78.299385529999995</v>
      </c>
      <c r="M10" s="11">
        <f t="shared" si="0"/>
        <v>0.58097206380966226</v>
      </c>
      <c r="N10" s="15">
        <v>0.54898352006609996</v>
      </c>
    </row>
    <row r="11" spans="1:16" ht="12.75" customHeight="1" x14ac:dyDescent="0.2">
      <c r="A11" t="s">
        <v>144</v>
      </c>
      <c r="B11" s="14">
        <v>94</v>
      </c>
      <c r="C11" s="14">
        <v>80</v>
      </c>
      <c r="D11" s="4">
        <f>174-(B11+C11)</f>
        <v>0</v>
      </c>
      <c r="E11" s="2">
        <v>6.2872340425531901</v>
      </c>
      <c r="F11" s="2">
        <v>4.9874999999999998</v>
      </c>
      <c r="G11" s="8">
        <v>1.9267351650520099</v>
      </c>
      <c r="H11" s="8">
        <v>1.85208572128488</v>
      </c>
      <c r="I11" s="11">
        <v>4.5142003129999999</v>
      </c>
      <c r="J11" s="11">
        <v>4.5286512419999996</v>
      </c>
      <c r="K11" s="14">
        <v>172</v>
      </c>
      <c r="L11" s="11">
        <v>169.44071740000001</v>
      </c>
      <c r="M11" s="11">
        <f t="shared" si="0"/>
        <v>0.69580890283022367</v>
      </c>
      <c r="N11" s="15">
        <v>0.68777036362674304</v>
      </c>
    </row>
    <row r="12" spans="1:16" ht="12.75" customHeight="1" x14ac:dyDescent="0.2">
      <c r="A12" t="s">
        <v>145</v>
      </c>
      <c r="B12" s="14">
        <v>59</v>
      </c>
      <c r="C12" s="14">
        <v>54</v>
      </c>
      <c r="D12" s="4">
        <f>113-(B12+C12)</f>
        <v>0</v>
      </c>
      <c r="E12" s="2">
        <v>6</v>
      </c>
      <c r="F12" s="2">
        <v>6.1851851851851896</v>
      </c>
      <c r="G12" s="8">
        <v>2.2437653082755098</v>
      </c>
      <c r="H12" s="8">
        <v>1.87409423731637</v>
      </c>
      <c r="I12" s="11">
        <v>-0.47377283399999998</v>
      </c>
      <c r="J12" s="11">
        <v>-0.47755508899999999</v>
      </c>
      <c r="K12" s="14">
        <v>111</v>
      </c>
      <c r="L12" s="11">
        <v>110.1086809</v>
      </c>
      <c r="M12" s="11">
        <f t="shared" si="0"/>
        <v>-9.1021228574723362E-2</v>
      </c>
      <c r="N12" s="15">
        <v>-8.9582195895829997E-2</v>
      </c>
    </row>
    <row r="13" spans="1:16" ht="12.75" customHeight="1" x14ac:dyDescent="0.2">
      <c r="A13" t="s">
        <v>146</v>
      </c>
      <c r="B13" s="14">
        <v>58</v>
      </c>
      <c r="C13" s="14">
        <v>54</v>
      </c>
      <c r="D13" s="4">
        <f>112-(B13+C13)</f>
        <v>0</v>
      </c>
      <c r="E13" s="2">
        <v>5.2241379310344804</v>
      </c>
      <c r="F13" s="2">
        <v>4.6296296296296298</v>
      </c>
      <c r="G13" s="8">
        <v>1.9827599358211301</v>
      </c>
      <c r="H13" s="8">
        <v>2.1657391983643701</v>
      </c>
      <c r="I13" s="11">
        <v>1.5166070460000001</v>
      </c>
      <c r="J13" s="11">
        <v>1.5118023359999999</v>
      </c>
      <c r="K13" s="14">
        <v>110</v>
      </c>
      <c r="L13" s="11">
        <v>107.25967199999999</v>
      </c>
      <c r="M13" s="11">
        <f t="shared" si="0"/>
        <v>0.29194885441530083</v>
      </c>
      <c r="N13" s="15">
        <v>0.28633528864805302</v>
      </c>
    </row>
    <row r="14" spans="1:16" ht="12.75" customHeight="1" x14ac:dyDescent="0.2">
      <c r="A14" t="s">
        <v>147</v>
      </c>
      <c r="B14" s="14">
        <v>137</v>
      </c>
      <c r="C14" s="14">
        <v>140</v>
      </c>
      <c r="D14" s="4">
        <f>277-(B14+C14)</f>
        <v>0</v>
      </c>
      <c r="E14" s="2">
        <v>5.9927007299270096</v>
      </c>
      <c r="F14" s="2">
        <v>5.1857142857142904</v>
      </c>
      <c r="G14" s="8">
        <v>2.22120909828595</v>
      </c>
      <c r="H14" s="8">
        <v>2.0377223647410001</v>
      </c>
      <c r="I14" s="11">
        <v>3.151963318</v>
      </c>
      <c r="J14" s="11">
        <v>3.1490180400000001</v>
      </c>
      <c r="K14" s="14">
        <v>275</v>
      </c>
      <c r="L14" s="11">
        <v>271.84898779999997</v>
      </c>
      <c r="M14" s="11">
        <f t="shared" si="0"/>
        <v>0.38198058027706067</v>
      </c>
      <c r="N14" s="15">
        <v>0.37861071817090802</v>
      </c>
    </row>
    <row r="15" spans="1:16" ht="12.75" customHeight="1" x14ac:dyDescent="0.2">
      <c r="A15" t="s">
        <v>148</v>
      </c>
      <c r="B15" s="14">
        <v>71</v>
      </c>
      <c r="C15" s="14">
        <v>75</v>
      </c>
      <c r="D15" s="4">
        <f>146-(B15+C15)</f>
        <v>0</v>
      </c>
      <c r="E15" s="2">
        <v>5.5070422535211296</v>
      </c>
      <c r="F15" s="2">
        <v>4.6133333333333297</v>
      </c>
      <c r="G15" s="8">
        <v>2.2606777709137198</v>
      </c>
      <c r="H15" s="8">
        <v>2.1046495075307798</v>
      </c>
      <c r="I15" s="11">
        <v>2.4736969179999999</v>
      </c>
      <c r="J15" s="11">
        <v>2.4688294850000001</v>
      </c>
      <c r="K15" s="14">
        <v>144</v>
      </c>
      <c r="L15" s="11">
        <v>141.73461549999999</v>
      </c>
      <c r="M15" s="11">
        <f t="shared" si="0"/>
        <v>0.41474687861621629</v>
      </c>
      <c r="N15" s="15">
        <v>0.40919662478603502</v>
      </c>
    </row>
    <row r="16" spans="1:16" ht="12.75" customHeight="1" x14ac:dyDescent="0.2">
      <c r="A16" t="s">
        <v>149</v>
      </c>
      <c r="B16" s="14">
        <v>50</v>
      </c>
      <c r="C16" s="14">
        <v>48</v>
      </c>
      <c r="D16" s="4">
        <f>98-(B16+C16)</f>
        <v>0</v>
      </c>
      <c r="E16" s="2">
        <v>5.38</v>
      </c>
      <c r="F16" s="2">
        <v>5.2083333333333304</v>
      </c>
      <c r="G16" s="8">
        <v>1.7129756899284101</v>
      </c>
      <c r="H16" s="8">
        <v>1.98888756818108</v>
      </c>
      <c r="I16" s="11">
        <v>0.458412969</v>
      </c>
      <c r="J16" s="11">
        <v>0.457013746</v>
      </c>
      <c r="K16" s="14">
        <v>96</v>
      </c>
      <c r="L16" s="11">
        <v>92.688486089999998</v>
      </c>
      <c r="M16" s="11">
        <f t="shared" si="0"/>
        <v>9.4939374091018686E-2</v>
      </c>
      <c r="N16" s="15">
        <v>9.2489544043533004E-2</v>
      </c>
    </row>
    <row r="17" spans="1:14" ht="12.75" customHeight="1" x14ac:dyDescent="0.2">
      <c r="A17" t="s">
        <v>150</v>
      </c>
      <c r="B17" s="14">
        <v>44</v>
      </c>
      <c r="C17" s="14">
        <v>40</v>
      </c>
      <c r="D17" s="4">
        <f>85-(B17+C17)</f>
        <v>1</v>
      </c>
      <c r="E17" s="2">
        <v>5.5227272727272698</v>
      </c>
      <c r="F17" s="2">
        <v>5.5750000000000002</v>
      </c>
      <c r="G17" s="8">
        <v>1.5624762154637899</v>
      </c>
      <c r="H17" s="8">
        <v>2.09868701322688</v>
      </c>
      <c r="I17" s="11">
        <v>-0.13024263599999999</v>
      </c>
      <c r="J17" s="11">
        <v>-0.128454384</v>
      </c>
      <c r="K17" s="14">
        <v>82</v>
      </c>
      <c r="L17" s="11">
        <v>71.695443240000003</v>
      </c>
      <c r="M17" s="11">
        <f t="shared" si="0"/>
        <v>-3.0341227684416952E-2</v>
      </c>
      <c r="N17" s="15">
        <v>-2.8253837815669001E-2</v>
      </c>
    </row>
    <row r="18" spans="1:14" ht="12.75" customHeight="1" x14ac:dyDescent="0.2">
      <c r="A18" t="s">
        <v>151</v>
      </c>
      <c r="B18" s="14">
        <v>512</v>
      </c>
      <c r="C18" s="14">
        <v>487</v>
      </c>
      <c r="D18" s="4">
        <f>1000-(B18+C18)</f>
        <v>1</v>
      </c>
      <c r="E18" s="2">
        <v>6.09375</v>
      </c>
      <c r="F18" s="2">
        <v>5.1252566735112897</v>
      </c>
      <c r="G18" s="8">
        <v>2.2432765384989999</v>
      </c>
      <c r="H18" s="8">
        <v>2.11663961434828</v>
      </c>
      <c r="I18" s="11">
        <v>7.0107789739999999</v>
      </c>
      <c r="J18" s="11">
        <v>7.020979852</v>
      </c>
      <c r="K18" s="14">
        <v>997</v>
      </c>
      <c r="L18" s="11">
        <v>996.93631130000006</v>
      </c>
      <c r="M18" s="11">
        <f t="shared" si="0"/>
        <v>0.44472753071253118</v>
      </c>
      <c r="N18" s="15">
        <v>0.44408425032641002</v>
      </c>
    </row>
    <row r="19" spans="1:14" ht="12.75" customHeight="1" x14ac:dyDescent="0.2">
      <c r="A19" t="s">
        <v>152</v>
      </c>
      <c r="B19" s="14">
        <v>52</v>
      </c>
      <c r="C19" s="14">
        <v>55</v>
      </c>
      <c r="D19" s="4">
        <f>107-(B19+C19)</f>
        <v>0</v>
      </c>
      <c r="E19" s="2">
        <v>6.1538461538461497</v>
      </c>
      <c r="F19" s="2">
        <v>5.6</v>
      </c>
      <c r="G19" s="8">
        <v>2.2784980896403502</v>
      </c>
      <c r="H19" s="8">
        <v>1.8618986725025299</v>
      </c>
      <c r="I19" s="11">
        <v>1.380131558</v>
      </c>
      <c r="J19" s="11">
        <v>1.3723706899999999</v>
      </c>
      <c r="K19" s="14">
        <v>105</v>
      </c>
      <c r="L19" s="11">
        <v>98.604805380000002</v>
      </c>
      <c r="M19" s="11">
        <f t="shared" si="0"/>
        <v>0.27640913362641456</v>
      </c>
      <c r="N19" s="15">
        <v>0.26618883056382298</v>
      </c>
    </row>
    <row r="20" spans="1:14" ht="12.75" customHeight="1" x14ac:dyDescent="0.2">
      <c r="A20" t="s">
        <v>153</v>
      </c>
      <c r="B20" s="14">
        <v>62</v>
      </c>
      <c r="C20" s="14">
        <v>60</v>
      </c>
      <c r="D20" s="4">
        <f>123-(B20+C20)</f>
        <v>1</v>
      </c>
      <c r="E20" s="2">
        <v>5.8548387096774199</v>
      </c>
      <c r="F20" s="2">
        <v>5.5166666666666702</v>
      </c>
      <c r="G20" s="8">
        <v>1.9987436561668299</v>
      </c>
      <c r="H20" s="8">
        <v>1.89997026441198</v>
      </c>
      <c r="I20" s="11">
        <v>0.95722793799999994</v>
      </c>
      <c r="J20" s="11">
        <v>0.95802950200000003</v>
      </c>
      <c r="K20" s="14">
        <v>120</v>
      </c>
      <c r="L20" s="11">
        <v>119.9628065</v>
      </c>
      <c r="M20" s="11">
        <f t="shared" si="0"/>
        <v>0.17493856917495698</v>
      </c>
      <c r="N20" s="15">
        <v>0.17342312020786901</v>
      </c>
    </row>
    <row r="21" spans="1:14" ht="12.75" customHeight="1" x14ac:dyDescent="0.2">
      <c r="A21" t="s">
        <v>154</v>
      </c>
      <c r="B21" s="14">
        <v>673</v>
      </c>
      <c r="C21" s="14">
        <v>649</v>
      </c>
      <c r="D21" s="4">
        <f>1329-(B21+C21)</f>
        <v>7</v>
      </c>
      <c r="E21" s="2">
        <v>6.1471025260029704</v>
      </c>
      <c r="F21" s="2">
        <v>5.5593220338983098</v>
      </c>
      <c r="G21" s="8">
        <v>2.18641532629464</v>
      </c>
      <c r="H21" s="8">
        <v>2.2270662834793802</v>
      </c>
      <c r="I21" s="11">
        <v>4.8420838960000001</v>
      </c>
      <c r="J21" s="11">
        <v>4.8404637619999997</v>
      </c>
      <c r="K21" s="14">
        <v>1320</v>
      </c>
      <c r="L21" s="11">
        <v>1316.0546609999999</v>
      </c>
      <c r="M21" s="11">
        <f t="shared" si="0"/>
        <v>0.26685786368553199</v>
      </c>
      <c r="N21" s="15">
        <v>0.26634553545640699</v>
      </c>
    </row>
    <row r="22" spans="1:14" ht="12.75" customHeight="1" x14ac:dyDescent="0.2">
      <c r="A22" t="s">
        <v>155</v>
      </c>
      <c r="B22" s="14">
        <v>49</v>
      </c>
      <c r="C22" s="14">
        <v>46</v>
      </c>
      <c r="D22" s="4">
        <f>95-(B22+C22)</f>
        <v>0</v>
      </c>
      <c r="E22" s="2">
        <v>5.4081632653061202</v>
      </c>
      <c r="F22" s="2">
        <v>4.5652173913043503</v>
      </c>
      <c r="G22" s="8">
        <v>2.2071698256943901</v>
      </c>
      <c r="H22" s="8">
        <v>1.68195883042552</v>
      </c>
      <c r="I22" s="11">
        <v>2.083616889</v>
      </c>
      <c r="J22" s="11">
        <v>2.1013315879999999</v>
      </c>
      <c r="K22" s="14">
        <v>93</v>
      </c>
      <c r="L22" s="11">
        <v>89.301912009999995</v>
      </c>
      <c r="M22" s="11">
        <f t="shared" si="0"/>
        <v>0.44472772611229311</v>
      </c>
      <c r="N22" s="15">
        <v>0.429588702539411</v>
      </c>
    </row>
    <row r="23" spans="1:14" ht="12.75" customHeight="1" x14ac:dyDescent="0.2">
      <c r="A23" t="s">
        <v>156</v>
      </c>
      <c r="B23" s="14">
        <v>52</v>
      </c>
      <c r="C23" s="14">
        <v>49</v>
      </c>
      <c r="D23" s="4">
        <f>103-(B23+C23)</f>
        <v>2</v>
      </c>
      <c r="E23" s="2">
        <v>6.4807692307692299</v>
      </c>
      <c r="F23" s="2">
        <v>4.4081632653061202</v>
      </c>
      <c r="G23" s="8">
        <v>2.1281528823840201</v>
      </c>
      <c r="H23" s="8">
        <v>2.26309492497681</v>
      </c>
      <c r="I23" s="11">
        <v>4.7434821549999997</v>
      </c>
      <c r="J23" s="11">
        <v>4.7347514390000001</v>
      </c>
      <c r="K23" s="14">
        <v>99</v>
      </c>
      <c r="L23" s="11">
        <v>97.564527060000003</v>
      </c>
      <c r="M23" s="11">
        <f t="shared" si="0"/>
        <v>0.9586966472074635</v>
      </c>
      <c r="N23" s="15">
        <v>0.94352591719761603</v>
      </c>
    </row>
    <row r="24" spans="1:14" ht="12.75" customHeight="1" x14ac:dyDescent="0.2">
      <c r="A24" t="s">
        <v>157</v>
      </c>
      <c r="B24" s="14">
        <v>50</v>
      </c>
      <c r="C24" s="14">
        <v>35</v>
      </c>
      <c r="D24" s="4">
        <f>86-(B24+C24)</f>
        <v>1</v>
      </c>
      <c r="E24" s="2">
        <v>5.98</v>
      </c>
      <c r="F24" s="2">
        <v>5.1428571428571397</v>
      </c>
      <c r="G24" s="8">
        <v>1.9111915291839501</v>
      </c>
      <c r="H24" s="8">
        <v>2.2379462373668702</v>
      </c>
      <c r="I24" s="11">
        <v>1.8516982070000001</v>
      </c>
      <c r="J24" s="11">
        <v>1.800618279</v>
      </c>
      <c r="K24" s="14">
        <v>83</v>
      </c>
      <c r="L24" s="11">
        <v>65.695652409999994</v>
      </c>
      <c r="M24" s="11">
        <f t="shared" si="0"/>
        <v>0.44430718389521218</v>
      </c>
      <c r="N24" s="15">
        <v>0.40228064697844201</v>
      </c>
    </row>
    <row r="25" spans="1:14" ht="12.75" customHeight="1" x14ac:dyDescent="0.2">
      <c r="A25" t="s">
        <v>158</v>
      </c>
      <c r="B25" s="14">
        <v>79</v>
      </c>
      <c r="C25" s="14">
        <v>83</v>
      </c>
      <c r="D25" s="4">
        <f>162-(B25+C25)</f>
        <v>0</v>
      </c>
      <c r="E25" s="2">
        <v>6.1265822784810098</v>
      </c>
      <c r="F25" s="2">
        <v>5.3132530120481896</v>
      </c>
      <c r="G25" s="8">
        <v>2.16242437904</v>
      </c>
      <c r="H25" s="8">
        <v>1.81408924164928</v>
      </c>
      <c r="I25" s="11">
        <v>2.598214494</v>
      </c>
      <c r="J25" s="11">
        <v>2.5870147650000002</v>
      </c>
      <c r="K25" s="14">
        <v>160</v>
      </c>
      <c r="L25" s="11">
        <v>152.43489550000001</v>
      </c>
      <c r="M25" s="11">
        <f t="shared" si="0"/>
        <v>0.41907012766362989</v>
      </c>
      <c r="N25" s="15">
        <v>0.40750600914194501</v>
      </c>
    </row>
    <row r="26" spans="1:14" ht="12.75" customHeight="1" x14ac:dyDescent="0.2">
      <c r="A26" t="s">
        <v>159</v>
      </c>
      <c r="B26" s="14">
        <v>39</v>
      </c>
      <c r="C26" s="14">
        <v>40</v>
      </c>
      <c r="D26" s="4">
        <f>79-(B26+C26)</f>
        <v>0</v>
      </c>
      <c r="E26" s="2">
        <v>6.0769230769230802</v>
      </c>
      <c r="F26" s="2">
        <v>6.1</v>
      </c>
      <c r="G26" s="8">
        <v>2.5791126114127301</v>
      </c>
      <c r="H26" s="8">
        <v>2.0730257831092902</v>
      </c>
      <c r="I26" s="11">
        <v>-4.3889088E-2</v>
      </c>
      <c r="J26" s="11">
        <v>-4.3768239E-2</v>
      </c>
      <c r="K26" s="14">
        <v>77</v>
      </c>
      <c r="L26" s="11">
        <v>72.803894110000002</v>
      </c>
      <c r="M26" s="11">
        <f t="shared" si="0"/>
        <v>-1.0259159084104035E-2</v>
      </c>
      <c r="N26" s="15">
        <v>-9.8628075823169997E-3</v>
      </c>
    </row>
    <row r="27" spans="1:14" ht="12.75" customHeight="1" x14ac:dyDescent="0.2">
      <c r="A27" t="s">
        <v>160</v>
      </c>
      <c r="B27" s="14">
        <v>92</v>
      </c>
      <c r="C27" s="14">
        <v>75</v>
      </c>
      <c r="D27" s="4">
        <f>169-(B27+C27)</f>
        <v>2</v>
      </c>
      <c r="E27" s="2">
        <v>6.2173913043478297</v>
      </c>
      <c r="F27" s="2">
        <v>5.52</v>
      </c>
      <c r="G27" s="8">
        <v>2.2910532486294199</v>
      </c>
      <c r="H27" s="8">
        <v>2.1583276809554199</v>
      </c>
      <c r="I27" s="11">
        <v>2.0079394220000002</v>
      </c>
      <c r="J27" s="11">
        <v>2.0202342249999998</v>
      </c>
      <c r="K27" s="14">
        <v>165</v>
      </c>
      <c r="L27" s="11">
        <v>161.54445989999999</v>
      </c>
      <c r="M27" s="11">
        <f t="shared" si="0"/>
        <v>0.31789645548221629</v>
      </c>
      <c r="N27" s="15">
        <v>0.31333852521663602</v>
      </c>
    </row>
    <row r="28" spans="1:14" ht="12.75" customHeight="1" x14ac:dyDescent="0.2">
      <c r="A28" t="s">
        <v>161</v>
      </c>
      <c r="B28" s="14">
        <v>100</v>
      </c>
      <c r="C28" s="14">
        <v>86</v>
      </c>
      <c r="D28" s="4">
        <f>187-(B28+C28)</f>
        <v>1</v>
      </c>
      <c r="E28" s="2">
        <v>5.82</v>
      </c>
      <c r="F28" s="2">
        <v>5.0232558139534902</v>
      </c>
      <c r="G28" s="8">
        <v>2.6261313098483199</v>
      </c>
      <c r="H28" s="8">
        <v>1.85964414170812</v>
      </c>
      <c r="I28" s="11">
        <v>2.3514566430000001</v>
      </c>
      <c r="J28" s="11">
        <v>2.4112985980000001</v>
      </c>
      <c r="K28" s="14">
        <v>184</v>
      </c>
      <c r="L28" s="11">
        <v>177.73049750000001</v>
      </c>
      <c r="M28" s="11">
        <f t="shared" si="0"/>
        <v>0.36174289594289494</v>
      </c>
      <c r="N28" s="15">
        <v>0.350156475953811</v>
      </c>
    </row>
    <row r="29" spans="1:14" ht="12.75" customHeight="1" x14ac:dyDescent="0.2">
      <c r="A29" t="s">
        <v>162</v>
      </c>
      <c r="B29" s="14">
        <v>46</v>
      </c>
      <c r="C29" s="14">
        <v>41</v>
      </c>
      <c r="D29" s="4">
        <f>87-(B29+C29)</f>
        <v>0</v>
      </c>
      <c r="E29" s="2">
        <v>6.6956521739130404</v>
      </c>
      <c r="F29" s="2">
        <v>5.6341463414634099</v>
      </c>
      <c r="G29" s="8">
        <v>1.9649095564980601</v>
      </c>
      <c r="H29" s="8">
        <v>2.1419161697061799</v>
      </c>
      <c r="I29" s="11">
        <v>2.4107720129999999</v>
      </c>
      <c r="J29" s="11">
        <v>2.3987400499999998</v>
      </c>
      <c r="K29" s="14">
        <v>85</v>
      </c>
      <c r="L29" s="11">
        <v>81.66827662</v>
      </c>
      <c r="M29" s="11">
        <f t="shared" si="0"/>
        <v>0.53086792536681493</v>
      </c>
      <c r="N29" s="15">
        <v>0.51646761551600495</v>
      </c>
    </row>
    <row r="30" spans="1:14" ht="12.75" customHeight="1" x14ac:dyDescent="0.2">
      <c r="A30" t="s">
        <v>163</v>
      </c>
      <c r="B30" s="14">
        <v>101</v>
      </c>
      <c r="C30" s="14">
        <v>123</v>
      </c>
      <c r="D30" s="4">
        <f>225-(B30+C30)</f>
        <v>1</v>
      </c>
      <c r="E30" s="2">
        <v>5.6732673267326703</v>
      </c>
      <c r="F30" s="2">
        <v>4.8943089430894302</v>
      </c>
      <c r="G30" s="8">
        <v>2.1684506491552402</v>
      </c>
      <c r="H30" s="8">
        <v>1.9325215335261601</v>
      </c>
      <c r="I30" s="11">
        <v>2.840606695</v>
      </c>
      <c r="J30" s="11">
        <v>2.8086462210000001</v>
      </c>
      <c r="K30" s="14">
        <v>222</v>
      </c>
      <c r="L30" s="11">
        <v>202.40385739999999</v>
      </c>
      <c r="M30" s="11">
        <f t="shared" si="0"/>
        <v>0.39483681665344145</v>
      </c>
      <c r="N30" s="15">
        <v>0.37926251549580597</v>
      </c>
    </row>
    <row r="31" spans="1:14" ht="12.75" customHeight="1" x14ac:dyDescent="0.2">
      <c r="A31" t="s">
        <v>164</v>
      </c>
      <c r="B31" s="14">
        <v>34</v>
      </c>
      <c r="C31" s="14">
        <v>46</v>
      </c>
      <c r="D31" s="4">
        <f>80-(B31+C31)</f>
        <v>0</v>
      </c>
      <c r="E31" s="2">
        <v>5.7058823529411802</v>
      </c>
      <c r="F31" s="2">
        <v>4.5434782608695699</v>
      </c>
      <c r="G31" s="8">
        <v>1.80116816916648</v>
      </c>
      <c r="H31" s="8">
        <v>2.2774890826827501</v>
      </c>
      <c r="I31" s="11">
        <v>2.4600118339999999</v>
      </c>
      <c r="J31" s="11">
        <v>2.5476511130000001</v>
      </c>
      <c r="K31" s="14">
        <v>78</v>
      </c>
      <c r="L31" s="11">
        <v>77.604465189999999</v>
      </c>
      <c r="M31" s="11">
        <f t="shared" si="0"/>
        <v>0.57839774880626504</v>
      </c>
      <c r="N31" s="15">
        <v>0.56614591441329098</v>
      </c>
    </row>
    <row r="32" spans="1:14" ht="12.75" customHeight="1" x14ac:dyDescent="0.2">
      <c r="A32" t="s">
        <v>165</v>
      </c>
      <c r="B32" s="14">
        <v>69</v>
      </c>
      <c r="C32" s="14">
        <v>58</v>
      </c>
      <c r="D32" s="4">
        <f>127-(B32+C32)</f>
        <v>0</v>
      </c>
      <c r="E32" s="2">
        <v>6.4637681159420302</v>
      </c>
      <c r="F32" s="2">
        <v>5.4482758620689697</v>
      </c>
      <c r="G32" s="8">
        <v>1.92949025686097</v>
      </c>
      <c r="H32" s="8">
        <v>2.15351539445252</v>
      </c>
      <c r="I32" s="11">
        <v>2.801633641</v>
      </c>
      <c r="J32" s="11">
        <v>2.7749972409999999</v>
      </c>
      <c r="K32" s="14">
        <v>125</v>
      </c>
      <c r="L32" s="11">
        <v>115.7142695</v>
      </c>
      <c r="M32" s="11">
        <f t="shared" si="0"/>
        <v>0.51593987287809517</v>
      </c>
      <c r="N32" s="15">
        <v>0.49667682646641398</v>
      </c>
    </row>
    <row r="33" spans="1:14" ht="12.75" customHeight="1" x14ac:dyDescent="0.2">
      <c r="A33" t="s">
        <v>166</v>
      </c>
      <c r="B33" s="14">
        <v>77</v>
      </c>
      <c r="C33" s="14">
        <v>67</v>
      </c>
      <c r="D33" s="4">
        <f>144-(B33+C33)</f>
        <v>0</v>
      </c>
      <c r="E33" s="2">
        <v>3.5974025974026</v>
      </c>
      <c r="F33" s="2">
        <v>4.1044776119403004</v>
      </c>
      <c r="G33" s="8">
        <v>1.7789688043457299</v>
      </c>
      <c r="H33" s="8">
        <v>2.0753555982866301</v>
      </c>
      <c r="I33" s="11">
        <v>-1.5787955629999999</v>
      </c>
      <c r="J33" s="11">
        <v>-1.562002874</v>
      </c>
      <c r="K33" s="14">
        <v>142</v>
      </c>
      <c r="L33" s="11">
        <v>130.90392410000001</v>
      </c>
      <c r="M33" s="11">
        <f t="shared" si="0"/>
        <v>-0.27304579428485265</v>
      </c>
      <c r="N33" s="15">
        <v>-0.262345544801804</v>
      </c>
    </row>
    <row r="34" spans="1:14" ht="12.75" customHeight="1" x14ac:dyDescent="0.2">
      <c r="A34" t="s">
        <v>167</v>
      </c>
      <c r="B34" s="14">
        <v>42</v>
      </c>
      <c r="C34" s="14">
        <v>39</v>
      </c>
      <c r="D34" s="4">
        <f>81-(B34+C34)</f>
        <v>0</v>
      </c>
      <c r="E34" s="2">
        <v>5.5</v>
      </c>
      <c r="F34" s="2">
        <v>5.2307692307692299</v>
      </c>
      <c r="G34" s="8">
        <v>1.67113222900801</v>
      </c>
      <c r="H34" s="8">
        <v>1.7238503180463001</v>
      </c>
      <c r="I34" s="11">
        <v>0.71356807499999997</v>
      </c>
      <c r="J34" s="11">
        <v>0.71273758300000001</v>
      </c>
      <c r="K34" s="14">
        <v>79</v>
      </c>
      <c r="L34" s="11">
        <v>78.121252220000002</v>
      </c>
      <c r="M34" s="11">
        <f t="shared" si="0"/>
        <v>0.16127797343297826</v>
      </c>
      <c r="N34" s="15">
        <v>0.158585979212298</v>
      </c>
    </row>
    <row r="35" spans="1:14" ht="12.75" customHeight="1" x14ac:dyDescent="0.2">
      <c r="A35" t="s">
        <v>168</v>
      </c>
      <c r="B35" s="14">
        <v>49</v>
      </c>
      <c r="C35" s="14">
        <v>59</v>
      </c>
      <c r="D35" s="4">
        <f>108-(B35+C35)</f>
        <v>0</v>
      </c>
      <c r="E35" s="2">
        <v>5.7755102040816304</v>
      </c>
      <c r="F35" s="2">
        <v>5.1186440677966099</v>
      </c>
      <c r="G35" s="8">
        <v>2.4261192101314202</v>
      </c>
      <c r="H35" s="8">
        <v>1.86699782762846</v>
      </c>
      <c r="I35" s="11">
        <v>1.5892982950000001</v>
      </c>
      <c r="J35" s="11">
        <v>1.551687853</v>
      </c>
      <c r="K35" s="14">
        <v>106</v>
      </c>
      <c r="L35" s="11">
        <v>89.007639269999999</v>
      </c>
      <c r="M35" s="11">
        <f t="shared" si="0"/>
        <v>0.32894304989506545</v>
      </c>
      <c r="N35" s="15">
        <v>0.30344631218372098</v>
      </c>
    </row>
    <row r="36" spans="1:14" ht="12.75" customHeight="1" x14ac:dyDescent="0.2">
      <c r="A36" t="s">
        <v>169</v>
      </c>
      <c r="B36" s="14">
        <v>55</v>
      </c>
      <c r="C36" s="14">
        <v>41</v>
      </c>
      <c r="D36" s="4">
        <f>96-(B36+C36)</f>
        <v>0</v>
      </c>
      <c r="E36" s="2">
        <v>5.6</v>
      </c>
      <c r="F36" s="2">
        <v>5.1951219512195097</v>
      </c>
      <c r="G36" s="8">
        <v>1.9302657656203499</v>
      </c>
      <c r="H36" s="8">
        <v>1.6312497079711901</v>
      </c>
      <c r="I36" s="11">
        <v>1.0846886650000001</v>
      </c>
      <c r="J36" s="11">
        <v>1.1116734429999999</v>
      </c>
      <c r="K36" s="14">
        <v>94</v>
      </c>
      <c r="L36" s="11">
        <v>92.462596489999996</v>
      </c>
      <c r="M36" s="11">
        <f t="shared" si="0"/>
        <v>0.23121935429411664</v>
      </c>
      <c r="N36" s="15">
        <v>0.22656567729469601</v>
      </c>
    </row>
    <row r="37" spans="1:14" ht="12.75" customHeight="1" x14ac:dyDescent="0.2">
      <c r="A37" t="s">
        <v>170</v>
      </c>
      <c r="B37" s="14">
        <v>51</v>
      </c>
      <c r="C37" s="14">
        <v>52</v>
      </c>
      <c r="D37" s="4">
        <f>103-(B37+C37)</f>
        <v>0</v>
      </c>
      <c r="E37" s="2">
        <v>6.0784313725490202</v>
      </c>
      <c r="F37" s="2">
        <v>4.7307692307692299</v>
      </c>
      <c r="G37" s="8">
        <v>1.9681782160658301</v>
      </c>
      <c r="H37" s="8">
        <v>2.15220256185843</v>
      </c>
      <c r="I37" s="11">
        <v>3.314496246</v>
      </c>
      <c r="J37" s="11">
        <v>3.3173945759999999</v>
      </c>
      <c r="K37" s="14">
        <v>101</v>
      </c>
      <c r="L37" s="11">
        <v>100.5129783</v>
      </c>
      <c r="M37" s="11">
        <f t="shared" si="0"/>
        <v>0.66178368311854452</v>
      </c>
      <c r="N37" s="15">
        <v>0.65349303197587005</v>
      </c>
    </row>
    <row r="38" spans="1:14" ht="12.75" customHeight="1" x14ac:dyDescent="0.2">
      <c r="A38" t="s">
        <v>171</v>
      </c>
      <c r="B38" s="14">
        <v>45</v>
      </c>
      <c r="C38" s="14">
        <v>45</v>
      </c>
      <c r="D38" s="4">
        <f>90-(B38+C38)</f>
        <v>0</v>
      </c>
      <c r="E38" s="2">
        <v>5.4222222222222198</v>
      </c>
      <c r="F38" s="2">
        <v>6.2</v>
      </c>
      <c r="G38" s="8">
        <v>2.35959250034339</v>
      </c>
      <c r="H38" s="8">
        <v>1.97253874256226</v>
      </c>
      <c r="I38" s="11">
        <v>-1.696479759</v>
      </c>
      <c r="J38" s="11">
        <v>-1.696479759</v>
      </c>
      <c r="K38" s="14">
        <v>88</v>
      </c>
      <c r="L38" s="11">
        <v>85.318746759999996</v>
      </c>
      <c r="M38" s="11">
        <f t="shared" si="0"/>
        <v>-0.36733003845511958</v>
      </c>
      <c r="N38" s="15">
        <v>-0.35764933608981703</v>
      </c>
    </row>
    <row r="39" spans="1:14" ht="12.75" customHeight="1" x14ac:dyDescent="0.2">
      <c r="A39" t="s">
        <v>172</v>
      </c>
      <c r="B39" s="14">
        <v>42</v>
      </c>
      <c r="C39" s="14">
        <v>45</v>
      </c>
      <c r="D39" s="4">
        <f>87-(B39+C39)</f>
        <v>0</v>
      </c>
      <c r="E39" s="2">
        <v>6.0952380952380896</v>
      </c>
      <c r="F39" s="2">
        <v>5.62222222222222</v>
      </c>
      <c r="G39" s="8">
        <v>2.2611191251293099</v>
      </c>
      <c r="H39" s="8">
        <v>1.88642144246344</v>
      </c>
      <c r="I39" s="11">
        <v>1.0621825579999999</v>
      </c>
      <c r="J39" s="11">
        <v>1.055561142</v>
      </c>
      <c r="K39" s="14">
        <v>85</v>
      </c>
      <c r="L39" s="11">
        <v>80.081040150000007</v>
      </c>
      <c r="M39" s="11">
        <f t="shared" si="0"/>
        <v>0.23591118779953171</v>
      </c>
      <c r="N39" s="15">
        <v>0.22716947270769899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B1"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5703125" customWidth="1"/>
    <col min="5" max="5" width="12.7109375" customWidth="1"/>
    <col min="6" max="6" width="13.140625" customWidth="1"/>
    <col min="7" max="7" width="11.140625" customWidth="1"/>
    <col min="8" max="8" width="11" customWidth="1"/>
    <col min="9" max="9" width="10.28515625" customWidth="1"/>
    <col min="10" max="10" width="13.5703125" customWidth="1"/>
    <col min="11" max="11" width="12" customWidth="1"/>
    <col min="12" max="12" width="13.28515625" customWidth="1"/>
    <col min="13" max="13" width="10.85546875" customWidth="1"/>
    <col min="14" max="14" width="13.85546875" customWidth="1"/>
    <col min="15" max="15" width="24" customWidth="1"/>
    <col min="16" max="16" width="31.85546875" customWidth="1"/>
  </cols>
  <sheetData>
    <row r="1" spans="1:16" ht="12.75" customHeight="1" x14ac:dyDescent="0.2">
      <c r="A1" t="s">
        <v>117</v>
      </c>
      <c r="B1" s="3" t="s">
        <v>205</v>
      </c>
      <c r="C1" s="3" t="s">
        <v>192</v>
      </c>
      <c r="D1" s="4" t="s">
        <v>120</v>
      </c>
      <c r="E1" s="13" t="s">
        <v>206</v>
      </c>
      <c r="F1" s="13" t="s">
        <v>194</v>
      </c>
      <c r="G1" s="5" t="s">
        <v>207</v>
      </c>
      <c r="H1" s="5" t="s">
        <v>196</v>
      </c>
      <c r="I1" s="15" t="s">
        <v>125</v>
      </c>
      <c r="J1" s="15" t="s">
        <v>126</v>
      </c>
      <c r="K1" s="3" t="s">
        <v>127</v>
      </c>
      <c r="L1" s="15" t="s">
        <v>128</v>
      </c>
      <c r="M1" s="15" t="s">
        <v>129</v>
      </c>
      <c r="N1" s="15" t="s">
        <v>130</v>
      </c>
      <c r="O1" t="s">
        <v>131</v>
      </c>
      <c r="P1" t="s">
        <v>132</v>
      </c>
    </row>
    <row r="2" spans="1:16" ht="65.25" customHeight="1" x14ac:dyDescent="0.2">
      <c r="A2" s="6" t="s">
        <v>133</v>
      </c>
      <c r="B2" s="4">
        <f>SUM(B4:B39)</f>
        <v>3138</v>
      </c>
      <c r="C2" s="4">
        <f>SUM(C4:C39)</f>
        <v>3195</v>
      </c>
      <c r="D2" s="4">
        <f>6344-(B2+C2)</f>
        <v>11</v>
      </c>
      <c r="E2" s="13">
        <v>3.57707935</v>
      </c>
      <c r="F2" s="13">
        <v>3.5966875300000001</v>
      </c>
      <c r="G2" s="5">
        <v>0.99161878000000003</v>
      </c>
      <c r="H2" s="5">
        <v>0.98994881000000001</v>
      </c>
      <c r="I2" s="15">
        <v>-0.78700000000000003</v>
      </c>
      <c r="J2" s="15">
        <v>-0.78700000000000003</v>
      </c>
      <c r="K2" s="3">
        <v>6331</v>
      </c>
      <c r="L2" s="15">
        <v>6328.5460000000003</v>
      </c>
      <c r="M2" s="15">
        <f>(2*J2)/SQRT(L2)</f>
        <v>-1.9785760939488223E-2</v>
      </c>
      <c r="N2" s="15">
        <v>-1.979057E-2</v>
      </c>
      <c r="O2" t="s">
        <v>134</v>
      </c>
      <c r="P2" t="s">
        <v>208</v>
      </c>
    </row>
    <row r="3" spans="1:16" ht="12.75" customHeight="1" x14ac:dyDescent="0.2">
      <c r="A3" s="6" t="s">
        <v>136</v>
      </c>
      <c r="B3" s="15">
        <f>AVERAGE(B4:B39)</f>
        <v>87.166666666666671</v>
      </c>
      <c r="C3" s="15">
        <f>AVERAGE(C4:C39)</f>
        <v>88.75</v>
      </c>
      <c r="D3" s="15"/>
      <c r="E3" s="13">
        <f>AVERAGE(E4:E39)</f>
        <v>3.6032816486233989</v>
      </c>
      <c r="F3" s="13">
        <f>AVERAGE(F4:F39)</f>
        <v>3.5912989256265555</v>
      </c>
      <c r="G3" s="5">
        <f>AVERAGE(G4:G39)</f>
        <v>0.8674383438636839</v>
      </c>
      <c r="H3" s="5">
        <f>AVERAGE(H4:H39)</f>
        <v>0.86479381291533275</v>
      </c>
      <c r="I3" s="15">
        <v>-8.7290218611110002E-3</v>
      </c>
      <c r="J3" s="15">
        <v>-7.6931806944439997E-3</v>
      </c>
      <c r="K3" s="15">
        <f>AVERAGE(K4:K39)</f>
        <v>173.91666666666666</v>
      </c>
      <c r="L3" s="15">
        <f>AVERAGE(L4:L39)</f>
        <v>167.95994609638893</v>
      </c>
      <c r="M3" s="15">
        <f>AVERAGE(M4:M39)</f>
        <v>1.1798039388594597E-2</v>
      </c>
      <c r="N3" s="15">
        <f>AVERAGE(N4:N39)</f>
        <v>1.1226540190339522E-2</v>
      </c>
    </row>
    <row r="4" spans="1:16" ht="12.75" customHeight="1" x14ac:dyDescent="0.2">
      <c r="A4" t="s">
        <v>137</v>
      </c>
      <c r="B4" s="3">
        <v>40</v>
      </c>
      <c r="C4" s="3">
        <v>44</v>
      </c>
      <c r="D4" s="4">
        <f>84-(B4+C4)</f>
        <v>0</v>
      </c>
      <c r="E4" s="13">
        <v>3.5281250000000002</v>
      </c>
      <c r="F4" s="13">
        <v>3.5340909090909101</v>
      </c>
      <c r="G4" s="5">
        <v>1.02355569756884</v>
      </c>
      <c r="H4" s="5">
        <v>0.78056127147078203</v>
      </c>
      <c r="I4" s="15">
        <v>-3.0197809999999999E-2</v>
      </c>
      <c r="J4" s="15">
        <v>-2.9815075E-2</v>
      </c>
      <c r="K4" s="3">
        <v>82</v>
      </c>
      <c r="L4" s="15">
        <v>72.706662399999999</v>
      </c>
      <c r="M4" s="15">
        <f t="shared" ref="M4:M39" si="0">(2*J4)/SQRT(L4)</f>
        <v>-6.9932458681967093E-3</v>
      </c>
      <c r="N4" s="15">
        <v>-6.6136610799519997E-3</v>
      </c>
    </row>
    <row r="5" spans="1:16" ht="12.75" customHeight="1" x14ac:dyDescent="0.2">
      <c r="A5" t="s">
        <v>138</v>
      </c>
      <c r="B5" s="3">
        <v>59</v>
      </c>
      <c r="C5" s="3">
        <v>61</v>
      </c>
      <c r="D5" s="4">
        <f>120-(B5+C5)</f>
        <v>0</v>
      </c>
      <c r="E5" s="13">
        <v>2.9088983050847501</v>
      </c>
      <c r="F5" s="13">
        <v>2.7830796252927401</v>
      </c>
      <c r="G5" s="5">
        <v>0.65973745287137997</v>
      </c>
      <c r="H5" s="5">
        <v>0.76687947217712105</v>
      </c>
      <c r="I5" s="15">
        <v>0.96205007899999995</v>
      </c>
      <c r="J5" s="15">
        <v>0.96446825599999997</v>
      </c>
      <c r="K5" s="3">
        <v>118</v>
      </c>
      <c r="L5" s="15">
        <v>116.43077049999999</v>
      </c>
      <c r="M5" s="15">
        <f t="shared" si="0"/>
        <v>0.17876563997419115</v>
      </c>
      <c r="N5" s="15">
        <v>0.17638747666999399</v>
      </c>
    </row>
    <row r="6" spans="1:16" ht="12.75" customHeight="1" x14ac:dyDescent="0.2">
      <c r="A6" t="s">
        <v>139</v>
      </c>
      <c r="B6" s="3">
        <v>44</v>
      </c>
      <c r="C6" s="3">
        <v>40</v>
      </c>
      <c r="D6" s="4">
        <f>84-(B6+C6)</f>
        <v>0</v>
      </c>
      <c r="E6" s="13">
        <v>3.5998376623376598</v>
      </c>
      <c r="F6" s="13">
        <v>3.7124999999999999</v>
      </c>
      <c r="G6" s="5">
        <v>0.67835630203569397</v>
      </c>
      <c r="H6" s="5">
        <v>0.85447539761435198</v>
      </c>
      <c r="I6" s="15">
        <v>-0.67220053000000002</v>
      </c>
      <c r="J6" s="15">
        <v>-0.66489095099999995</v>
      </c>
      <c r="K6" s="3">
        <v>82</v>
      </c>
      <c r="L6" s="15">
        <v>74.355043390000006</v>
      </c>
      <c r="M6" s="15">
        <f t="shared" si="0"/>
        <v>-0.15421449722929645</v>
      </c>
      <c r="N6" s="15">
        <v>-0.146998966276675</v>
      </c>
    </row>
    <row r="7" spans="1:16" ht="12.75" customHeight="1" x14ac:dyDescent="0.2">
      <c r="A7" t="s">
        <v>140</v>
      </c>
      <c r="B7" s="3">
        <v>55</v>
      </c>
      <c r="C7" s="3">
        <v>40</v>
      </c>
      <c r="D7" s="4">
        <f>95-(B7+C7)</f>
        <v>0</v>
      </c>
      <c r="E7" s="13">
        <v>3.8746753246753198</v>
      </c>
      <c r="F7" s="13">
        <v>3.640625</v>
      </c>
      <c r="G7" s="5">
        <v>0.99685642345855696</v>
      </c>
      <c r="H7" s="5">
        <v>1.01872984485332</v>
      </c>
      <c r="I7" s="15">
        <v>1.119497757</v>
      </c>
      <c r="J7" s="15">
        <v>1.115627001</v>
      </c>
      <c r="K7" s="3">
        <v>93</v>
      </c>
      <c r="L7" s="15">
        <v>83.118935890000003</v>
      </c>
      <c r="M7" s="15">
        <f t="shared" si="0"/>
        <v>0.24473665792054361</v>
      </c>
      <c r="N7" s="15">
        <v>0.23224044374081801</v>
      </c>
    </row>
    <row r="8" spans="1:16" ht="12.75" customHeight="1" x14ac:dyDescent="0.2">
      <c r="A8" t="s">
        <v>141</v>
      </c>
      <c r="B8" s="3">
        <v>46</v>
      </c>
      <c r="C8" s="3">
        <v>50</v>
      </c>
      <c r="D8" s="4">
        <f>96-(B8+C8)</f>
        <v>0</v>
      </c>
      <c r="E8" s="13">
        <v>3.6735248447204998</v>
      </c>
      <c r="F8" s="13">
        <v>3.66357142857143</v>
      </c>
      <c r="G8" s="5">
        <v>0.93132728296007905</v>
      </c>
      <c r="H8" s="5">
        <v>0.82508345216735501</v>
      </c>
      <c r="I8" s="15">
        <v>5.5517253000000003E-2</v>
      </c>
      <c r="J8" s="15">
        <v>5.5236154000000003E-2</v>
      </c>
      <c r="K8" s="3">
        <v>94</v>
      </c>
      <c r="L8" s="15">
        <v>90.239740420000004</v>
      </c>
      <c r="M8" s="15">
        <f t="shared" si="0"/>
        <v>1.1629325027044252E-2</v>
      </c>
      <c r="N8" s="15">
        <v>1.1333813839785999E-2</v>
      </c>
    </row>
    <row r="9" spans="1:16" ht="12.75" customHeight="1" x14ac:dyDescent="0.2">
      <c r="A9" t="s">
        <v>142</v>
      </c>
      <c r="B9" s="3">
        <v>48</v>
      </c>
      <c r="C9" s="3">
        <v>54</v>
      </c>
      <c r="D9" s="4">
        <f>102-(B9+C9)</f>
        <v>0</v>
      </c>
      <c r="E9" s="13">
        <v>2.8718998015873001</v>
      </c>
      <c r="F9" s="13">
        <v>3.0410052910052898</v>
      </c>
      <c r="G9" s="5">
        <v>0.785509887892199</v>
      </c>
      <c r="H9" s="5">
        <v>0.64733976997558196</v>
      </c>
      <c r="I9" s="15">
        <v>-1.1912381430000001</v>
      </c>
      <c r="J9" s="15">
        <v>-1.177788863</v>
      </c>
      <c r="K9" s="3">
        <v>100</v>
      </c>
      <c r="L9" s="15">
        <v>91.351787549999997</v>
      </c>
      <c r="M9" s="15">
        <f t="shared" si="0"/>
        <v>-0.24645572675637806</v>
      </c>
      <c r="N9" s="15">
        <v>-0.236040799520634</v>
      </c>
    </row>
    <row r="10" spans="1:16" ht="12.75" customHeight="1" x14ac:dyDescent="0.2">
      <c r="A10" t="s">
        <v>143</v>
      </c>
      <c r="B10" s="3">
        <v>35</v>
      </c>
      <c r="C10" s="3">
        <v>55</v>
      </c>
      <c r="D10" s="4">
        <f>90-(B10+C10)</f>
        <v>0</v>
      </c>
      <c r="E10" s="13">
        <v>3.5321428571428601</v>
      </c>
      <c r="F10" s="13">
        <v>3.5249999999999999</v>
      </c>
      <c r="G10" s="5">
        <v>0.924216111181831</v>
      </c>
      <c r="H10" s="5">
        <v>0.91489728223283995</v>
      </c>
      <c r="I10" s="15">
        <v>3.5965217000000001E-2</v>
      </c>
      <c r="J10" s="15">
        <v>3.5883395999999998E-2</v>
      </c>
      <c r="K10" s="3">
        <v>88</v>
      </c>
      <c r="L10" s="15">
        <v>71.997818530000004</v>
      </c>
      <c r="M10" s="15">
        <f t="shared" si="0"/>
        <v>8.4579256787763579E-3</v>
      </c>
      <c r="N10" s="15">
        <v>7.7677180411320004E-3</v>
      </c>
    </row>
    <row r="11" spans="1:16" ht="12.75" customHeight="1" x14ac:dyDescent="0.2">
      <c r="A11" t="s">
        <v>144</v>
      </c>
      <c r="B11" s="3">
        <v>92</v>
      </c>
      <c r="C11" s="3">
        <v>82</v>
      </c>
      <c r="D11" s="4">
        <f>174-(B11+C11)</f>
        <v>0</v>
      </c>
      <c r="E11" s="13">
        <v>3.9594332298136599</v>
      </c>
      <c r="F11" s="13">
        <v>3.85670731707317</v>
      </c>
      <c r="G11" s="5">
        <v>0.94418071991998398</v>
      </c>
      <c r="H11" s="5">
        <v>0.78742086394941102</v>
      </c>
      <c r="I11" s="15">
        <v>0.77403462199999995</v>
      </c>
      <c r="J11" s="15">
        <v>0.78211155700000001</v>
      </c>
      <c r="K11" s="3">
        <v>172</v>
      </c>
      <c r="L11" s="15">
        <v>171.2683735</v>
      </c>
      <c r="M11" s="15">
        <f t="shared" si="0"/>
        <v>0.11952537429071922</v>
      </c>
      <c r="N11" s="15">
        <v>0.118648439337812</v>
      </c>
    </row>
    <row r="12" spans="1:16" ht="12.75" customHeight="1" x14ac:dyDescent="0.2">
      <c r="A12" t="s">
        <v>145</v>
      </c>
      <c r="B12" s="3">
        <v>58</v>
      </c>
      <c r="C12" s="3">
        <v>55</v>
      </c>
      <c r="D12" s="4">
        <f>113-(B12+C12)</f>
        <v>0</v>
      </c>
      <c r="E12" s="13">
        <v>2.5849753694581299</v>
      </c>
      <c r="F12" s="13">
        <v>2.6870129870129902</v>
      </c>
      <c r="G12" s="5">
        <v>0.85487056749755896</v>
      </c>
      <c r="H12" s="5">
        <v>0.75802626524431704</v>
      </c>
      <c r="I12" s="15">
        <v>-0.66997294500000004</v>
      </c>
      <c r="J12" s="15">
        <v>-0.67212381899999996</v>
      </c>
      <c r="K12" s="3">
        <v>111</v>
      </c>
      <c r="L12" s="15">
        <v>110.5127348</v>
      </c>
      <c r="M12" s="15">
        <f t="shared" si="0"/>
        <v>-0.12787131132168528</v>
      </c>
      <c r="N12" s="15">
        <v>-0.126527147283684</v>
      </c>
    </row>
    <row r="13" spans="1:16" ht="12.75" customHeight="1" x14ac:dyDescent="0.2">
      <c r="A13" t="s">
        <v>146</v>
      </c>
      <c r="B13" s="3">
        <v>57</v>
      </c>
      <c r="C13" s="3">
        <v>55</v>
      </c>
      <c r="D13" s="4">
        <f>112-(B13+C13)</f>
        <v>0</v>
      </c>
      <c r="E13" s="13">
        <v>4.4320175438596499</v>
      </c>
      <c r="F13" s="13">
        <v>4.5454545454545503</v>
      </c>
      <c r="G13" s="5">
        <v>0.82648343884600395</v>
      </c>
      <c r="H13" s="5">
        <v>0.79435349482926998</v>
      </c>
      <c r="I13" s="15">
        <v>-0.74013927199999996</v>
      </c>
      <c r="J13" s="15">
        <v>-0.74066800799999999</v>
      </c>
      <c r="K13" s="3">
        <v>110</v>
      </c>
      <c r="L13" s="15">
        <v>109.9985684</v>
      </c>
      <c r="M13" s="15">
        <f t="shared" si="0"/>
        <v>-0.14124076643098879</v>
      </c>
      <c r="N13" s="15">
        <v>-0.13997336713900799</v>
      </c>
    </row>
    <row r="14" spans="1:16" ht="12.75" customHeight="1" x14ac:dyDescent="0.2">
      <c r="A14" t="s">
        <v>147</v>
      </c>
      <c r="B14" s="3">
        <v>128</v>
      </c>
      <c r="C14" s="3">
        <v>149</v>
      </c>
      <c r="D14" s="4">
        <f>277-(B14+C14)</f>
        <v>0</v>
      </c>
      <c r="E14" s="13">
        <v>3.6755022321428599</v>
      </c>
      <c r="F14" s="13">
        <v>3.80968360498562</v>
      </c>
      <c r="G14" s="5">
        <v>0.83548552510843399</v>
      </c>
      <c r="H14" s="5">
        <v>0.81694621161748504</v>
      </c>
      <c r="I14" s="15">
        <v>-1.3486583889999999</v>
      </c>
      <c r="J14" s="15">
        <v>-1.3463580289999999</v>
      </c>
      <c r="K14" s="3">
        <v>275</v>
      </c>
      <c r="L14" s="15">
        <v>266.83237220000001</v>
      </c>
      <c r="M14" s="15">
        <f t="shared" si="0"/>
        <v>-0.16484330059821203</v>
      </c>
      <c r="N14" s="15">
        <v>-0.162404739464305</v>
      </c>
    </row>
    <row r="15" spans="1:16" ht="12.75" customHeight="1" x14ac:dyDescent="0.2">
      <c r="A15" t="s">
        <v>148</v>
      </c>
      <c r="B15" s="3">
        <v>64</v>
      </c>
      <c r="C15" s="3">
        <v>81</v>
      </c>
      <c r="D15" s="4">
        <f>146-(B15+C15)</f>
        <v>1</v>
      </c>
      <c r="E15" s="13">
        <v>3.4528459821428599</v>
      </c>
      <c r="F15" s="13">
        <v>3.51763668430335</v>
      </c>
      <c r="G15" s="5">
        <v>0.99503427340511796</v>
      </c>
      <c r="H15" s="5">
        <v>0.90115560476800405</v>
      </c>
      <c r="I15" s="15">
        <v>-0.41052792999999999</v>
      </c>
      <c r="J15" s="15">
        <v>-0.405767714</v>
      </c>
      <c r="K15" s="3">
        <v>143</v>
      </c>
      <c r="L15" s="15">
        <v>128.58660649999999</v>
      </c>
      <c r="M15" s="15">
        <f t="shared" si="0"/>
        <v>-7.1566473313906045E-2</v>
      </c>
      <c r="N15" s="15">
        <v>-6.8337778728063001E-2</v>
      </c>
    </row>
    <row r="16" spans="1:16" ht="12.75" customHeight="1" x14ac:dyDescent="0.2">
      <c r="A16" t="s">
        <v>149</v>
      </c>
      <c r="B16" s="3">
        <v>45</v>
      </c>
      <c r="C16" s="3">
        <v>53</v>
      </c>
      <c r="D16" s="4">
        <f>98-(B16+C16)</f>
        <v>0</v>
      </c>
      <c r="E16" s="13">
        <v>3.6269841269841301</v>
      </c>
      <c r="F16" s="13">
        <v>3.27830188679245</v>
      </c>
      <c r="G16" s="5">
        <v>0.86266502936905398</v>
      </c>
      <c r="H16" s="5">
        <v>0.85577840376029901</v>
      </c>
      <c r="I16" s="15">
        <v>2.0026143809999999</v>
      </c>
      <c r="J16" s="15">
        <v>2.001290907</v>
      </c>
      <c r="K16" s="3">
        <v>96</v>
      </c>
      <c r="L16" s="15">
        <v>93.193822839999996</v>
      </c>
      <c r="M16" s="15">
        <f t="shared" si="0"/>
        <v>0.41461656978183603</v>
      </c>
      <c r="N16" s="15">
        <v>0.40581171712671399</v>
      </c>
    </row>
    <row r="17" spans="1:14" ht="12.75" customHeight="1" x14ac:dyDescent="0.2">
      <c r="A17" t="s">
        <v>150</v>
      </c>
      <c r="B17" s="3">
        <v>44</v>
      </c>
      <c r="C17" s="3">
        <v>41</v>
      </c>
      <c r="D17" s="4">
        <f>85-(B17+C17)</f>
        <v>0</v>
      </c>
      <c r="E17" s="13">
        <v>3.6964285714285698</v>
      </c>
      <c r="F17" s="13">
        <v>3.5274390243902398</v>
      </c>
      <c r="G17" s="5">
        <v>0.83353600604560896</v>
      </c>
      <c r="H17" s="5">
        <v>0.89683131214238099</v>
      </c>
      <c r="I17" s="15">
        <v>0.90041800299999997</v>
      </c>
      <c r="J17" s="15">
        <v>0.89807119199999996</v>
      </c>
      <c r="K17" s="3">
        <v>83</v>
      </c>
      <c r="L17" s="15">
        <v>81.306646240000006</v>
      </c>
      <c r="M17" s="15">
        <f t="shared" si="0"/>
        <v>0.19919468094790516</v>
      </c>
      <c r="N17" s="15">
        <v>0.19532216687413001</v>
      </c>
    </row>
    <row r="18" spans="1:14" ht="12.75" customHeight="1" x14ac:dyDescent="0.2">
      <c r="A18" t="s">
        <v>151</v>
      </c>
      <c r="B18" s="3">
        <v>508</v>
      </c>
      <c r="C18" s="3">
        <v>491</v>
      </c>
      <c r="D18" s="4">
        <f>1000-(B18+C18)</f>
        <v>1</v>
      </c>
      <c r="E18" s="13">
        <v>3.66835395575553</v>
      </c>
      <c r="F18" s="13">
        <v>3.7426534768693598</v>
      </c>
      <c r="G18" s="5">
        <v>1.1454495999726799</v>
      </c>
      <c r="H18" s="5">
        <v>1.1467694787907099</v>
      </c>
      <c r="I18" s="15">
        <v>-1.0243631280000001</v>
      </c>
      <c r="J18" s="15">
        <v>-1.0243430330000001</v>
      </c>
      <c r="K18" s="3">
        <v>997</v>
      </c>
      <c r="L18" s="15">
        <v>995.76448630000004</v>
      </c>
      <c r="M18" s="15">
        <f t="shared" si="0"/>
        <v>-6.4922778345689144E-2</v>
      </c>
      <c r="N18" s="15">
        <v>-6.4827591570273999E-2</v>
      </c>
    </row>
    <row r="19" spans="1:14" ht="12.75" customHeight="1" x14ac:dyDescent="0.2">
      <c r="A19" t="s">
        <v>152</v>
      </c>
      <c r="B19" s="3">
        <v>48</v>
      </c>
      <c r="C19" s="3">
        <v>59</v>
      </c>
      <c r="D19" s="4">
        <f>107-(B19+C19)</f>
        <v>0</v>
      </c>
      <c r="E19" s="13">
        <v>4.1201636904761898</v>
      </c>
      <c r="F19" s="13">
        <v>4.0338983050847501</v>
      </c>
      <c r="G19" s="5">
        <v>0.95713704166884706</v>
      </c>
      <c r="H19" s="5">
        <v>0.85154224579664195</v>
      </c>
      <c r="I19" s="15">
        <v>0.49292896800000002</v>
      </c>
      <c r="J19" s="15">
        <v>0.48701071800000001</v>
      </c>
      <c r="K19" s="3">
        <v>105</v>
      </c>
      <c r="L19" s="15">
        <v>95.073652780000003</v>
      </c>
      <c r="M19" s="15">
        <f t="shared" si="0"/>
        <v>9.9893774839607749E-2</v>
      </c>
      <c r="N19" s="15">
        <v>9.5390471919793995E-2</v>
      </c>
    </row>
    <row r="20" spans="1:14" ht="12.75" customHeight="1" x14ac:dyDescent="0.2">
      <c r="A20" t="s">
        <v>153</v>
      </c>
      <c r="B20" s="3">
        <v>54</v>
      </c>
      <c r="C20" s="3">
        <v>68</v>
      </c>
      <c r="D20" s="4">
        <f>123-(B20+C20)</f>
        <v>1</v>
      </c>
      <c r="E20" s="13">
        <v>3.2513227513227498</v>
      </c>
      <c r="F20" s="13">
        <v>3.21875</v>
      </c>
      <c r="G20" s="5">
        <v>0.76259205252321605</v>
      </c>
      <c r="H20" s="5">
        <v>1.0183427328958501</v>
      </c>
      <c r="I20" s="15">
        <v>0.19546127899999999</v>
      </c>
      <c r="J20" s="15">
        <v>0.20193112399999999</v>
      </c>
      <c r="K20" s="3">
        <v>120</v>
      </c>
      <c r="L20" s="15">
        <v>119.6258095</v>
      </c>
      <c r="M20" s="15">
        <f t="shared" si="0"/>
        <v>3.6925026317856463E-2</v>
      </c>
      <c r="N20" s="15">
        <v>3.6579386948283998E-2</v>
      </c>
    </row>
    <row r="21" spans="1:14" ht="12.75" customHeight="1" x14ac:dyDescent="0.2">
      <c r="A21" t="s">
        <v>154</v>
      </c>
      <c r="B21" s="3">
        <v>651</v>
      </c>
      <c r="C21" s="3">
        <v>675</v>
      </c>
      <c r="D21" s="4">
        <f>1329-(B21+C21)</f>
        <v>3</v>
      </c>
      <c r="E21" s="13">
        <v>3.4222624533684498</v>
      </c>
      <c r="F21" s="13">
        <v>3.4487918871252199</v>
      </c>
      <c r="G21" s="5">
        <v>0.93237827550092101</v>
      </c>
      <c r="H21" s="5">
        <v>0.96365814068562505</v>
      </c>
      <c r="I21" s="15">
        <v>-0.50920543100000004</v>
      </c>
      <c r="J21" s="15">
        <v>-0.50950976400000003</v>
      </c>
      <c r="K21" s="3">
        <v>1324</v>
      </c>
      <c r="L21" s="15">
        <v>1323.986169</v>
      </c>
      <c r="M21" s="15">
        <f t="shared" si="0"/>
        <v>-2.8005335676371233E-2</v>
      </c>
      <c r="N21" s="15">
        <v>-2.7984097278187001E-2</v>
      </c>
    </row>
    <row r="22" spans="1:14" ht="12.75" customHeight="1" x14ac:dyDescent="0.2">
      <c r="A22" t="s">
        <v>155</v>
      </c>
      <c r="B22" s="3">
        <v>44</v>
      </c>
      <c r="C22" s="3">
        <v>51</v>
      </c>
      <c r="D22" s="4">
        <f>95-(B22+C22)</f>
        <v>0</v>
      </c>
      <c r="E22" s="13">
        <v>3.8685064935064899</v>
      </c>
      <c r="F22" s="13">
        <v>3.8578431372548998</v>
      </c>
      <c r="G22" s="5">
        <v>0.722133907660365</v>
      </c>
      <c r="H22" s="5">
        <v>0.76893579374481003</v>
      </c>
      <c r="I22" s="15">
        <v>6.9316902E-2</v>
      </c>
      <c r="J22" s="15">
        <v>6.9641407000000002E-2</v>
      </c>
      <c r="K22" s="3">
        <v>93</v>
      </c>
      <c r="L22" s="15">
        <v>92.308764310000001</v>
      </c>
      <c r="M22" s="15">
        <f t="shared" si="0"/>
        <v>1.4496930731907011E-2</v>
      </c>
      <c r="N22" s="15">
        <v>1.4302961479994001E-2</v>
      </c>
    </row>
    <row r="23" spans="1:14" ht="12.75" customHeight="1" x14ac:dyDescent="0.2">
      <c r="A23" t="s">
        <v>156</v>
      </c>
      <c r="B23" s="3">
        <v>44</v>
      </c>
      <c r="C23" s="3">
        <v>58</v>
      </c>
      <c r="D23" s="4">
        <f>103-(B23+C23)</f>
        <v>1</v>
      </c>
      <c r="E23" s="13">
        <v>3.6960227272727302</v>
      </c>
      <c r="F23" s="13">
        <v>3.66933497536946</v>
      </c>
      <c r="G23" s="5">
        <v>0.84064522530036201</v>
      </c>
      <c r="H23" s="5">
        <v>0.878157449404527</v>
      </c>
      <c r="I23" s="15">
        <v>0.154821229</v>
      </c>
      <c r="J23" s="15">
        <v>0.15576039699999999</v>
      </c>
      <c r="K23" s="3">
        <v>100</v>
      </c>
      <c r="L23" s="15">
        <v>94.702204300000005</v>
      </c>
      <c r="M23" s="15">
        <f t="shared" si="0"/>
        <v>3.2011571670035911E-2</v>
      </c>
      <c r="N23" s="15">
        <v>3.1053886866741001E-2</v>
      </c>
    </row>
    <row r="24" spans="1:14" ht="12.75" customHeight="1" x14ac:dyDescent="0.2">
      <c r="A24" t="s">
        <v>157</v>
      </c>
      <c r="B24" s="3">
        <v>49</v>
      </c>
      <c r="C24" s="3">
        <v>36</v>
      </c>
      <c r="D24" s="4">
        <f>86-(B24+C24)</f>
        <v>1</v>
      </c>
      <c r="E24" s="13">
        <v>3.5229591836734699</v>
      </c>
      <c r="F24" s="13">
        <v>3.4097222222222201</v>
      </c>
      <c r="G24" s="5">
        <v>0.83177202804173</v>
      </c>
      <c r="H24" s="5">
        <v>0.87096575662097597</v>
      </c>
      <c r="I24" s="15">
        <v>0.60794712399999995</v>
      </c>
      <c r="J24" s="15">
        <v>0.60363234499999996</v>
      </c>
      <c r="K24" s="3">
        <v>83</v>
      </c>
      <c r="L24" s="15">
        <v>73.542123750000002</v>
      </c>
      <c r="M24" s="15">
        <f t="shared" si="0"/>
        <v>0.14077787810966591</v>
      </c>
      <c r="N24" s="15">
        <v>0.13300575399362299</v>
      </c>
    </row>
    <row r="25" spans="1:14" ht="12.75" customHeight="1" x14ac:dyDescent="0.2">
      <c r="A25" t="s">
        <v>158</v>
      </c>
      <c r="B25" s="3">
        <v>77</v>
      </c>
      <c r="C25" s="3">
        <v>85</v>
      </c>
      <c r="D25" s="4">
        <f>162-(B25+C25)</f>
        <v>0</v>
      </c>
      <c r="E25" s="13">
        <v>3.6071428571428599</v>
      </c>
      <c r="F25" s="13">
        <v>3.7897058823529401</v>
      </c>
      <c r="G25" s="5">
        <v>0.76404456528684295</v>
      </c>
      <c r="H25" s="5">
        <v>0.92082628297489799</v>
      </c>
      <c r="I25" s="15">
        <v>-1.3652346360000001</v>
      </c>
      <c r="J25" s="15">
        <v>-1.3778088980000001</v>
      </c>
      <c r="K25" s="3">
        <v>160</v>
      </c>
      <c r="L25" s="15">
        <v>158.81239439999999</v>
      </c>
      <c r="M25" s="15">
        <f t="shared" si="0"/>
        <v>-0.21866374605856281</v>
      </c>
      <c r="N25" s="15">
        <v>-0.21670862831822599</v>
      </c>
    </row>
    <row r="26" spans="1:14" ht="12.75" customHeight="1" x14ac:dyDescent="0.2">
      <c r="A26" t="s">
        <v>159</v>
      </c>
      <c r="B26" s="3">
        <v>34</v>
      </c>
      <c r="C26" s="3">
        <v>45</v>
      </c>
      <c r="D26" s="4">
        <f>79-(B26+C26)</f>
        <v>0</v>
      </c>
      <c r="E26" s="13">
        <v>3.4485294117647101</v>
      </c>
      <c r="F26" s="13">
        <v>3.28320105820106</v>
      </c>
      <c r="G26" s="5">
        <v>0.79482085785315904</v>
      </c>
      <c r="H26" s="5">
        <v>0.79410559209237497</v>
      </c>
      <c r="I26" s="15">
        <v>0.91586950300000003</v>
      </c>
      <c r="J26" s="15">
        <v>0.91575320599999999</v>
      </c>
      <c r="K26" s="3">
        <v>77</v>
      </c>
      <c r="L26" s="15">
        <v>71.181207200000003</v>
      </c>
      <c r="M26" s="15">
        <f t="shared" si="0"/>
        <v>0.21708297707590365</v>
      </c>
      <c r="N26" s="15">
        <v>0.20810070040600701</v>
      </c>
    </row>
    <row r="27" spans="1:14" ht="12.75" customHeight="1" x14ac:dyDescent="0.2">
      <c r="A27" t="s">
        <v>160</v>
      </c>
      <c r="B27" s="3">
        <v>92</v>
      </c>
      <c r="C27" s="3">
        <v>77</v>
      </c>
      <c r="D27" s="4">
        <f>169-(B27+C27)</f>
        <v>0</v>
      </c>
      <c r="E27" s="13">
        <v>3.1890527950310599</v>
      </c>
      <c r="F27" s="13">
        <v>3.2996289424860801</v>
      </c>
      <c r="G27" s="5">
        <v>0.886081639451338</v>
      </c>
      <c r="H27" s="5">
        <v>0.97062895281836203</v>
      </c>
      <c r="I27" s="15">
        <v>-0.77352304299999997</v>
      </c>
      <c r="J27" s="15">
        <v>-0.76727094100000004</v>
      </c>
      <c r="K27" s="3">
        <v>167</v>
      </c>
      <c r="L27" s="15">
        <v>155.72240959999999</v>
      </c>
      <c r="M27" s="15">
        <f t="shared" si="0"/>
        <v>-0.1229711369623758</v>
      </c>
      <c r="N27" s="15">
        <v>-0.119109728694828</v>
      </c>
    </row>
    <row r="28" spans="1:14" ht="12.75" customHeight="1" x14ac:dyDescent="0.2">
      <c r="A28" t="s">
        <v>161</v>
      </c>
      <c r="B28" s="3">
        <v>94</v>
      </c>
      <c r="C28" s="3">
        <v>93</v>
      </c>
      <c r="D28" s="4">
        <f>187-(B28+C28)</f>
        <v>0</v>
      </c>
      <c r="E28" s="13">
        <v>3.9337006079027401</v>
      </c>
      <c r="F28" s="13">
        <v>4.0739247311828004</v>
      </c>
      <c r="G28" s="5">
        <v>0.86036748762808102</v>
      </c>
      <c r="H28" s="5">
        <v>0.90500505927674402</v>
      </c>
      <c r="I28" s="15">
        <v>-1.0859791830000001</v>
      </c>
      <c r="J28" s="15">
        <v>-1.0856841450000001</v>
      </c>
      <c r="K28" s="3">
        <v>185</v>
      </c>
      <c r="L28" s="15">
        <v>184.3079559</v>
      </c>
      <c r="M28" s="15">
        <f t="shared" si="0"/>
        <v>-0.15994160505900815</v>
      </c>
      <c r="N28" s="15">
        <v>-0.15886065921429601</v>
      </c>
    </row>
    <row r="29" spans="1:14" ht="12.75" customHeight="1" x14ac:dyDescent="0.2">
      <c r="A29" t="s">
        <v>162</v>
      </c>
      <c r="B29" s="3">
        <v>46</v>
      </c>
      <c r="C29" s="3">
        <v>41</v>
      </c>
      <c r="D29" s="4">
        <f>87-(B29+C29)</f>
        <v>0</v>
      </c>
      <c r="E29" s="13">
        <v>3.3668478260869601</v>
      </c>
      <c r="F29" s="13">
        <v>3.6006097560975601</v>
      </c>
      <c r="G29" s="5">
        <v>0.98156697778809698</v>
      </c>
      <c r="H29" s="5">
        <v>0.78820380860690997</v>
      </c>
      <c r="I29" s="15">
        <v>-1.215011032</v>
      </c>
      <c r="J29" s="15">
        <v>-1.2303618709999999</v>
      </c>
      <c r="K29" s="3">
        <v>85</v>
      </c>
      <c r="L29" s="15">
        <v>84.127941989999997</v>
      </c>
      <c r="M29" s="15">
        <f t="shared" si="0"/>
        <v>-0.26828273619872706</v>
      </c>
      <c r="N29" s="15">
        <v>-0.26417198408701698</v>
      </c>
    </row>
    <row r="30" spans="1:14" ht="12.75" customHeight="1" x14ac:dyDescent="0.2">
      <c r="A30" t="s">
        <v>163</v>
      </c>
      <c r="B30" s="3">
        <v>112</v>
      </c>
      <c r="C30" s="3">
        <v>113</v>
      </c>
      <c r="D30" s="4">
        <f>225-(B30+C30)</f>
        <v>0</v>
      </c>
      <c r="E30" s="13">
        <v>4.0473533163265296</v>
      </c>
      <c r="F30" s="13">
        <v>3.8865887062789701</v>
      </c>
      <c r="G30" s="5">
        <v>0.907909508114918</v>
      </c>
      <c r="H30" s="5">
        <v>0.90384006107916004</v>
      </c>
      <c r="I30" s="15">
        <v>1.3310137230000001</v>
      </c>
      <c r="J30" s="15">
        <v>1.33098703</v>
      </c>
      <c r="K30" s="3">
        <v>223</v>
      </c>
      <c r="L30" s="15">
        <v>222.95983989999999</v>
      </c>
      <c r="M30" s="15">
        <f t="shared" si="0"/>
        <v>0.17827502137277354</v>
      </c>
      <c r="N30" s="15">
        <v>0.17746890936926901</v>
      </c>
    </row>
    <row r="31" spans="1:14" ht="12.75" customHeight="1" x14ac:dyDescent="0.2">
      <c r="A31" t="s">
        <v>164</v>
      </c>
      <c r="B31" s="3">
        <v>40</v>
      </c>
      <c r="C31" s="3">
        <v>40</v>
      </c>
      <c r="D31" s="4">
        <f>80-(B31+C31)</f>
        <v>0</v>
      </c>
      <c r="E31" s="13">
        <v>3.87053571428571</v>
      </c>
      <c r="F31" s="13">
        <v>3.6781250000000001</v>
      </c>
      <c r="G31" s="5">
        <v>0.91656036798634599</v>
      </c>
      <c r="H31" s="5">
        <v>0.90488679522882098</v>
      </c>
      <c r="I31" s="15">
        <v>0.94481928400000004</v>
      </c>
      <c r="J31" s="15">
        <v>0.94481928400000004</v>
      </c>
      <c r="K31" s="3">
        <v>78</v>
      </c>
      <c r="L31" s="15">
        <v>77.987187849999998</v>
      </c>
      <c r="M31" s="15">
        <f t="shared" si="0"/>
        <v>0.21397700981324805</v>
      </c>
      <c r="N31" s="15">
        <v>0.21127235329305499</v>
      </c>
    </row>
    <row r="32" spans="1:14" ht="12.75" customHeight="1" x14ac:dyDescent="0.2">
      <c r="A32" t="s">
        <v>165</v>
      </c>
      <c r="B32" s="3">
        <v>64</v>
      </c>
      <c r="C32" s="3">
        <v>63</v>
      </c>
      <c r="D32" s="4">
        <f>127-(B32+C32)</f>
        <v>0</v>
      </c>
      <c r="E32" s="13">
        <v>3.91350446428571</v>
      </c>
      <c r="F32" s="13">
        <v>4.04563492063492</v>
      </c>
      <c r="G32" s="5">
        <v>0.89378760332818197</v>
      </c>
      <c r="H32" s="5">
        <v>0.87508685839099598</v>
      </c>
      <c r="I32" s="15">
        <v>-0.84165348699999998</v>
      </c>
      <c r="J32" s="15">
        <v>-0.84179473000000005</v>
      </c>
      <c r="K32" s="3">
        <v>125</v>
      </c>
      <c r="L32" s="15">
        <v>124.9965282</v>
      </c>
      <c r="M32" s="15">
        <f t="shared" si="0"/>
        <v>-0.15058691039554944</v>
      </c>
      <c r="N32" s="15">
        <v>-0.149394950527793</v>
      </c>
    </row>
    <row r="33" spans="1:14" ht="12.75" customHeight="1" x14ac:dyDescent="0.2">
      <c r="A33" t="s">
        <v>166</v>
      </c>
      <c r="B33" s="3">
        <v>78</v>
      </c>
      <c r="C33" s="3">
        <v>64</v>
      </c>
      <c r="D33" s="4">
        <f>144-(B33+C33)</f>
        <v>2</v>
      </c>
      <c r="E33" s="13">
        <v>2.4022435897435899</v>
      </c>
      <c r="F33" s="13">
        <v>2.42578125</v>
      </c>
      <c r="G33" s="5">
        <v>0.75904915204360401</v>
      </c>
      <c r="H33" s="5">
        <v>0.85067130562265403</v>
      </c>
      <c r="I33" s="15">
        <v>-0.17410514899999999</v>
      </c>
      <c r="J33" s="15">
        <v>-0.17215428799999999</v>
      </c>
      <c r="K33" s="3">
        <v>140</v>
      </c>
      <c r="L33" s="15">
        <v>127.6333886</v>
      </c>
      <c r="M33" s="15">
        <f t="shared" si="0"/>
        <v>-3.0476542127769082E-2</v>
      </c>
      <c r="N33" s="15">
        <v>-2.9244407181772E-2</v>
      </c>
    </row>
    <row r="34" spans="1:14" ht="12.75" customHeight="1" x14ac:dyDescent="0.2">
      <c r="A34" t="s">
        <v>167</v>
      </c>
      <c r="B34" s="3">
        <v>42</v>
      </c>
      <c r="C34" s="3">
        <v>39</v>
      </c>
      <c r="D34" s="4">
        <f>81-(B34+C34)</f>
        <v>0</v>
      </c>
      <c r="E34" s="13">
        <v>3.99404761904762</v>
      </c>
      <c r="F34" s="13">
        <v>3.75320512820513</v>
      </c>
      <c r="G34" s="5">
        <v>0.88773501738511695</v>
      </c>
      <c r="H34" s="5">
        <v>0.72177548555763305</v>
      </c>
      <c r="I34" s="15">
        <v>1.3335553120000001</v>
      </c>
      <c r="J34" s="15">
        <v>1.3437996809999999</v>
      </c>
      <c r="K34" s="3">
        <v>79</v>
      </c>
      <c r="L34" s="15">
        <v>77.678966430000003</v>
      </c>
      <c r="M34" s="15">
        <f t="shared" si="0"/>
        <v>0.30493888651680434</v>
      </c>
      <c r="N34" s="15">
        <v>0.29927420840329599</v>
      </c>
    </row>
    <row r="35" spans="1:14" ht="12.75" customHeight="1" x14ac:dyDescent="0.2">
      <c r="A35" t="s">
        <v>168</v>
      </c>
      <c r="B35" s="3">
        <v>68</v>
      </c>
      <c r="C35" s="3">
        <v>39</v>
      </c>
      <c r="D35" s="4">
        <f>108-(B35+C35)</f>
        <v>1</v>
      </c>
      <c r="E35" s="13">
        <v>3.625</v>
      </c>
      <c r="F35" s="13">
        <v>3.6730769230769198</v>
      </c>
      <c r="G35" s="5">
        <v>0.84998902539008203</v>
      </c>
      <c r="H35" s="5">
        <v>0.81192559889293503</v>
      </c>
      <c r="I35" s="15">
        <v>-0.28616096200000002</v>
      </c>
      <c r="J35" s="15">
        <v>-0.28976788399999998</v>
      </c>
      <c r="K35" s="3">
        <v>105</v>
      </c>
      <c r="L35" s="15">
        <v>82.334668100000002</v>
      </c>
      <c r="M35" s="15">
        <f t="shared" si="0"/>
        <v>-6.3868817502042707E-2</v>
      </c>
      <c r="N35" s="15">
        <v>-5.7857271817033998E-2</v>
      </c>
    </row>
    <row r="36" spans="1:14" ht="12.75" customHeight="1" x14ac:dyDescent="0.2">
      <c r="A36" t="s">
        <v>169</v>
      </c>
      <c r="B36" s="3">
        <v>47</v>
      </c>
      <c r="C36" s="3">
        <v>49</v>
      </c>
      <c r="D36" s="4">
        <f>96-(B36+C36)</f>
        <v>0</v>
      </c>
      <c r="E36" s="13">
        <v>3.8404255319148901</v>
      </c>
      <c r="F36" s="13">
        <v>3.9872448979591799</v>
      </c>
      <c r="G36" s="5">
        <v>0.73753321943403505</v>
      </c>
      <c r="H36" s="5">
        <v>0.70537597925421502</v>
      </c>
      <c r="I36" s="15">
        <v>-0.99697390799999996</v>
      </c>
      <c r="J36" s="15">
        <v>-0.99603916299999995</v>
      </c>
      <c r="K36" s="3">
        <v>94</v>
      </c>
      <c r="L36" s="15">
        <v>93.299975040000007</v>
      </c>
      <c r="M36" s="15">
        <f t="shared" si="0"/>
        <v>-0.20623655546957842</v>
      </c>
      <c r="N36" s="15">
        <v>-0.203504650435056</v>
      </c>
    </row>
    <row r="37" spans="1:14" ht="12.75" customHeight="1" x14ac:dyDescent="0.2">
      <c r="A37" t="s">
        <v>170</v>
      </c>
      <c r="B37" s="3">
        <v>37</v>
      </c>
      <c r="C37" s="3">
        <v>66</v>
      </c>
      <c r="D37" s="4">
        <f>103-(B37+C37)</f>
        <v>0</v>
      </c>
      <c r="E37" s="13">
        <v>3.86341698841699</v>
      </c>
      <c r="F37" s="13">
        <v>3.70265151515152</v>
      </c>
      <c r="G37" s="5">
        <v>0.91754766160311996</v>
      </c>
      <c r="H37" s="5">
        <v>0.89731574911680501</v>
      </c>
      <c r="I37" s="15">
        <v>0.865367314</v>
      </c>
      <c r="J37" s="15">
        <v>0.85989884100000002</v>
      </c>
      <c r="K37" s="3">
        <v>101</v>
      </c>
      <c r="L37" s="15">
        <v>73.284282390000001</v>
      </c>
      <c r="M37" s="15">
        <f t="shared" si="0"/>
        <v>0.2008963005872435</v>
      </c>
      <c r="N37" s="15">
        <v>0.17716536937807301</v>
      </c>
    </row>
    <row r="38" spans="1:14" ht="12.75" customHeight="1" x14ac:dyDescent="0.2">
      <c r="A38" t="s">
        <v>171</v>
      </c>
      <c r="B38" s="3">
        <v>46</v>
      </c>
      <c r="C38" s="3">
        <v>44</v>
      </c>
      <c r="D38" s="4">
        <f>90-(B38+C38)</f>
        <v>0</v>
      </c>
      <c r="E38" s="13">
        <v>4.0244565217391299</v>
      </c>
      <c r="F38" s="13">
        <v>3.7926136363636398</v>
      </c>
      <c r="G38" s="5">
        <v>0.98623145145823199</v>
      </c>
      <c r="H38" s="5">
        <v>0.94197312004084899</v>
      </c>
      <c r="I38" s="15">
        <v>1.1394990549999999</v>
      </c>
      <c r="J38" s="15">
        <v>1.1406746860000001</v>
      </c>
      <c r="K38" s="3">
        <v>88</v>
      </c>
      <c r="L38" s="15">
        <v>87.999919410000004</v>
      </c>
      <c r="M38" s="15">
        <f t="shared" si="0"/>
        <v>0.24319277154135388</v>
      </c>
      <c r="N38" s="15">
        <v>0.24047540266461301</v>
      </c>
    </row>
    <row r="39" spans="1:14" ht="12.75" customHeight="1" x14ac:dyDescent="0.2">
      <c r="A39" t="s">
        <v>172</v>
      </c>
      <c r="B39" s="3">
        <v>48</v>
      </c>
      <c r="C39" s="3">
        <v>39</v>
      </c>
      <c r="D39" s="4">
        <f>87-(B39+C39)</f>
        <v>0</v>
      </c>
      <c r="E39" s="13">
        <v>3.625</v>
      </c>
      <c r="F39" s="13">
        <v>3.7916666666666701</v>
      </c>
      <c r="G39" s="5">
        <v>0.740632995512996</v>
      </c>
      <c r="H39" s="5">
        <v>1.02410637125697</v>
      </c>
      <c r="I39" s="15">
        <v>-0.87979681399999998</v>
      </c>
      <c r="J39" s="15">
        <v>-0.85140451100000003</v>
      </c>
      <c r="K39" s="3">
        <v>85</v>
      </c>
      <c r="L39" s="15">
        <v>67.328301359999998</v>
      </c>
      <c r="M39" s="15">
        <f t="shared" si="0"/>
        <v>-0.20752341889367304</v>
      </c>
      <c r="N39" s="15">
        <v>-0.18888530488410801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10.7109375" customWidth="1"/>
    <col min="3" max="3" width="9.5703125" customWidth="1"/>
    <col min="5" max="5" width="12.7109375" customWidth="1"/>
    <col min="6" max="6" width="13.140625" customWidth="1"/>
    <col min="7" max="7" width="11.140625" customWidth="1"/>
    <col min="8" max="8" width="11" customWidth="1"/>
    <col min="9" max="9" width="10.28515625" customWidth="1"/>
    <col min="10" max="10" width="13.5703125" customWidth="1"/>
    <col min="11" max="11" width="12" customWidth="1"/>
    <col min="12" max="12" width="13.28515625" customWidth="1"/>
    <col min="13" max="13" width="10.85546875" customWidth="1"/>
    <col min="14" max="14" width="9.42578125" customWidth="1"/>
    <col min="15" max="16" width="15.7109375" customWidth="1"/>
  </cols>
  <sheetData>
    <row r="1" spans="1:16" ht="12.75" customHeight="1" x14ac:dyDescent="0.2">
      <c r="A1" t="s">
        <v>117</v>
      </c>
      <c r="B1" s="3" t="s">
        <v>209</v>
      </c>
      <c r="C1" s="3" t="s">
        <v>192</v>
      </c>
      <c r="D1" s="4" t="s">
        <v>120</v>
      </c>
      <c r="E1" s="13" t="s">
        <v>210</v>
      </c>
      <c r="F1" s="13" t="s">
        <v>194</v>
      </c>
      <c r="G1" s="5" t="s">
        <v>211</v>
      </c>
      <c r="H1" s="5" t="s">
        <v>196</v>
      </c>
      <c r="I1" s="15" t="s">
        <v>125</v>
      </c>
      <c r="J1" s="15" t="s">
        <v>126</v>
      </c>
      <c r="K1" s="3" t="s">
        <v>127</v>
      </c>
      <c r="L1" s="15" t="s">
        <v>128</v>
      </c>
      <c r="M1" s="15" t="s">
        <v>129</v>
      </c>
      <c r="N1" s="15" t="s">
        <v>130</v>
      </c>
      <c r="O1" t="s">
        <v>131</v>
      </c>
      <c r="P1" t="s">
        <v>132</v>
      </c>
    </row>
    <row r="2" spans="1:16" ht="37.5" customHeight="1" x14ac:dyDescent="0.2">
      <c r="A2" s="6" t="s">
        <v>133</v>
      </c>
      <c r="B2" s="4">
        <f>SUM(B4:B39)</f>
        <v>3172</v>
      </c>
      <c r="C2" s="4">
        <f>SUM(C4:C39)</f>
        <v>3164</v>
      </c>
      <c r="D2" s="4">
        <f>6344-(B2+C2)</f>
        <v>8</v>
      </c>
      <c r="E2" s="13">
        <v>4.83070618</v>
      </c>
      <c r="F2" s="13">
        <v>4.5846238899999996</v>
      </c>
      <c r="G2" s="5">
        <v>1.8964929100000001</v>
      </c>
      <c r="H2" s="5">
        <v>1.97867438</v>
      </c>
      <c r="I2" s="7">
        <v>5.0540000000000003</v>
      </c>
      <c r="J2" s="7">
        <v>5.0529999999999999</v>
      </c>
      <c r="K2" s="3">
        <v>6334</v>
      </c>
      <c r="L2" s="15">
        <v>6321.2460000000001</v>
      </c>
      <c r="M2" s="15">
        <f>(2*J2)/SQRT(L2)</f>
        <v>0.12710948174071571</v>
      </c>
      <c r="N2" s="15">
        <v>0.12697617999999999</v>
      </c>
      <c r="O2" t="s">
        <v>134</v>
      </c>
      <c r="P2" t="s">
        <v>135</v>
      </c>
    </row>
    <row r="3" spans="1:16" ht="12.75" customHeight="1" x14ac:dyDescent="0.2">
      <c r="A3" s="6" t="s">
        <v>136</v>
      </c>
      <c r="B3" s="15">
        <f>AVERAGE(B4:B39)</f>
        <v>88.111111111111114</v>
      </c>
      <c r="C3" s="15">
        <f>AVERAGE(C4:C39)</f>
        <v>87.888888888888886</v>
      </c>
      <c r="D3" s="15"/>
      <c r="E3" s="13">
        <f t="shared" ref="E3:N3" si="0">AVERAGE(E4:E39)</f>
        <v>4.7794139956104065</v>
      </c>
      <c r="F3" s="13">
        <f t="shared" si="0"/>
        <v>4.6066848574475232</v>
      </c>
      <c r="G3" s="5">
        <f t="shared" si="0"/>
        <v>1.7815080270615384</v>
      </c>
      <c r="H3" s="5">
        <f t="shared" si="0"/>
        <v>1.8645701813533822</v>
      </c>
      <c r="I3" s="7">
        <f t="shared" si="0"/>
        <v>0.66522922083333336</v>
      </c>
      <c r="J3" s="7">
        <f t="shared" si="0"/>
        <v>0.66808498661111104</v>
      </c>
      <c r="K3" s="15">
        <f t="shared" si="0"/>
        <v>174</v>
      </c>
      <c r="L3" s="15">
        <f t="shared" si="0"/>
        <v>170.4267793663889</v>
      </c>
      <c r="M3" s="15">
        <f t="shared" si="0"/>
        <v>9.6455118805718831E-2</v>
      </c>
      <c r="N3" s="15">
        <f t="shared" si="0"/>
        <v>9.525146157721677E-2</v>
      </c>
    </row>
    <row r="4" spans="1:16" ht="12.75" customHeight="1" x14ac:dyDescent="0.2">
      <c r="A4" t="s">
        <v>137</v>
      </c>
      <c r="B4" s="3">
        <v>50</v>
      </c>
      <c r="C4" s="3">
        <v>34</v>
      </c>
      <c r="D4" s="4">
        <f>84-(B4+C4)</f>
        <v>0</v>
      </c>
      <c r="E4" s="13">
        <v>5.0149999999999997</v>
      </c>
      <c r="F4" s="13">
        <v>4.7794117647058796</v>
      </c>
      <c r="G4" s="5">
        <v>2.0028105252369701</v>
      </c>
      <c r="H4" s="5">
        <v>2.1166410513980498</v>
      </c>
      <c r="I4" s="7">
        <v>0.51714908999999998</v>
      </c>
      <c r="J4" s="7">
        <v>0.51167136300000005</v>
      </c>
      <c r="K4" s="3">
        <v>82</v>
      </c>
      <c r="L4" s="15">
        <v>68.351731970000003</v>
      </c>
      <c r="M4" s="15">
        <f t="shared" ref="M4:M39" si="1">(2*J4)/SQRT(L4)</f>
        <v>0.12377882196361394</v>
      </c>
      <c r="N4" s="15">
        <v>0.114378446213735</v>
      </c>
    </row>
    <row r="5" spans="1:16" ht="12.75" customHeight="1" x14ac:dyDescent="0.2">
      <c r="A5" t="s">
        <v>138</v>
      </c>
      <c r="B5" s="3">
        <v>56</v>
      </c>
      <c r="C5" s="3">
        <v>64</v>
      </c>
      <c r="D5" s="4">
        <f>120-(B5+C5)</f>
        <v>0</v>
      </c>
      <c r="E5" s="13">
        <v>4.94196428571429</v>
      </c>
      <c r="F5" s="13">
        <v>4.76953125</v>
      </c>
      <c r="G5" s="5">
        <v>1.9551744117902801</v>
      </c>
      <c r="H5" s="5">
        <v>2.2170446721645001</v>
      </c>
      <c r="I5" s="7">
        <v>0.4489417</v>
      </c>
      <c r="J5" s="7">
        <v>0.452731457</v>
      </c>
      <c r="K5" s="3">
        <v>118</v>
      </c>
      <c r="L5" s="15">
        <v>117.9905373</v>
      </c>
      <c r="M5" s="15">
        <f t="shared" si="1"/>
        <v>8.3357960010981322E-2</v>
      </c>
      <c r="N5" s="15">
        <v>8.2657709120509001E-2</v>
      </c>
    </row>
    <row r="6" spans="1:16" ht="12.75" customHeight="1" x14ac:dyDescent="0.2">
      <c r="A6" t="s">
        <v>139</v>
      </c>
      <c r="B6" s="3">
        <v>49</v>
      </c>
      <c r="C6" s="3">
        <v>35</v>
      </c>
      <c r="D6" s="4">
        <f>84-(B6+C6)</f>
        <v>0</v>
      </c>
      <c r="E6" s="13">
        <v>4.6785714285714297</v>
      </c>
      <c r="F6" s="13">
        <v>4.6928571428571404</v>
      </c>
      <c r="G6" s="5">
        <v>1.6337903272248</v>
      </c>
      <c r="H6" s="5">
        <v>1.3599925852491901</v>
      </c>
      <c r="I6" s="15">
        <v>-4.2293385000000003E-2</v>
      </c>
      <c r="J6" s="15">
        <v>-4.3607532999999997E-2</v>
      </c>
      <c r="K6" s="3">
        <v>82</v>
      </c>
      <c r="L6" s="15">
        <v>80.006178000000006</v>
      </c>
      <c r="M6" s="15">
        <f t="shared" si="1"/>
        <v>-9.7505643255099139E-3</v>
      </c>
      <c r="N6" s="15">
        <v>-9.5435872963209999E-3</v>
      </c>
    </row>
    <row r="7" spans="1:16" ht="12.75" customHeight="1" x14ac:dyDescent="0.2">
      <c r="A7" t="s">
        <v>140</v>
      </c>
      <c r="B7" s="3">
        <v>46</v>
      </c>
      <c r="C7" s="3">
        <v>49</v>
      </c>
      <c r="D7" s="4">
        <f>95-(B7+C7)</f>
        <v>0</v>
      </c>
      <c r="E7" s="13">
        <v>5.3586956521739104</v>
      </c>
      <c r="F7" s="13">
        <v>4.9846938775510203</v>
      </c>
      <c r="G7" s="5">
        <v>1.81402879885954</v>
      </c>
      <c r="H7" s="5">
        <v>1.7673309702778901</v>
      </c>
      <c r="I7" s="15">
        <v>1.017692708</v>
      </c>
      <c r="J7" s="15">
        <v>1.01684609</v>
      </c>
      <c r="K7" s="3">
        <v>93</v>
      </c>
      <c r="L7" s="15">
        <v>92.254231079999997</v>
      </c>
      <c r="M7" s="15">
        <f t="shared" si="1"/>
        <v>0.21173471659324844</v>
      </c>
      <c r="N7" s="15">
        <v>0.20886020882117101</v>
      </c>
    </row>
    <row r="8" spans="1:16" ht="12.75" customHeight="1" x14ac:dyDescent="0.2">
      <c r="A8" t="s">
        <v>141</v>
      </c>
      <c r="B8" s="3">
        <v>47</v>
      </c>
      <c r="C8" s="3">
        <v>49</v>
      </c>
      <c r="D8" s="4">
        <f>96-(B8+C8)</f>
        <v>0</v>
      </c>
      <c r="E8" s="13">
        <v>4.0212765957446797</v>
      </c>
      <c r="F8" s="13">
        <v>3.96428571428571</v>
      </c>
      <c r="G8" s="5">
        <v>1.75374582589144</v>
      </c>
      <c r="H8" s="5">
        <v>2.1614520582238201</v>
      </c>
      <c r="I8" s="15">
        <v>0.14151455800000001</v>
      </c>
      <c r="J8" s="15">
        <v>0.14212976299999999</v>
      </c>
      <c r="K8" s="3">
        <v>94</v>
      </c>
      <c r="L8" s="15">
        <v>91.515725849999995</v>
      </c>
      <c r="M8" s="15">
        <f t="shared" si="1"/>
        <v>2.9714413539843484E-2</v>
      </c>
      <c r="N8" s="15">
        <v>2.9112644185975999E-2</v>
      </c>
    </row>
    <row r="9" spans="1:16" ht="12.75" customHeight="1" x14ac:dyDescent="0.2">
      <c r="A9" t="s">
        <v>142</v>
      </c>
      <c r="B9" s="3">
        <v>51</v>
      </c>
      <c r="C9" s="3">
        <v>51</v>
      </c>
      <c r="D9" s="4">
        <f>102-(B9+C9)</f>
        <v>0</v>
      </c>
      <c r="E9" s="13">
        <v>4.5049019607843102</v>
      </c>
      <c r="F9" s="13">
        <v>4.8970588235294104</v>
      </c>
      <c r="G9" s="5">
        <v>1.6833673069761299</v>
      </c>
      <c r="H9" s="5">
        <v>1.8655940545763401</v>
      </c>
      <c r="I9" s="15">
        <v>-1.1145174870000001</v>
      </c>
      <c r="J9" s="15">
        <v>-1.1145174870000001</v>
      </c>
      <c r="K9" s="3">
        <v>100</v>
      </c>
      <c r="L9" s="15">
        <v>98.961844310000004</v>
      </c>
      <c r="M9" s="15">
        <f t="shared" si="1"/>
        <v>-0.22406962765255764</v>
      </c>
      <c r="N9" s="15">
        <v>-0.220998102145328</v>
      </c>
    </row>
    <row r="10" spans="1:16" ht="12.75" customHeight="1" x14ac:dyDescent="0.2">
      <c r="A10" t="s">
        <v>143</v>
      </c>
      <c r="B10" s="3">
        <v>47</v>
      </c>
      <c r="C10" s="3">
        <v>43</v>
      </c>
      <c r="D10" s="4">
        <f>90-(B10+C10)</f>
        <v>0</v>
      </c>
      <c r="E10" s="13">
        <v>5.4414893617021303</v>
      </c>
      <c r="F10" s="13">
        <v>4.2306201550387597</v>
      </c>
      <c r="G10" s="5">
        <v>1.8585969213868601</v>
      </c>
      <c r="H10" s="5">
        <v>1.67949794964582</v>
      </c>
      <c r="I10" s="15">
        <v>3.2319862970000002</v>
      </c>
      <c r="J10" s="15">
        <v>3.2466892089999999</v>
      </c>
      <c r="K10" s="3">
        <v>88</v>
      </c>
      <c r="L10" s="15">
        <v>87.988666649999999</v>
      </c>
      <c r="M10" s="15">
        <f t="shared" si="1"/>
        <v>0.69224104277145049</v>
      </c>
      <c r="N10" s="15">
        <v>0.68447526185748897</v>
      </c>
    </row>
    <row r="11" spans="1:16" ht="12.75" customHeight="1" x14ac:dyDescent="0.2">
      <c r="A11" t="s">
        <v>144</v>
      </c>
      <c r="B11" s="3">
        <v>97</v>
      </c>
      <c r="C11" s="3">
        <v>77</v>
      </c>
      <c r="D11" s="4">
        <f>174-(B11+C11)</f>
        <v>0</v>
      </c>
      <c r="E11" s="13">
        <v>4.63917525773196</v>
      </c>
      <c r="F11" s="13">
        <v>4.31168831168831</v>
      </c>
      <c r="G11" s="5">
        <v>1.83816919226208</v>
      </c>
      <c r="H11" s="5">
        <v>1.7557030400184399</v>
      </c>
      <c r="I11" s="15">
        <v>1.1905525480000001</v>
      </c>
      <c r="J11" s="15">
        <v>1.196882555</v>
      </c>
      <c r="K11" s="3">
        <v>172</v>
      </c>
      <c r="L11" s="15">
        <v>166.1892957</v>
      </c>
      <c r="M11" s="15">
        <f t="shared" si="1"/>
        <v>0.18568636264020291</v>
      </c>
      <c r="N11" s="15">
        <v>0.18224740607199399</v>
      </c>
    </row>
    <row r="12" spans="1:16" ht="12.75" customHeight="1" x14ac:dyDescent="0.2">
      <c r="A12" t="s">
        <v>145</v>
      </c>
      <c r="B12" s="3">
        <v>58</v>
      </c>
      <c r="C12" s="3">
        <v>55</v>
      </c>
      <c r="D12" s="4">
        <f>113-(B12+C12)</f>
        <v>0</v>
      </c>
      <c r="E12" s="13">
        <v>5.31465517241379</v>
      </c>
      <c r="F12" s="13">
        <v>5.5545454545454502</v>
      </c>
      <c r="G12" s="5">
        <v>1.62596823032475</v>
      </c>
      <c r="H12" s="5">
        <v>1.2942992071814099</v>
      </c>
      <c r="I12" s="15">
        <v>-0.86473066899999995</v>
      </c>
      <c r="J12" s="15">
        <v>-0.86994083799999999</v>
      </c>
      <c r="K12" s="3">
        <v>111</v>
      </c>
      <c r="L12" s="15">
        <v>107.8131166</v>
      </c>
      <c r="M12" s="15">
        <f t="shared" si="1"/>
        <v>-0.1675652326989634</v>
      </c>
      <c r="N12" s="15">
        <v>-0.16429336508749501</v>
      </c>
    </row>
    <row r="13" spans="1:16" ht="12.75" customHeight="1" x14ac:dyDescent="0.2">
      <c r="A13" t="s">
        <v>146</v>
      </c>
      <c r="B13" s="3">
        <v>56</v>
      </c>
      <c r="C13" s="3">
        <v>56</v>
      </c>
      <c r="D13" s="4">
        <f>112-(B13+C13)</f>
        <v>0</v>
      </c>
      <c r="E13" s="13">
        <v>4.9910714285714297</v>
      </c>
      <c r="F13" s="13">
        <v>4.9464285714285703</v>
      </c>
      <c r="G13" s="5">
        <v>1.92646891164443</v>
      </c>
      <c r="H13" s="5">
        <v>2.1125782856469502</v>
      </c>
      <c r="I13" s="15">
        <v>0.116848064</v>
      </c>
      <c r="J13" s="15">
        <v>0.116848064</v>
      </c>
      <c r="K13" s="3">
        <v>110</v>
      </c>
      <c r="L13" s="15">
        <v>109.0775732</v>
      </c>
      <c r="M13" s="15">
        <f t="shared" si="1"/>
        <v>2.2376068522997544E-2</v>
      </c>
      <c r="N13" s="15">
        <v>2.2105637771599001E-2</v>
      </c>
    </row>
    <row r="14" spans="1:16" ht="12.75" customHeight="1" x14ac:dyDescent="0.2">
      <c r="A14" t="s">
        <v>147</v>
      </c>
      <c r="B14" s="3">
        <v>140</v>
      </c>
      <c r="C14" s="3">
        <v>137</v>
      </c>
      <c r="D14" s="4">
        <f>277-(B14+C14)</f>
        <v>0</v>
      </c>
      <c r="E14" s="13">
        <v>5.2660714285714301</v>
      </c>
      <c r="F14" s="13">
        <v>4.9160583941605802</v>
      </c>
      <c r="G14" s="5">
        <v>1.8449841380568599</v>
      </c>
      <c r="H14" s="5">
        <v>2.060053667799</v>
      </c>
      <c r="I14" s="15">
        <v>1.4903079640000001</v>
      </c>
      <c r="J14" s="15">
        <v>1.488530073</v>
      </c>
      <c r="K14" s="3">
        <v>275</v>
      </c>
      <c r="L14" s="15">
        <v>270.3310123</v>
      </c>
      <c r="M14" s="15">
        <f t="shared" si="1"/>
        <v>0.18106715319358171</v>
      </c>
      <c r="N14" s="15">
        <v>0.17926230260100301</v>
      </c>
    </row>
    <row r="15" spans="1:16" ht="12.75" customHeight="1" x14ac:dyDescent="0.2">
      <c r="A15" t="s">
        <v>148</v>
      </c>
      <c r="B15" s="3">
        <v>72</v>
      </c>
      <c r="C15" s="3">
        <v>74</v>
      </c>
      <c r="D15" s="4">
        <f>146-(B15+C15)</f>
        <v>0</v>
      </c>
      <c r="E15" s="13">
        <v>5.4722222222222197</v>
      </c>
      <c r="F15" s="13">
        <v>5.1948198198198199</v>
      </c>
      <c r="G15" s="5">
        <v>1.78341121325272</v>
      </c>
      <c r="H15" s="5">
        <v>1.8570117353023901</v>
      </c>
      <c r="I15" s="15">
        <v>0.92020257400000005</v>
      </c>
      <c r="J15" s="15">
        <v>0.92071575100000003</v>
      </c>
      <c r="K15" s="3">
        <v>144</v>
      </c>
      <c r="L15" s="15">
        <v>143.97623680000001</v>
      </c>
      <c r="M15" s="15">
        <f t="shared" si="1"/>
        <v>0.15346528828056505</v>
      </c>
      <c r="N15" s="15">
        <v>0.15240119421426301</v>
      </c>
    </row>
    <row r="16" spans="1:16" ht="12.75" customHeight="1" x14ac:dyDescent="0.2">
      <c r="A16" t="s">
        <v>149</v>
      </c>
      <c r="B16" s="3">
        <v>46</v>
      </c>
      <c r="C16" s="3">
        <v>52</v>
      </c>
      <c r="D16" s="4">
        <f>98-(B16+C16)</f>
        <v>0</v>
      </c>
      <c r="E16" s="13">
        <v>5.1086956521739104</v>
      </c>
      <c r="F16" s="13">
        <v>4.7644230769230802</v>
      </c>
      <c r="G16" s="5">
        <v>1.5272089410943299</v>
      </c>
      <c r="H16" s="5">
        <v>2.0360798680948</v>
      </c>
      <c r="I16" s="15">
        <v>0.93691217900000001</v>
      </c>
      <c r="J16" s="15">
        <v>0.95327560200000006</v>
      </c>
      <c r="K16" s="3">
        <v>96</v>
      </c>
      <c r="L16" s="15">
        <v>93.594623530000007</v>
      </c>
      <c r="M16" s="15">
        <f t="shared" si="1"/>
        <v>0.19707113719560582</v>
      </c>
      <c r="N16" s="15">
        <v>0.19323304603489599</v>
      </c>
    </row>
    <row r="17" spans="1:14" ht="12.75" customHeight="1" x14ac:dyDescent="0.2">
      <c r="A17" t="s">
        <v>150</v>
      </c>
      <c r="B17" s="3">
        <v>44</v>
      </c>
      <c r="C17" s="3">
        <v>41</v>
      </c>
      <c r="D17" s="4">
        <f>85-(B17+C17)</f>
        <v>0</v>
      </c>
      <c r="E17" s="13">
        <v>5.4450757575757596</v>
      </c>
      <c r="F17" s="13">
        <v>4.8353658536585398</v>
      </c>
      <c r="G17" s="5">
        <v>1.8567864892008299</v>
      </c>
      <c r="H17" s="5">
        <v>1.85119028946375</v>
      </c>
      <c r="I17" s="15">
        <v>1.5149589290000001</v>
      </c>
      <c r="J17" s="15">
        <v>1.515122276</v>
      </c>
      <c r="K17" s="3">
        <v>83</v>
      </c>
      <c r="L17" s="15">
        <v>82.612717860000004</v>
      </c>
      <c r="M17" s="15">
        <f t="shared" si="1"/>
        <v>0.33339127043493683</v>
      </c>
      <c r="N17" s="15">
        <v>0.32886392785707103</v>
      </c>
    </row>
    <row r="18" spans="1:14" ht="12.75" customHeight="1" x14ac:dyDescent="0.2">
      <c r="A18" t="s">
        <v>151</v>
      </c>
      <c r="B18" s="3">
        <v>482</v>
      </c>
      <c r="C18" s="3">
        <v>518</v>
      </c>
      <c r="D18" s="4">
        <f>1000-(B18+C18)</f>
        <v>0</v>
      </c>
      <c r="E18" s="13">
        <v>4.4180497925311197</v>
      </c>
      <c r="F18" s="13">
        <v>3.90781853281853</v>
      </c>
      <c r="G18" s="5">
        <v>1.9313250795772601</v>
      </c>
      <c r="H18" s="5">
        <v>1.9607048011117501</v>
      </c>
      <c r="I18" s="15">
        <v>4.141700588</v>
      </c>
      <c r="J18" s="15">
        <v>4.1439543649999999</v>
      </c>
      <c r="K18" s="3">
        <v>998</v>
      </c>
      <c r="L18" s="15">
        <v>994.76527339999996</v>
      </c>
      <c r="M18" s="15">
        <f t="shared" si="1"/>
        <v>0.26277536731330192</v>
      </c>
      <c r="N18" s="15">
        <v>0.26219287896230697</v>
      </c>
    </row>
    <row r="19" spans="1:14" ht="12.75" customHeight="1" x14ac:dyDescent="0.2">
      <c r="A19" t="s">
        <v>152</v>
      </c>
      <c r="B19" s="3">
        <v>55</v>
      </c>
      <c r="C19" s="3">
        <v>52</v>
      </c>
      <c r="D19" s="4">
        <f>107-(B19+C19)</f>
        <v>0</v>
      </c>
      <c r="E19" s="13">
        <v>3.7136363636363598</v>
      </c>
      <c r="F19" s="13">
        <v>3.9182692307692299</v>
      </c>
      <c r="G19" s="5">
        <v>1.73566762012261</v>
      </c>
      <c r="H19" s="5">
        <v>2.0590076813785498</v>
      </c>
      <c r="I19" s="15">
        <v>-0.55693333099999998</v>
      </c>
      <c r="J19" s="15">
        <v>-0.55427252100000002</v>
      </c>
      <c r="K19" s="3">
        <v>105</v>
      </c>
      <c r="L19" s="15">
        <v>99.942272349999996</v>
      </c>
      <c r="M19" s="15">
        <f t="shared" si="1"/>
        <v>-0.1108865149100368</v>
      </c>
      <c r="N19" s="15">
        <v>-0.10785263606186</v>
      </c>
    </row>
    <row r="20" spans="1:14" ht="12.75" customHeight="1" x14ac:dyDescent="0.2">
      <c r="A20" t="s">
        <v>153</v>
      </c>
      <c r="B20" s="3">
        <v>61</v>
      </c>
      <c r="C20" s="3">
        <v>61</v>
      </c>
      <c r="D20" s="4">
        <f>123-(B20+C20)</f>
        <v>1</v>
      </c>
      <c r="E20" s="13">
        <v>6.15573770491803</v>
      </c>
      <c r="F20" s="13">
        <v>5.6926229508196702</v>
      </c>
      <c r="G20" s="5">
        <v>1.5680162191087099</v>
      </c>
      <c r="H20" s="5">
        <v>1.5846880888041699</v>
      </c>
      <c r="I20" s="15">
        <v>1.622479507</v>
      </c>
      <c r="J20" s="15">
        <v>1.622479507</v>
      </c>
      <c r="K20" s="3">
        <v>120</v>
      </c>
      <c r="L20" s="15">
        <v>119.9865794</v>
      </c>
      <c r="M20" s="15">
        <f t="shared" si="1"/>
        <v>0.29623944095044813</v>
      </c>
      <c r="N20" s="15">
        <v>0.29378889287904503</v>
      </c>
    </row>
    <row r="21" spans="1:14" ht="12.75" customHeight="1" x14ac:dyDescent="0.2">
      <c r="A21" t="s">
        <v>154</v>
      </c>
      <c r="B21" s="3">
        <v>662</v>
      </c>
      <c r="C21" s="3">
        <v>666</v>
      </c>
      <c r="D21" s="4">
        <f>1329-(B21+C21)</f>
        <v>1</v>
      </c>
      <c r="E21" s="13">
        <v>5.3173464249748204</v>
      </c>
      <c r="F21" s="13">
        <v>5.0186436436436397</v>
      </c>
      <c r="G21" s="5">
        <v>1.8717905123529801</v>
      </c>
      <c r="H21" s="5">
        <v>1.9872338626507899</v>
      </c>
      <c r="I21" s="15">
        <v>2.8191969530000001</v>
      </c>
      <c r="J21" s="15">
        <v>2.81970498</v>
      </c>
      <c r="K21" s="3">
        <v>1326</v>
      </c>
      <c r="L21" s="15">
        <v>1322.178911</v>
      </c>
      <c r="M21" s="15">
        <f t="shared" si="1"/>
        <v>0.1550916991763642</v>
      </c>
      <c r="N21" s="15">
        <v>0.15480740845586899</v>
      </c>
    </row>
    <row r="22" spans="1:14" ht="12.75" customHeight="1" x14ac:dyDescent="0.2">
      <c r="A22" t="s">
        <v>155</v>
      </c>
      <c r="B22" s="3">
        <v>51</v>
      </c>
      <c r="C22" s="3">
        <v>44</v>
      </c>
      <c r="D22" s="4">
        <f>95-(B22+C22)</f>
        <v>0</v>
      </c>
      <c r="E22" s="13">
        <v>4.3186274509803901</v>
      </c>
      <c r="F22" s="13">
        <v>3.8238636363636398</v>
      </c>
      <c r="G22" s="5">
        <v>1.68306151950289</v>
      </c>
      <c r="H22" s="5">
        <v>1.6771199231976399</v>
      </c>
      <c r="I22" s="15">
        <v>1.4310550710000001</v>
      </c>
      <c r="J22" s="15">
        <v>1.4314320359999999</v>
      </c>
      <c r="K22" s="3">
        <v>93</v>
      </c>
      <c r="L22" s="15">
        <v>91.062926849999997</v>
      </c>
      <c r="M22" s="15">
        <f t="shared" si="1"/>
        <v>0.30000598990523175</v>
      </c>
      <c r="N22" s="15">
        <v>0.29448636810464701</v>
      </c>
    </row>
    <row r="23" spans="1:14" ht="12.75" customHeight="1" x14ac:dyDescent="0.2">
      <c r="A23" t="s">
        <v>156</v>
      </c>
      <c r="B23" s="3">
        <v>53</v>
      </c>
      <c r="C23" s="3">
        <v>48</v>
      </c>
      <c r="D23" s="4">
        <f>103-(B23+C23)</f>
        <v>2</v>
      </c>
      <c r="E23" s="13">
        <v>4.1603773584905701</v>
      </c>
      <c r="F23" s="13">
        <v>4.7586805555555598</v>
      </c>
      <c r="G23" s="5">
        <v>1.9776967589210299</v>
      </c>
      <c r="H23" s="5">
        <v>2.1865724702492</v>
      </c>
      <c r="I23" s="15">
        <v>-1.4439925680000001</v>
      </c>
      <c r="J23" s="15">
        <v>-1.4367847229999999</v>
      </c>
      <c r="K23" s="3">
        <v>99</v>
      </c>
      <c r="L23" s="15">
        <v>95.207169280000002</v>
      </c>
      <c r="M23" s="15">
        <f t="shared" si="1"/>
        <v>-0.29450106580961316</v>
      </c>
      <c r="N23" s="15">
        <v>-0.28735087197241899</v>
      </c>
    </row>
    <row r="24" spans="1:14" ht="12.75" customHeight="1" x14ac:dyDescent="0.2">
      <c r="A24" t="s">
        <v>157</v>
      </c>
      <c r="B24" s="3">
        <v>47</v>
      </c>
      <c r="C24" s="3">
        <v>38</v>
      </c>
      <c r="D24" s="4">
        <f>86-(B24+C24)</f>
        <v>1</v>
      </c>
      <c r="E24" s="13">
        <v>4.5744680851063801</v>
      </c>
      <c r="F24" s="13">
        <v>3.92105263157895</v>
      </c>
      <c r="G24" s="5">
        <v>2.13212672813528</v>
      </c>
      <c r="H24" s="5">
        <v>1.8353743111474301</v>
      </c>
      <c r="I24" s="15">
        <v>1.4936451589999999</v>
      </c>
      <c r="J24" s="15">
        <v>1.5176432479999999</v>
      </c>
      <c r="K24" s="3">
        <v>83</v>
      </c>
      <c r="L24" s="15">
        <v>82.648063429999993</v>
      </c>
      <c r="M24" s="15">
        <f t="shared" si="1"/>
        <v>0.33387457546590082</v>
      </c>
      <c r="N24" s="15">
        <v>0.329383885250634</v>
      </c>
    </row>
    <row r="25" spans="1:14" ht="12.75" customHeight="1" x14ac:dyDescent="0.2">
      <c r="A25" t="s">
        <v>158</v>
      </c>
      <c r="B25" s="3">
        <v>81</v>
      </c>
      <c r="C25" s="3">
        <v>81</v>
      </c>
      <c r="D25" s="4">
        <f>162-(B25+C25)</f>
        <v>0</v>
      </c>
      <c r="E25" s="13">
        <v>4.8549382716049401</v>
      </c>
      <c r="F25" s="13">
        <v>4.2993827160493803</v>
      </c>
      <c r="G25" s="5">
        <v>1.9822904198532501</v>
      </c>
      <c r="H25" s="5">
        <v>1.68653664774814</v>
      </c>
      <c r="I25" s="15">
        <v>1.921105509</v>
      </c>
      <c r="J25" s="15">
        <v>1.921105509</v>
      </c>
      <c r="K25" s="3">
        <v>160</v>
      </c>
      <c r="L25" s="15">
        <v>155.99726440000001</v>
      </c>
      <c r="M25" s="15">
        <f t="shared" si="1"/>
        <v>0.30762577567980243</v>
      </c>
      <c r="N25" s="15">
        <v>0.30285186263563402</v>
      </c>
    </row>
    <row r="26" spans="1:14" ht="12.75" customHeight="1" x14ac:dyDescent="0.2">
      <c r="A26" t="s">
        <v>159</v>
      </c>
      <c r="B26" s="3">
        <v>43</v>
      </c>
      <c r="C26" s="3">
        <v>36</v>
      </c>
      <c r="D26" s="4">
        <f>79-(B26+C26)</f>
        <v>0</v>
      </c>
      <c r="E26" s="13">
        <v>4.5116279069767398</v>
      </c>
      <c r="F26" s="13">
        <v>3.9166666666666701</v>
      </c>
      <c r="G26" s="5">
        <v>1.6465634200799899</v>
      </c>
      <c r="H26" s="5">
        <v>1.7958284996067999</v>
      </c>
      <c r="I26" s="15">
        <v>1.534750872</v>
      </c>
      <c r="J26" s="15">
        <v>1.5228715779999999</v>
      </c>
      <c r="K26" s="3">
        <v>77</v>
      </c>
      <c r="L26" s="15">
        <v>71.917409030000002</v>
      </c>
      <c r="M26" s="15">
        <f t="shared" si="1"/>
        <v>0.35915032242702122</v>
      </c>
      <c r="N26" s="15">
        <v>0.345667346537469</v>
      </c>
    </row>
    <row r="27" spans="1:14" ht="12.75" customHeight="1" x14ac:dyDescent="0.2">
      <c r="A27" t="s">
        <v>160</v>
      </c>
      <c r="B27" s="3">
        <v>73</v>
      </c>
      <c r="C27" s="3">
        <v>95</v>
      </c>
      <c r="D27" s="4">
        <f>169-(B27+C27)</f>
        <v>1</v>
      </c>
      <c r="E27" s="13">
        <v>4.7168949771689501</v>
      </c>
      <c r="F27" s="13">
        <v>4.5377192982456096</v>
      </c>
      <c r="G27" s="5">
        <v>1.8404606683767299</v>
      </c>
      <c r="H27" s="5">
        <v>1.9843048614697401</v>
      </c>
      <c r="I27" s="15">
        <v>0.598570092</v>
      </c>
      <c r="J27" s="15">
        <v>0.60452231700000003</v>
      </c>
      <c r="K27" s="3">
        <v>166</v>
      </c>
      <c r="L27" s="15">
        <v>160.18044660000001</v>
      </c>
      <c r="M27" s="15">
        <f t="shared" si="1"/>
        <v>9.5529517408788303E-2</v>
      </c>
      <c r="N27" s="15">
        <v>9.3692372787373995E-2</v>
      </c>
    </row>
    <row r="28" spans="1:14" ht="12.75" customHeight="1" x14ac:dyDescent="0.2">
      <c r="A28" t="s">
        <v>161</v>
      </c>
      <c r="B28" s="3">
        <v>94</v>
      </c>
      <c r="C28" s="3">
        <v>93</v>
      </c>
      <c r="D28" s="4">
        <f>187-(B28+C28)</f>
        <v>0</v>
      </c>
      <c r="E28" s="13">
        <v>4.2393617021276597</v>
      </c>
      <c r="F28" s="13">
        <v>4.4086021505376296</v>
      </c>
      <c r="G28" s="5">
        <v>1.9312494192562799</v>
      </c>
      <c r="H28" s="5">
        <v>2.0285948185434699</v>
      </c>
      <c r="I28" s="15">
        <v>-0.58434206499999997</v>
      </c>
      <c r="J28" s="15">
        <v>-0.58418771199999997</v>
      </c>
      <c r="K28" s="3">
        <v>185</v>
      </c>
      <c r="L28" s="15">
        <v>184.33911610000001</v>
      </c>
      <c r="M28" s="15">
        <f t="shared" si="1"/>
        <v>-8.6054515328673739E-2</v>
      </c>
      <c r="N28" s="15">
        <v>-8.5478336139812996E-2</v>
      </c>
    </row>
    <row r="29" spans="1:14" ht="12.75" customHeight="1" x14ac:dyDescent="0.2">
      <c r="A29" t="s">
        <v>162</v>
      </c>
      <c r="B29" s="3">
        <v>37</v>
      </c>
      <c r="C29" s="3">
        <v>50</v>
      </c>
      <c r="D29" s="4">
        <f>87-(B29+C29)</f>
        <v>0</v>
      </c>
      <c r="E29" s="13">
        <v>4.3918918918918903</v>
      </c>
      <c r="F29" s="13">
        <v>4.6150000000000002</v>
      </c>
      <c r="G29" s="5">
        <v>1.74258402927925</v>
      </c>
      <c r="H29" s="5">
        <v>2.1202437768967499</v>
      </c>
      <c r="I29" s="15">
        <v>-0.52247020099999997</v>
      </c>
      <c r="J29" s="15">
        <v>-0.53799438799999999</v>
      </c>
      <c r="K29" s="3">
        <v>85</v>
      </c>
      <c r="L29" s="15">
        <v>84.008450819999993</v>
      </c>
      <c r="M29" s="15">
        <f t="shared" si="1"/>
        <v>-0.11739409524020419</v>
      </c>
      <c r="N29" s="15">
        <v>-0.115515430302845</v>
      </c>
    </row>
    <row r="30" spans="1:14" ht="12.75" customHeight="1" x14ac:dyDescent="0.2">
      <c r="A30" t="s">
        <v>163</v>
      </c>
      <c r="B30" s="3">
        <v>127</v>
      </c>
      <c r="C30" s="3">
        <v>98</v>
      </c>
      <c r="D30" s="4">
        <f>225-(B30+C30)</f>
        <v>0</v>
      </c>
      <c r="E30" s="13">
        <v>4.0688976377952804</v>
      </c>
      <c r="F30" s="13">
        <v>3.5229591836734699</v>
      </c>
      <c r="G30" s="5">
        <v>1.8068095306132901</v>
      </c>
      <c r="H30" s="5">
        <v>1.62339799490551</v>
      </c>
      <c r="I30" s="15">
        <v>2.3478289189999999</v>
      </c>
      <c r="J30" s="15">
        <v>2.3804669230000002</v>
      </c>
      <c r="K30" s="3">
        <v>223</v>
      </c>
      <c r="L30" s="15">
        <v>217.8393078</v>
      </c>
      <c r="M30" s="15">
        <f t="shared" si="1"/>
        <v>0.32257003605427692</v>
      </c>
      <c r="N30" s="15">
        <v>0.31831220126498699</v>
      </c>
    </row>
    <row r="31" spans="1:14" ht="12.75" customHeight="1" x14ac:dyDescent="0.2">
      <c r="A31" t="s">
        <v>164</v>
      </c>
      <c r="B31" s="3">
        <v>43</v>
      </c>
      <c r="C31" s="3">
        <v>37</v>
      </c>
      <c r="D31" s="4">
        <f>80-(B31+C31)</f>
        <v>0</v>
      </c>
      <c r="E31" s="13">
        <v>3.7209302325581399</v>
      </c>
      <c r="F31" s="13">
        <v>4.60135135135135</v>
      </c>
      <c r="G31" s="5">
        <v>1.5509303106039101</v>
      </c>
      <c r="H31" s="5">
        <v>1.8299774773388799</v>
      </c>
      <c r="I31" s="15">
        <v>-2.3294803260000001</v>
      </c>
      <c r="J31" s="15">
        <v>-2.3006421779999999</v>
      </c>
      <c r="K31" s="3">
        <v>78</v>
      </c>
      <c r="L31" s="15">
        <v>71.00352943</v>
      </c>
      <c r="M31" s="15">
        <f t="shared" si="1"/>
        <v>-0.54605841559334967</v>
      </c>
      <c r="N31" s="15">
        <v>-0.52081936214470304</v>
      </c>
    </row>
    <row r="32" spans="1:14" ht="12.75" customHeight="1" x14ac:dyDescent="0.2">
      <c r="A32" t="s">
        <v>165</v>
      </c>
      <c r="B32" s="3">
        <v>70</v>
      </c>
      <c r="C32" s="3">
        <v>57</v>
      </c>
      <c r="D32" s="4">
        <f>127-(B32+C32)</f>
        <v>0</v>
      </c>
      <c r="E32" s="13">
        <v>4.5999999999999996</v>
      </c>
      <c r="F32" s="13">
        <v>4.3947368421052602</v>
      </c>
      <c r="G32" s="5">
        <v>1.7607845747963</v>
      </c>
      <c r="H32" s="5">
        <v>1.6942308677044899</v>
      </c>
      <c r="I32" s="15">
        <v>0.66454906999999996</v>
      </c>
      <c r="J32" s="15">
        <v>0.66719494999999995</v>
      </c>
      <c r="K32" s="3">
        <v>125</v>
      </c>
      <c r="L32" s="15">
        <v>121.5282155</v>
      </c>
      <c r="M32" s="15">
        <f t="shared" si="1"/>
        <v>0.12104425609202678</v>
      </c>
      <c r="N32" s="15">
        <v>0.118820399683172</v>
      </c>
    </row>
    <row r="33" spans="1:14" ht="12.75" customHeight="1" x14ac:dyDescent="0.2">
      <c r="A33" t="s">
        <v>166</v>
      </c>
      <c r="B33" s="3">
        <v>69</v>
      </c>
      <c r="C33" s="3">
        <v>74</v>
      </c>
      <c r="D33" s="4">
        <f>144-(B33+C33)</f>
        <v>1</v>
      </c>
      <c r="E33" s="13">
        <v>5.13768115942029</v>
      </c>
      <c r="F33" s="13">
        <v>4.8141891891891904</v>
      </c>
      <c r="G33" s="5">
        <v>1.89063881588732</v>
      </c>
      <c r="H33" s="5">
        <v>1.9369606234685901</v>
      </c>
      <c r="I33" s="15">
        <v>1.0095348909999999</v>
      </c>
      <c r="J33" s="15">
        <v>1.0103955529999999</v>
      </c>
      <c r="K33" s="3">
        <v>141</v>
      </c>
      <c r="L33" s="15">
        <v>140.69885830000001</v>
      </c>
      <c r="M33" s="15">
        <f t="shared" si="1"/>
        <v>0.17036333576229556</v>
      </c>
      <c r="N33" s="15">
        <v>0.169031255938075</v>
      </c>
    </row>
    <row r="34" spans="1:14" ht="12.75" customHeight="1" x14ac:dyDescent="0.2">
      <c r="A34" t="s">
        <v>167</v>
      </c>
      <c r="B34" s="3">
        <v>34</v>
      </c>
      <c r="C34" s="3">
        <v>47</v>
      </c>
      <c r="D34" s="4">
        <f>81-(B34+C34)</f>
        <v>0</v>
      </c>
      <c r="E34" s="13">
        <v>4.8602941176470598</v>
      </c>
      <c r="F34" s="13">
        <v>4.7925531914893602</v>
      </c>
      <c r="G34" s="5">
        <v>1.6642306172033601</v>
      </c>
      <c r="H34" s="5">
        <v>1.9631933481216699</v>
      </c>
      <c r="I34" s="15">
        <v>0.163149512</v>
      </c>
      <c r="J34" s="15">
        <v>0.16754861500000001</v>
      </c>
      <c r="K34" s="3">
        <v>79</v>
      </c>
      <c r="L34" s="15">
        <v>76.943883799999995</v>
      </c>
      <c r="M34" s="15">
        <f t="shared" si="1"/>
        <v>3.8201796425312108E-2</v>
      </c>
      <c r="N34" s="15">
        <v>3.7349329334116999E-2</v>
      </c>
    </row>
    <row r="35" spans="1:14" ht="12.75" customHeight="1" x14ac:dyDescent="0.2">
      <c r="A35" t="s">
        <v>168</v>
      </c>
      <c r="B35" s="3">
        <v>45</v>
      </c>
      <c r="C35" s="3">
        <v>62</v>
      </c>
      <c r="D35" s="4">
        <f>108-(B35+C35)</f>
        <v>1</v>
      </c>
      <c r="E35" s="13">
        <v>5.1388888888888902</v>
      </c>
      <c r="F35" s="13">
        <v>5.1370967741935498</v>
      </c>
      <c r="G35" s="5">
        <v>1.8651678235753999</v>
      </c>
      <c r="H35" s="5">
        <v>2.23271017191948</v>
      </c>
      <c r="I35" s="15">
        <v>4.3857039999999998E-3</v>
      </c>
      <c r="J35" s="15">
        <v>4.5126840000000003E-3</v>
      </c>
      <c r="K35" s="3">
        <v>105</v>
      </c>
      <c r="L35" s="15">
        <v>102.86171330000001</v>
      </c>
      <c r="M35" s="15">
        <f t="shared" si="1"/>
        <v>8.8989351506949129E-4</v>
      </c>
      <c r="N35" s="15">
        <v>8.7465497865599998E-4</v>
      </c>
    </row>
    <row r="36" spans="1:14" ht="12.75" customHeight="1" x14ac:dyDescent="0.2">
      <c r="A36" t="s">
        <v>169</v>
      </c>
      <c r="B36" s="3">
        <v>47</v>
      </c>
      <c r="C36" s="3">
        <v>49</v>
      </c>
      <c r="D36" s="4">
        <f>96-(B36+C36)</f>
        <v>0</v>
      </c>
      <c r="E36" s="13">
        <v>4.5638297872340399</v>
      </c>
      <c r="F36" s="13">
        <v>4.4285714285714297</v>
      </c>
      <c r="G36" s="5">
        <v>1.4977048429128901</v>
      </c>
      <c r="H36" s="5">
        <v>1.77731656343676</v>
      </c>
      <c r="I36" s="15">
        <v>0.402376332</v>
      </c>
      <c r="J36" s="15">
        <v>0.40381501400000003</v>
      </c>
      <c r="K36" s="3">
        <v>94</v>
      </c>
      <c r="L36" s="15">
        <v>92.485557659999998</v>
      </c>
      <c r="M36" s="15">
        <f t="shared" si="1"/>
        <v>8.3979928012637109E-2</v>
      </c>
      <c r="N36" s="15">
        <v>8.2599984476665E-2</v>
      </c>
    </row>
    <row r="37" spans="1:14" ht="12.75" customHeight="1" x14ac:dyDescent="0.2">
      <c r="A37" t="s">
        <v>170</v>
      </c>
      <c r="B37" s="3">
        <v>57</v>
      </c>
      <c r="C37" s="3">
        <v>46</v>
      </c>
      <c r="D37" s="4">
        <f>103-(B37+C37)</f>
        <v>0</v>
      </c>
      <c r="E37" s="13">
        <v>4.1140350877192997</v>
      </c>
      <c r="F37" s="13">
        <v>4.4945652173913002</v>
      </c>
      <c r="G37" s="5">
        <v>1.74173441846372</v>
      </c>
      <c r="H37" s="5">
        <v>1.93109722008757</v>
      </c>
      <c r="I37" s="15">
        <v>-1.0499901089999999</v>
      </c>
      <c r="J37" s="15">
        <v>-1.038406376</v>
      </c>
      <c r="K37" s="3">
        <v>101</v>
      </c>
      <c r="L37" s="15">
        <v>91.715756299999995</v>
      </c>
      <c r="M37" s="15">
        <f t="shared" si="1"/>
        <v>-0.21685795896616106</v>
      </c>
      <c r="N37" s="15">
        <v>-0.20721348927505001</v>
      </c>
    </row>
    <row r="38" spans="1:14" ht="12.75" customHeight="1" x14ac:dyDescent="0.2">
      <c r="A38" t="s">
        <v>171</v>
      </c>
      <c r="B38" s="3">
        <v>47</v>
      </c>
      <c r="C38" s="3">
        <v>43</v>
      </c>
      <c r="D38" s="4">
        <f>90-(B38+C38)</f>
        <v>0</v>
      </c>
      <c r="E38" s="13">
        <v>5.4468085106383004</v>
      </c>
      <c r="F38" s="13">
        <v>5.4127906976744198</v>
      </c>
      <c r="G38" s="5">
        <v>1.25643579116376</v>
      </c>
      <c r="H38" s="5">
        <v>1.4606787815151401</v>
      </c>
      <c r="I38" s="15">
        <v>0.11872642999999999</v>
      </c>
      <c r="J38" s="15">
        <v>0.117931232</v>
      </c>
      <c r="K38" s="3">
        <v>88</v>
      </c>
      <c r="L38" s="15">
        <v>83.269075839999999</v>
      </c>
      <c r="M38" s="15">
        <f t="shared" si="1"/>
        <v>2.5847405659074695E-2</v>
      </c>
      <c r="N38" s="15">
        <v>2.5039660311666E-2</v>
      </c>
    </row>
    <row r="39" spans="1:14" ht="12.75" customHeight="1" x14ac:dyDescent="0.2">
      <c r="A39" t="s">
        <v>172</v>
      </c>
      <c r="B39" s="3">
        <v>35</v>
      </c>
      <c r="C39" s="3">
        <v>52</v>
      </c>
      <c r="D39" s="4">
        <f>87-(B39+C39)</f>
        <v>0</v>
      </c>
      <c r="E39" s="13">
        <v>4.8357142857142899</v>
      </c>
      <c r="F39" s="13">
        <v>4.5817307692307701</v>
      </c>
      <c r="G39" s="5">
        <v>1.9525086212271601</v>
      </c>
      <c r="H39" s="5">
        <v>1.63428430237688</v>
      </c>
      <c r="I39" s="15">
        <v>0.65688087100000003</v>
      </c>
      <c r="J39" s="15">
        <v>0.63439255999999999</v>
      </c>
      <c r="K39" s="3">
        <v>85</v>
      </c>
      <c r="L39" s="15">
        <v>64.12078545</v>
      </c>
      <c r="M39" s="15">
        <f t="shared" si="1"/>
        <v>0.15844869253636917</v>
      </c>
      <c r="N39" s="15">
        <v>0.141621510855615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5703125" customWidth="1"/>
    <col min="3" max="3" width="9.28515625" customWidth="1"/>
    <col min="5" max="5" width="13.140625" customWidth="1"/>
    <col min="6" max="6" width="12.7109375" customWidth="1"/>
    <col min="7" max="7" width="11" customWidth="1"/>
    <col min="8" max="8" width="11.140625" customWidth="1"/>
    <col min="9" max="9" width="10.28515625" customWidth="1"/>
    <col min="10" max="10" width="13.140625" customWidth="1"/>
    <col min="11" max="11" width="12" customWidth="1"/>
    <col min="12" max="12" width="13.28515625" customWidth="1"/>
    <col min="13" max="13" width="10.85546875" customWidth="1"/>
    <col min="14" max="14" width="14.140625" customWidth="1"/>
    <col min="15" max="15" width="15.7109375" customWidth="1"/>
    <col min="16" max="16" width="30.140625" customWidth="1"/>
  </cols>
  <sheetData>
    <row r="1" spans="1:16" ht="12.75" customHeight="1" x14ac:dyDescent="0.2">
      <c r="A1" t="s">
        <v>117</v>
      </c>
      <c r="B1" s="3" t="s">
        <v>212</v>
      </c>
      <c r="C1" s="3" t="s">
        <v>213</v>
      </c>
      <c r="D1" s="4" t="s">
        <v>120</v>
      </c>
      <c r="E1" s="13" t="s">
        <v>214</v>
      </c>
      <c r="F1" s="13" t="s">
        <v>215</v>
      </c>
      <c r="G1" s="5" t="s">
        <v>216</v>
      </c>
      <c r="H1" s="5" t="s">
        <v>217</v>
      </c>
      <c r="I1" s="15" t="s">
        <v>125</v>
      </c>
      <c r="J1" s="15" t="s">
        <v>126</v>
      </c>
      <c r="K1" s="3" t="s">
        <v>127</v>
      </c>
      <c r="L1" s="15" t="s">
        <v>128</v>
      </c>
      <c r="M1" s="15" t="s">
        <v>129</v>
      </c>
      <c r="N1" s="15" t="s">
        <v>130</v>
      </c>
      <c r="O1" t="s">
        <v>131</v>
      </c>
      <c r="P1" t="s">
        <v>132</v>
      </c>
    </row>
    <row r="2" spans="1:16" ht="40.5" customHeight="1" x14ac:dyDescent="0.2">
      <c r="A2" s="6" t="s">
        <v>133</v>
      </c>
      <c r="B2" s="4">
        <f>SUM(B4:B39)</f>
        <v>3982</v>
      </c>
      <c r="C2" s="4">
        <f>SUM(C4:C39)</f>
        <v>1860</v>
      </c>
      <c r="D2" s="4">
        <f>6344-(B2+C2)</f>
        <v>502</v>
      </c>
      <c r="E2" s="13">
        <v>0.52975863999999995</v>
      </c>
      <c r="F2" s="13">
        <v>0.27483849999999999</v>
      </c>
      <c r="G2" s="5">
        <v>0.47520461000000003</v>
      </c>
      <c r="H2" s="5">
        <v>0.49469183999999999</v>
      </c>
      <c r="I2" s="15">
        <v>19.391999999999999</v>
      </c>
      <c r="J2" s="15">
        <v>19.100999999999999</v>
      </c>
      <c r="K2" s="3">
        <v>6103</v>
      </c>
      <c r="L2" s="15">
        <v>3659.8330000000001</v>
      </c>
      <c r="M2" s="15">
        <f>(2*J2)/SQRT(L2)</f>
        <v>0.63147398840974212</v>
      </c>
      <c r="N2" s="15">
        <v>0.52555858</v>
      </c>
      <c r="O2" t="s">
        <v>134</v>
      </c>
      <c r="P2" t="s">
        <v>218</v>
      </c>
    </row>
    <row r="3" spans="1:16" ht="57.75" customHeight="1" x14ac:dyDescent="0.2">
      <c r="A3" s="6" t="s">
        <v>136</v>
      </c>
      <c r="B3" s="15">
        <f>AVERAGE(B4:B23,B25:B39)</f>
        <v>113.65714285714286</v>
      </c>
      <c r="C3" s="15">
        <f>AVERAGE(C4:C23,C25:C39)</f>
        <v>53.028571428571432</v>
      </c>
      <c r="D3" s="15"/>
      <c r="E3" s="13">
        <f t="shared" ref="E3:N3" si="0">AVERAGE(E4:E23,E25:E39)</f>
        <v>0.50288732532842551</v>
      </c>
      <c r="F3" s="13">
        <f t="shared" si="0"/>
        <v>0.23606644051711001</v>
      </c>
      <c r="G3" s="5">
        <f t="shared" si="0"/>
        <v>0.46873085714285706</v>
      </c>
      <c r="H3" s="5">
        <f t="shared" si="0"/>
        <v>0.49060114285714301</v>
      </c>
      <c r="I3" s="15">
        <f t="shared" si="0"/>
        <v>2.9945714285714282</v>
      </c>
      <c r="J3" s="15">
        <f t="shared" si="0"/>
        <v>2.9201142857142863</v>
      </c>
      <c r="K3" s="15">
        <f t="shared" si="0"/>
        <v>129.46382857142859</v>
      </c>
      <c r="L3" s="15">
        <f t="shared" si="0"/>
        <v>97.469114285714269</v>
      </c>
      <c r="M3" s="15">
        <f t="shared" si="0"/>
        <v>0.72828543362032228</v>
      </c>
      <c r="N3" s="15">
        <f t="shared" si="0"/>
        <v>0.56028571428571416</v>
      </c>
      <c r="P3" t="s">
        <v>219</v>
      </c>
    </row>
    <row r="4" spans="1:16" ht="12.75" customHeight="1" x14ac:dyDescent="0.2">
      <c r="A4" t="s">
        <v>137</v>
      </c>
      <c r="B4" s="3">
        <v>53</v>
      </c>
      <c r="C4" s="3">
        <v>24</v>
      </c>
      <c r="D4" s="4">
        <f>84-(B4+C4)</f>
        <v>7</v>
      </c>
      <c r="E4" s="13">
        <v>0.4541</v>
      </c>
      <c r="F4" s="13">
        <v>8.0815108631680996E-2</v>
      </c>
      <c r="G4" s="5">
        <v>0.46701999999999999</v>
      </c>
      <c r="H4" s="5">
        <v>0.46224999999999999</v>
      </c>
      <c r="I4" s="15">
        <v>3.2589999999999999</v>
      </c>
      <c r="J4" s="15">
        <v>3.2719999999999998</v>
      </c>
      <c r="K4" s="3">
        <v>75</v>
      </c>
      <c r="L4" s="15">
        <v>44.93</v>
      </c>
      <c r="M4" s="15">
        <f t="shared" ref="M4:M23" si="1">(2*J4)/SQRT(L4)</f>
        <v>0.97628154860219929</v>
      </c>
      <c r="N4" s="15">
        <v>0.8</v>
      </c>
    </row>
    <row r="5" spans="1:16" ht="12.75" customHeight="1" x14ac:dyDescent="0.2">
      <c r="A5" t="s">
        <v>138</v>
      </c>
      <c r="B5" s="3">
        <v>65</v>
      </c>
      <c r="C5" s="3">
        <v>48</v>
      </c>
      <c r="D5" s="4">
        <f>120-(B5+C5)</f>
        <v>7</v>
      </c>
      <c r="E5" s="13">
        <v>0.57030000000000003</v>
      </c>
      <c r="F5" s="13">
        <v>0.39979999999999999</v>
      </c>
      <c r="G5" s="5">
        <v>0.42296</v>
      </c>
      <c r="H5" s="5">
        <v>0.51629000000000003</v>
      </c>
      <c r="I5" s="15">
        <v>1.9279999999999999</v>
      </c>
      <c r="J5" s="15">
        <v>1.871</v>
      </c>
      <c r="K5" s="3">
        <v>111</v>
      </c>
      <c r="L5" s="15">
        <v>89.066000000000003</v>
      </c>
      <c r="M5" s="15">
        <f t="shared" si="1"/>
        <v>0.39650421552750836</v>
      </c>
      <c r="N5" s="15">
        <v>0.36</v>
      </c>
    </row>
    <row r="6" spans="1:16" ht="12.75" customHeight="1" x14ac:dyDescent="0.2">
      <c r="A6" t="s">
        <v>139</v>
      </c>
      <c r="B6" s="3">
        <v>58</v>
      </c>
      <c r="C6" s="3">
        <v>22</v>
      </c>
      <c r="D6" s="4">
        <f>84-(B6+C6)</f>
        <v>4</v>
      </c>
      <c r="E6" s="13">
        <v>0.73509999999999998</v>
      </c>
      <c r="F6" s="13">
        <v>0.3402</v>
      </c>
      <c r="G6" s="5">
        <v>0.41877999999999999</v>
      </c>
      <c r="H6" s="5">
        <v>0.45266000000000001</v>
      </c>
      <c r="I6" s="15">
        <v>3.6840000000000002</v>
      </c>
      <c r="J6" s="15">
        <v>3.5550000000000002</v>
      </c>
      <c r="K6" s="3">
        <v>78</v>
      </c>
      <c r="L6" s="15">
        <v>35.470999999999997</v>
      </c>
      <c r="M6" s="15">
        <f t="shared" si="1"/>
        <v>1.1938036010424478</v>
      </c>
      <c r="N6" s="15">
        <v>0.91</v>
      </c>
    </row>
    <row r="7" spans="1:16" ht="12.75" customHeight="1" x14ac:dyDescent="0.2">
      <c r="A7" t="s">
        <v>140</v>
      </c>
      <c r="B7" s="3">
        <v>57</v>
      </c>
      <c r="C7" s="3">
        <v>29</v>
      </c>
      <c r="D7" s="4">
        <f>95-(B7+C7)</f>
        <v>9</v>
      </c>
      <c r="E7" s="13">
        <v>0.5776</v>
      </c>
      <c r="F7" s="13">
        <v>0.359331715867521</v>
      </c>
      <c r="G7" s="5">
        <v>0.46346999999999999</v>
      </c>
      <c r="H7" s="5">
        <v>0.40934999999999999</v>
      </c>
      <c r="I7" s="15">
        <v>2.145</v>
      </c>
      <c r="J7" s="15">
        <v>2.234</v>
      </c>
      <c r="K7" s="3">
        <v>84</v>
      </c>
      <c r="L7" s="15">
        <v>63.027999999999999</v>
      </c>
      <c r="M7" s="15">
        <f t="shared" si="1"/>
        <v>0.56279003790850368</v>
      </c>
      <c r="N7" s="15">
        <v>0.5</v>
      </c>
    </row>
    <row r="8" spans="1:16" ht="12.75" customHeight="1" x14ac:dyDescent="0.2">
      <c r="A8" t="s">
        <v>141</v>
      </c>
      <c r="B8" s="3">
        <v>72</v>
      </c>
      <c r="C8" s="3">
        <v>16</v>
      </c>
      <c r="D8" s="4">
        <f>96-(B8+C8)</f>
        <v>8</v>
      </c>
      <c r="E8" s="13">
        <v>0.323081917518175</v>
      </c>
      <c r="F8" s="13">
        <v>0.31380000000000002</v>
      </c>
      <c r="G8" s="5">
        <v>0.50600000000000001</v>
      </c>
      <c r="H8" s="5">
        <v>0.48786000000000002</v>
      </c>
      <c r="I8" s="15">
        <v>4.2999999999999997E-2</v>
      </c>
      <c r="J8" s="15">
        <v>4.3999999999999997E-2</v>
      </c>
      <c r="K8" s="3">
        <v>86</v>
      </c>
      <c r="L8" s="15">
        <v>22.754000000000001</v>
      </c>
      <c r="M8" s="15">
        <f t="shared" si="1"/>
        <v>1.8448191378565952E-2</v>
      </c>
      <c r="N8" s="15">
        <v>0.01</v>
      </c>
    </row>
    <row r="9" spans="1:16" ht="12.75" customHeight="1" x14ac:dyDescent="0.2">
      <c r="A9" t="s">
        <v>142</v>
      </c>
      <c r="B9" s="3">
        <v>69</v>
      </c>
      <c r="C9" s="3">
        <v>28</v>
      </c>
      <c r="D9" s="4">
        <f>102-(B9+C9)</f>
        <v>5</v>
      </c>
      <c r="E9" s="13">
        <v>0.34100000000000003</v>
      </c>
      <c r="F9" s="13">
        <v>0.25940000000000002</v>
      </c>
      <c r="G9" s="5">
        <v>0.43486999999999998</v>
      </c>
      <c r="H9" s="5">
        <v>0.43969000000000003</v>
      </c>
      <c r="I9" s="15">
        <v>0.83499999999999996</v>
      </c>
      <c r="J9" s="15">
        <v>0.83099999999999996</v>
      </c>
      <c r="K9" s="3">
        <v>95</v>
      </c>
      <c r="L9" s="15">
        <v>49.587000000000003</v>
      </c>
      <c r="M9" s="15">
        <f t="shared" si="1"/>
        <v>0.23601907407556072</v>
      </c>
      <c r="N9" s="15">
        <v>0.19</v>
      </c>
    </row>
    <row r="10" spans="1:16" ht="12.75" customHeight="1" x14ac:dyDescent="0.2">
      <c r="A10" t="s">
        <v>143</v>
      </c>
      <c r="B10" s="3">
        <v>71</v>
      </c>
      <c r="C10" s="3">
        <v>17</v>
      </c>
      <c r="D10" s="4">
        <f>90-(B10+C10)</f>
        <v>2</v>
      </c>
      <c r="E10" s="13">
        <v>0.55989999999999995</v>
      </c>
      <c r="F10" s="13">
        <v>0.27460000000000001</v>
      </c>
      <c r="G10" s="5">
        <v>0.45667000000000002</v>
      </c>
      <c r="H10" s="5">
        <v>0.55742000000000003</v>
      </c>
      <c r="I10" s="15">
        <v>2.2149999999999999</v>
      </c>
      <c r="J10" s="15">
        <v>1.9590000000000001</v>
      </c>
      <c r="K10" s="3">
        <v>86</v>
      </c>
      <c r="L10" s="15">
        <v>21.428999999999998</v>
      </c>
      <c r="M10" s="15">
        <f t="shared" si="1"/>
        <v>0.84637627149167016</v>
      </c>
      <c r="N10" s="15">
        <v>0.56000000000000005</v>
      </c>
    </row>
    <row r="11" spans="1:16" ht="12.75" customHeight="1" x14ac:dyDescent="0.2">
      <c r="A11" t="s">
        <v>144</v>
      </c>
      <c r="B11" s="3">
        <v>137</v>
      </c>
      <c r="C11" s="3">
        <v>30</v>
      </c>
      <c r="D11" s="4">
        <f>174-(B11+C11)</f>
        <v>7</v>
      </c>
      <c r="E11" s="13">
        <v>0.51490000000000002</v>
      </c>
      <c r="F11" s="13">
        <v>0.1017</v>
      </c>
      <c r="G11" s="5">
        <v>0.48892999999999998</v>
      </c>
      <c r="H11" s="5">
        <v>0.54207000000000005</v>
      </c>
      <c r="I11" s="15">
        <v>4.1109999999999998</v>
      </c>
      <c r="J11" s="15">
        <v>3.847</v>
      </c>
      <c r="K11" s="3">
        <v>165</v>
      </c>
      <c r="L11" s="15">
        <v>39.981999999999999</v>
      </c>
      <c r="M11" s="15">
        <f t="shared" si="1"/>
        <v>1.2168020271301132</v>
      </c>
      <c r="N11" s="15">
        <v>0.8</v>
      </c>
    </row>
    <row r="12" spans="1:16" ht="12.75" customHeight="1" x14ac:dyDescent="0.2">
      <c r="A12" t="s">
        <v>145</v>
      </c>
      <c r="B12" s="3">
        <v>64</v>
      </c>
      <c r="C12" s="3">
        <v>41</v>
      </c>
      <c r="D12" s="4">
        <f>113-(B12+C12)</f>
        <v>8</v>
      </c>
      <c r="E12" s="13">
        <v>0.51149999999999995</v>
      </c>
      <c r="F12" s="13">
        <v>0.11</v>
      </c>
      <c r="G12" s="5">
        <v>0.49067</v>
      </c>
      <c r="H12" s="5">
        <v>0.4199</v>
      </c>
      <c r="I12" s="15">
        <v>4.3209999999999997</v>
      </c>
      <c r="J12" s="15">
        <v>4.4710000000000001</v>
      </c>
      <c r="K12" s="3">
        <v>103</v>
      </c>
      <c r="L12" s="15">
        <v>94.619</v>
      </c>
      <c r="M12" s="15">
        <f t="shared" si="1"/>
        <v>0.91927508284514525</v>
      </c>
      <c r="N12" s="15">
        <v>0.88</v>
      </c>
    </row>
    <row r="13" spans="1:16" ht="12.75" customHeight="1" x14ac:dyDescent="0.2">
      <c r="A13" t="s">
        <v>146</v>
      </c>
      <c r="B13" s="3">
        <v>59</v>
      </c>
      <c r="C13" s="3">
        <v>49</v>
      </c>
      <c r="D13" s="4">
        <f>112-(B13+C13)</f>
        <v>4</v>
      </c>
      <c r="E13" s="13">
        <v>0.58040000000000003</v>
      </c>
      <c r="F13" s="13">
        <v>0.16919999999999999</v>
      </c>
      <c r="G13" s="5">
        <v>0.4103</v>
      </c>
      <c r="H13" s="5">
        <v>0.44007000000000002</v>
      </c>
      <c r="I13" s="15">
        <v>5.0170000000000003</v>
      </c>
      <c r="J13" s="15">
        <v>4.9850000000000003</v>
      </c>
      <c r="K13" s="3">
        <v>106</v>
      </c>
      <c r="L13" s="15">
        <v>99.433999999999997</v>
      </c>
      <c r="M13" s="15">
        <f t="shared" si="1"/>
        <v>0.99983354408414282</v>
      </c>
      <c r="N13" s="15">
        <v>0.97</v>
      </c>
    </row>
    <row r="14" spans="1:16" ht="12.75" customHeight="1" x14ac:dyDescent="0.2">
      <c r="A14" t="s">
        <v>147</v>
      </c>
      <c r="B14" s="3">
        <v>176</v>
      </c>
      <c r="C14" s="3">
        <v>91</v>
      </c>
      <c r="D14" s="4">
        <f>277-(B14+C14)</f>
        <v>10</v>
      </c>
      <c r="E14" s="13">
        <v>0.52251831618821198</v>
      </c>
      <c r="F14" s="13">
        <v>0.16009999999999999</v>
      </c>
      <c r="G14" s="5">
        <v>0.45267000000000002</v>
      </c>
      <c r="H14" s="5">
        <v>0.48268</v>
      </c>
      <c r="I14" s="15">
        <v>6.05</v>
      </c>
      <c r="J14" s="15">
        <v>5.9279999999999999</v>
      </c>
      <c r="K14" s="3">
        <v>265</v>
      </c>
      <c r="L14" s="15">
        <v>172.15799999999999</v>
      </c>
      <c r="M14" s="15">
        <f t="shared" si="1"/>
        <v>0.90359659618066424</v>
      </c>
      <c r="N14" s="15">
        <v>0.77</v>
      </c>
    </row>
    <row r="15" spans="1:16" ht="12.75" customHeight="1" x14ac:dyDescent="0.2">
      <c r="A15" t="s">
        <v>148</v>
      </c>
      <c r="B15" s="3">
        <v>121</v>
      </c>
      <c r="C15" s="3">
        <v>20</v>
      </c>
      <c r="D15" s="4">
        <f>146-(B15+C15)</f>
        <v>5</v>
      </c>
      <c r="E15" s="13">
        <v>0.48048077729504102</v>
      </c>
      <c r="F15" s="13">
        <v>9.6516818469273999E-2</v>
      </c>
      <c r="G15" s="5">
        <v>0.45051999999999998</v>
      </c>
      <c r="H15" s="5">
        <v>0.46039000000000002</v>
      </c>
      <c r="I15" s="15">
        <v>3.528</v>
      </c>
      <c r="J15" s="15">
        <v>3.4740000000000002</v>
      </c>
      <c r="K15" s="3">
        <v>139</v>
      </c>
      <c r="L15" s="15">
        <v>25.39</v>
      </c>
      <c r="M15" s="15">
        <f t="shared" si="1"/>
        <v>1.3788863084941625</v>
      </c>
      <c r="N15" s="15">
        <v>0.85</v>
      </c>
    </row>
    <row r="16" spans="1:16" ht="12.75" customHeight="1" x14ac:dyDescent="0.2">
      <c r="A16" t="s">
        <v>149</v>
      </c>
      <c r="B16" s="3">
        <v>71</v>
      </c>
      <c r="C16" s="3">
        <v>20</v>
      </c>
      <c r="D16" s="4">
        <f>98-(B16+C16)</f>
        <v>7</v>
      </c>
      <c r="E16" s="13">
        <v>0.56114933929365296</v>
      </c>
      <c r="F16" s="13">
        <v>0.2505</v>
      </c>
      <c r="G16" s="5">
        <v>0.45779999999999998</v>
      </c>
      <c r="H16" s="5">
        <v>0.53795999999999999</v>
      </c>
      <c r="I16" s="15">
        <v>2.5129999999999999</v>
      </c>
      <c r="J16" s="15">
        <v>2.294</v>
      </c>
      <c r="K16" s="3">
        <v>89</v>
      </c>
      <c r="L16" s="15">
        <v>27.234999999999999</v>
      </c>
      <c r="M16" s="15">
        <f t="shared" si="1"/>
        <v>0.87914339869921632</v>
      </c>
      <c r="N16" s="15">
        <v>0.61</v>
      </c>
    </row>
    <row r="17" spans="1:14" ht="12.75" customHeight="1" x14ac:dyDescent="0.2">
      <c r="A17" t="s">
        <v>150</v>
      </c>
      <c r="B17" s="3">
        <v>52</v>
      </c>
      <c r="C17" s="3">
        <v>9</v>
      </c>
      <c r="D17" s="4">
        <f>85-(B17+C17)</f>
        <v>24</v>
      </c>
      <c r="E17" s="13">
        <v>0.63729999999999998</v>
      </c>
      <c r="F17" s="13">
        <v>0.44769999999999999</v>
      </c>
      <c r="G17" s="5">
        <v>0.47858000000000001</v>
      </c>
      <c r="H17" s="5">
        <v>0.54227000000000003</v>
      </c>
      <c r="I17" s="15">
        <v>1.077</v>
      </c>
      <c r="J17" s="15">
        <v>0.98399999999999999</v>
      </c>
      <c r="K17" s="3">
        <v>59</v>
      </c>
      <c r="L17" s="15">
        <v>10.273</v>
      </c>
      <c r="M17" s="15">
        <f t="shared" si="1"/>
        <v>0.61401142194790492</v>
      </c>
      <c r="N17" s="15">
        <v>0.37</v>
      </c>
    </row>
    <row r="18" spans="1:14" ht="12.75" customHeight="1" x14ac:dyDescent="0.2">
      <c r="A18" t="s">
        <v>151</v>
      </c>
      <c r="B18" s="3">
        <v>484</v>
      </c>
      <c r="C18" s="3">
        <v>410</v>
      </c>
      <c r="D18" s="4">
        <f>1000-(B18+C18)</f>
        <v>106</v>
      </c>
      <c r="E18" s="13">
        <v>0.58550000000000002</v>
      </c>
      <c r="F18" s="13">
        <v>0.33239999999999997</v>
      </c>
      <c r="G18" s="5">
        <v>0.45340000000000003</v>
      </c>
      <c r="H18" s="5">
        <v>0.46825</v>
      </c>
      <c r="I18" s="15">
        <v>8.1929999999999996</v>
      </c>
      <c r="J18" s="15">
        <v>8.1709999999999994</v>
      </c>
      <c r="K18" s="3">
        <v>892</v>
      </c>
      <c r="L18" s="15">
        <v>858.24099999999999</v>
      </c>
      <c r="M18" s="15">
        <f t="shared" si="1"/>
        <v>0.55782834356296351</v>
      </c>
      <c r="N18" s="15">
        <v>0.55000000000000004</v>
      </c>
    </row>
    <row r="19" spans="1:14" ht="12.75" customHeight="1" x14ac:dyDescent="0.2">
      <c r="A19" t="s">
        <v>152</v>
      </c>
      <c r="B19" s="3">
        <v>60</v>
      </c>
      <c r="C19" s="3">
        <v>30</v>
      </c>
      <c r="D19" s="4">
        <f>107-(B19+C19)</f>
        <v>17</v>
      </c>
      <c r="E19" s="13">
        <v>0.37059999999999998</v>
      </c>
      <c r="F19" s="13">
        <v>0.11550000000000001</v>
      </c>
      <c r="G19" s="5">
        <v>0.42009000000000002</v>
      </c>
      <c r="H19" s="5">
        <v>0.41391</v>
      </c>
      <c r="I19" s="15">
        <v>2.7290000000000001</v>
      </c>
      <c r="J19" s="15">
        <v>2.7429999999999999</v>
      </c>
      <c r="K19" s="3">
        <v>88</v>
      </c>
      <c r="L19" s="15">
        <v>58.886000000000003</v>
      </c>
      <c r="M19" s="15">
        <f t="shared" si="1"/>
        <v>0.71490737281838401</v>
      </c>
      <c r="N19" s="15">
        <v>0.61</v>
      </c>
    </row>
    <row r="20" spans="1:14" ht="12.75" customHeight="1" x14ac:dyDescent="0.2">
      <c r="A20" t="s">
        <v>153</v>
      </c>
      <c r="B20" s="3">
        <v>85</v>
      </c>
      <c r="C20" s="3">
        <v>32</v>
      </c>
      <c r="D20" s="4">
        <f>123-(B20+C20)</f>
        <v>6</v>
      </c>
      <c r="E20" s="13">
        <v>0.58430000000000004</v>
      </c>
      <c r="F20" s="13">
        <v>0.26479999999999998</v>
      </c>
      <c r="G20" s="5">
        <v>0.51431000000000004</v>
      </c>
      <c r="H20" s="5">
        <v>0.52888999999999997</v>
      </c>
      <c r="I20" s="15">
        <v>2.9729999999999999</v>
      </c>
      <c r="J20" s="15">
        <v>2.9350000000000001</v>
      </c>
      <c r="K20" s="3">
        <v>115</v>
      </c>
      <c r="L20" s="15">
        <v>54.454000000000001</v>
      </c>
      <c r="M20" s="15">
        <f t="shared" si="1"/>
        <v>0.79546890511580248</v>
      </c>
      <c r="N20" s="15">
        <v>0.61</v>
      </c>
    </row>
    <row r="21" spans="1:14" ht="12.75" customHeight="1" x14ac:dyDescent="0.2">
      <c r="A21" t="s">
        <v>154</v>
      </c>
      <c r="B21" s="3">
        <v>809</v>
      </c>
      <c r="C21" s="3">
        <v>427</v>
      </c>
      <c r="D21" s="4">
        <f>1329-(B21+C21)</f>
        <v>93</v>
      </c>
      <c r="E21" s="13">
        <v>0.61329999999999996</v>
      </c>
      <c r="F21" s="13">
        <v>0.3221</v>
      </c>
      <c r="G21" s="5">
        <v>0.43930000000000002</v>
      </c>
      <c r="H21" s="5">
        <v>0.49878</v>
      </c>
      <c r="I21" s="15">
        <v>10.565</v>
      </c>
      <c r="J21" s="15">
        <v>10.16</v>
      </c>
      <c r="K21" s="3">
        <v>1.234</v>
      </c>
      <c r="L21" s="15">
        <v>777.52499999999998</v>
      </c>
      <c r="M21" s="15">
        <f t="shared" si="1"/>
        <v>0.72872978846394609</v>
      </c>
      <c r="N21" s="15">
        <v>0.62</v>
      </c>
    </row>
    <row r="22" spans="1:14" ht="12.75" customHeight="1" x14ac:dyDescent="0.2">
      <c r="A22" t="s">
        <v>155</v>
      </c>
      <c r="B22" s="3">
        <v>74</v>
      </c>
      <c r="C22" s="3">
        <v>15</v>
      </c>
      <c r="D22" s="4">
        <f>95-(B22+C22)</f>
        <v>6</v>
      </c>
      <c r="E22" s="13">
        <v>0.46339999999999998</v>
      </c>
      <c r="F22" s="13">
        <v>0.1792</v>
      </c>
      <c r="G22" s="5">
        <v>0.5121</v>
      </c>
      <c r="H22" s="5">
        <v>0.46196999999999999</v>
      </c>
      <c r="I22" s="15">
        <v>1.99</v>
      </c>
      <c r="J22" s="15">
        <v>2.1320000000000001</v>
      </c>
      <c r="K22" s="3">
        <v>87</v>
      </c>
      <c r="L22" s="15">
        <v>21.585999999999999</v>
      </c>
      <c r="M22" s="15">
        <f t="shared" si="1"/>
        <v>0.91776419335868753</v>
      </c>
      <c r="N22" s="15">
        <v>0.57999999999999996</v>
      </c>
    </row>
    <row r="23" spans="1:14" ht="12.75" customHeight="1" x14ac:dyDescent="0.2">
      <c r="A23" t="s">
        <v>156</v>
      </c>
      <c r="B23" s="3">
        <v>74</v>
      </c>
      <c r="C23" s="3">
        <v>19</v>
      </c>
      <c r="D23" s="4">
        <f>103-(B23+C23)</f>
        <v>10</v>
      </c>
      <c r="E23" s="13">
        <v>0.35251088895721799</v>
      </c>
      <c r="F23" s="13">
        <v>0.19570000000000001</v>
      </c>
      <c r="G23" s="5">
        <v>0.48612</v>
      </c>
      <c r="H23" s="5">
        <v>0.56615000000000004</v>
      </c>
      <c r="I23" s="15">
        <v>1.2250000000000001</v>
      </c>
      <c r="J23" s="15">
        <v>1.119</v>
      </c>
      <c r="K23" s="3">
        <v>91</v>
      </c>
      <c r="L23" s="15">
        <v>25.236999999999998</v>
      </c>
      <c r="M23" s="15">
        <f t="shared" si="1"/>
        <v>0.44549334255729128</v>
      </c>
      <c r="N23" s="15">
        <v>0.3</v>
      </c>
    </row>
    <row r="24" spans="1:14" ht="12.75" customHeight="1" x14ac:dyDescent="0.2">
      <c r="A24" t="s">
        <v>157</v>
      </c>
      <c r="B24" s="3">
        <v>4</v>
      </c>
      <c r="C24" s="3">
        <v>4</v>
      </c>
      <c r="D24" s="4">
        <f>86-(B24+C24)</f>
        <v>78</v>
      </c>
      <c r="E24" s="13">
        <v>0.2356</v>
      </c>
      <c r="F24" s="13">
        <v>-9.5799999999999996E-2</v>
      </c>
      <c r="G24" s="5">
        <v>0.21551000000000001</v>
      </c>
      <c r="H24" s="5">
        <v>0.63863999999999999</v>
      </c>
      <c r="I24" s="17" t="s">
        <v>220</v>
      </c>
      <c r="J24" s="17"/>
      <c r="K24" s="18"/>
      <c r="L24" s="17"/>
      <c r="M24" s="17"/>
      <c r="N24" s="17"/>
    </row>
    <row r="25" spans="1:14" ht="12.75" customHeight="1" x14ac:dyDescent="0.2">
      <c r="A25" t="s">
        <v>158</v>
      </c>
      <c r="B25" s="3">
        <v>117</v>
      </c>
      <c r="C25" s="3">
        <v>38</v>
      </c>
      <c r="D25" s="4">
        <f>162-(B25+C25)</f>
        <v>7</v>
      </c>
      <c r="E25" s="13">
        <v>0.46899742613837903</v>
      </c>
      <c r="F25" s="13">
        <v>0.22359999999999999</v>
      </c>
      <c r="G25" s="5">
        <v>0.54754000000000003</v>
      </c>
      <c r="H25" s="5">
        <v>0.48509000000000002</v>
      </c>
      <c r="I25" s="15">
        <v>2.4420000000000002</v>
      </c>
      <c r="J25" s="15">
        <v>2.5979999999999999</v>
      </c>
      <c r="K25" s="3">
        <v>153</v>
      </c>
      <c r="L25" s="15">
        <v>70.126999999999995</v>
      </c>
      <c r="M25" s="15">
        <f t="shared" ref="M25:M39" si="2">(2*J25)/SQRT(L25)</f>
        <v>0.62047817812979678</v>
      </c>
      <c r="N25" s="15">
        <v>0.47</v>
      </c>
    </row>
    <row r="26" spans="1:14" ht="12.75" customHeight="1" x14ac:dyDescent="0.2">
      <c r="A26" t="s">
        <v>159</v>
      </c>
      <c r="B26" s="3">
        <v>51</v>
      </c>
      <c r="C26" s="3">
        <v>25</v>
      </c>
      <c r="D26" s="4">
        <f>79-(B26+C26)</f>
        <v>3</v>
      </c>
      <c r="E26" s="13">
        <v>0.51429999999999998</v>
      </c>
      <c r="F26" s="13">
        <v>0.366316114073169</v>
      </c>
      <c r="G26" s="5">
        <v>0.33056999999999997</v>
      </c>
      <c r="H26" s="5">
        <v>0.39445999999999998</v>
      </c>
      <c r="I26" s="15">
        <v>1.72</v>
      </c>
      <c r="J26" s="15">
        <v>1.6180000000000001</v>
      </c>
      <c r="K26" s="3">
        <v>74</v>
      </c>
      <c r="L26" s="15">
        <v>41.034999999999997</v>
      </c>
      <c r="M26" s="15">
        <f t="shared" si="2"/>
        <v>0.50516272123331263</v>
      </c>
      <c r="N26" s="15">
        <v>0.41</v>
      </c>
    </row>
    <row r="27" spans="1:14" ht="12.75" customHeight="1" x14ac:dyDescent="0.2">
      <c r="A27" t="s">
        <v>160</v>
      </c>
      <c r="B27" s="3">
        <v>112</v>
      </c>
      <c r="C27" s="3">
        <v>53</v>
      </c>
      <c r="D27" s="4">
        <f>169-(B27+C27)</f>
        <v>4</v>
      </c>
      <c r="E27" s="13">
        <v>0.50801165373606505</v>
      </c>
      <c r="F27" s="13">
        <v>0.23836682234318399</v>
      </c>
      <c r="G27" s="5">
        <v>0.43339</v>
      </c>
      <c r="H27" s="5">
        <v>0.51466000000000001</v>
      </c>
      <c r="I27" s="15">
        <v>3.5089999999999999</v>
      </c>
      <c r="J27" s="15">
        <v>3.3</v>
      </c>
      <c r="K27" s="3">
        <v>163</v>
      </c>
      <c r="L27" s="15">
        <v>88.105999999999995</v>
      </c>
      <c r="M27" s="15">
        <f t="shared" si="2"/>
        <v>0.70313900997324219</v>
      </c>
      <c r="N27" s="15">
        <v>0.56999999999999995</v>
      </c>
    </row>
    <row r="28" spans="1:14" ht="12.75" customHeight="1" x14ac:dyDescent="0.2">
      <c r="A28" t="s">
        <v>161</v>
      </c>
      <c r="B28" s="3">
        <v>121</v>
      </c>
      <c r="C28" s="3">
        <v>58</v>
      </c>
      <c r="D28" s="4">
        <f>187-(B28+C28)</f>
        <v>8</v>
      </c>
      <c r="E28" s="13">
        <v>0.42020000000000002</v>
      </c>
      <c r="F28" s="13">
        <v>0.2361</v>
      </c>
      <c r="G28" s="5">
        <v>0.46468999999999999</v>
      </c>
      <c r="H28" s="5">
        <v>0.45156000000000002</v>
      </c>
      <c r="I28" s="15">
        <v>2.504</v>
      </c>
      <c r="J28" s="15">
        <v>2.5299999999999998</v>
      </c>
      <c r="K28" s="3">
        <v>177</v>
      </c>
      <c r="L28" s="15">
        <v>115.429</v>
      </c>
      <c r="M28" s="15">
        <f t="shared" si="2"/>
        <v>0.47096978966300213</v>
      </c>
      <c r="N28" s="15">
        <v>0.4</v>
      </c>
    </row>
    <row r="29" spans="1:14" ht="12.75" customHeight="1" x14ac:dyDescent="0.2">
      <c r="A29" t="s">
        <v>162</v>
      </c>
      <c r="B29" s="3">
        <v>69</v>
      </c>
      <c r="C29" s="3">
        <v>15</v>
      </c>
      <c r="D29" s="4">
        <f>87-(B29+C29)</f>
        <v>3</v>
      </c>
      <c r="E29" s="13">
        <v>0.55889999999999995</v>
      </c>
      <c r="F29" s="13">
        <v>0.27779999999999999</v>
      </c>
      <c r="G29" s="5">
        <v>0.42347000000000001</v>
      </c>
      <c r="H29" s="5">
        <v>0.43357000000000001</v>
      </c>
      <c r="I29" s="15">
        <v>2.3199999999999998</v>
      </c>
      <c r="J29" s="15">
        <v>2.2850000000000001</v>
      </c>
      <c r="K29" s="3">
        <v>82</v>
      </c>
      <c r="L29" s="15">
        <v>20.23</v>
      </c>
      <c r="M29" s="15">
        <f t="shared" si="2"/>
        <v>1.0160574362659816</v>
      </c>
      <c r="N29" s="15">
        <v>0.66</v>
      </c>
    </row>
    <row r="30" spans="1:14" ht="12.75" customHeight="1" x14ac:dyDescent="0.2">
      <c r="A30" t="s">
        <v>163</v>
      </c>
      <c r="B30" s="3">
        <v>163</v>
      </c>
      <c r="C30" s="3">
        <v>45</v>
      </c>
      <c r="D30" s="4">
        <f>225-(B30+C30)</f>
        <v>17</v>
      </c>
      <c r="E30" s="13">
        <v>0.28549999999999998</v>
      </c>
      <c r="F30" s="13">
        <v>0.2228</v>
      </c>
      <c r="G30" s="5">
        <v>0.52236000000000005</v>
      </c>
      <c r="H30" s="5">
        <v>0.55520000000000003</v>
      </c>
      <c r="I30" s="15">
        <v>0.70299999999999996</v>
      </c>
      <c r="J30" s="15">
        <v>0.67900000000000005</v>
      </c>
      <c r="K30" s="3">
        <v>206</v>
      </c>
      <c r="L30" s="15">
        <v>67.046000000000006</v>
      </c>
      <c r="M30" s="15">
        <f t="shared" si="2"/>
        <v>0.16584918190339271</v>
      </c>
      <c r="N30" s="15">
        <v>0.12</v>
      </c>
    </row>
    <row r="31" spans="1:14" ht="12.75" customHeight="1" x14ac:dyDescent="0.2">
      <c r="A31" t="s">
        <v>164</v>
      </c>
      <c r="B31" s="3">
        <v>58</v>
      </c>
      <c r="C31" s="3">
        <v>20</v>
      </c>
      <c r="D31" s="4">
        <f>80-(B31+C31)</f>
        <v>2</v>
      </c>
      <c r="E31" s="13">
        <v>0.48559999999999998</v>
      </c>
      <c r="F31" s="13">
        <v>0.42870000000000003</v>
      </c>
      <c r="G31" s="5">
        <v>0.54783999999999999</v>
      </c>
      <c r="H31" s="5">
        <v>0.48426000000000002</v>
      </c>
      <c r="I31" s="15">
        <v>0.41199999999999998</v>
      </c>
      <c r="J31" s="15">
        <v>0.438</v>
      </c>
      <c r="K31" s="3">
        <v>76</v>
      </c>
      <c r="L31" s="15">
        <v>37.064</v>
      </c>
      <c r="M31" s="15">
        <f t="shared" si="2"/>
        <v>0.14388912200084769</v>
      </c>
      <c r="N31" s="15">
        <v>0.11</v>
      </c>
    </row>
    <row r="32" spans="1:14" ht="12.75" customHeight="1" x14ac:dyDescent="0.2">
      <c r="A32" t="s">
        <v>165</v>
      </c>
      <c r="B32" s="3">
        <v>94</v>
      </c>
      <c r="C32" s="3">
        <v>31</v>
      </c>
      <c r="D32" s="4">
        <f>127-(B32+C32)</f>
        <v>2</v>
      </c>
      <c r="E32" s="13">
        <v>0.41889999999999999</v>
      </c>
      <c r="F32" s="13">
        <v>3.1191356028753E-2</v>
      </c>
      <c r="G32" s="5">
        <v>0.55481000000000003</v>
      </c>
      <c r="H32" s="5">
        <v>0.54673000000000005</v>
      </c>
      <c r="I32" s="15">
        <v>3.3860000000000001</v>
      </c>
      <c r="J32" s="15">
        <v>3.4119999999999999</v>
      </c>
      <c r="K32" s="3">
        <v>123</v>
      </c>
      <c r="L32" s="15">
        <v>51.905000000000001</v>
      </c>
      <c r="M32" s="15">
        <f t="shared" si="2"/>
        <v>0.94718414658026917</v>
      </c>
      <c r="N32" s="15">
        <v>0.7</v>
      </c>
    </row>
    <row r="33" spans="1:14" ht="12.75" customHeight="1" x14ac:dyDescent="0.2">
      <c r="A33" t="s">
        <v>166</v>
      </c>
      <c r="B33" s="3">
        <v>86</v>
      </c>
      <c r="C33" s="3">
        <v>48</v>
      </c>
      <c r="D33" s="4">
        <f>144-(B33+C33)</f>
        <v>10</v>
      </c>
      <c r="E33" s="13">
        <v>0.4672</v>
      </c>
      <c r="F33" s="13">
        <v>0.11325861356906999</v>
      </c>
      <c r="G33" s="5">
        <v>0.47589999999999999</v>
      </c>
      <c r="H33" s="5">
        <v>0.46078000000000002</v>
      </c>
      <c r="I33" s="15">
        <v>4.1749999999999998</v>
      </c>
      <c r="J33" s="15">
        <v>4.2140000000000004</v>
      </c>
      <c r="K33" s="3">
        <v>132</v>
      </c>
      <c r="L33" s="15">
        <v>100.021</v>
      </c>
      <c r="M33" s="15">
        <f t="shared" si="2"/>
        <v>0.84271151993536642</v>
      </c>
      <c r="N33" s="15">
        <v>0.76</v>
      </c>
    </row>
    <row r="34" spans="1:14" ht="12.75" customHeight="1" x14ac:dyDescent="0.2">
      <c r="A34" t="s">
        <v>167</v>
      </c>
      <c r="B34" s="3">
        <v>57</v>
      </c>
      <c r="C34" s="3">
        <v>24</v>
      </c>
      <c r="D34" s="4">
        <f>81-(B34+C34)</f>
        <v>0</v>
      </c>
      <c r="E34" s="13">
        <v>0.62339999999999995</v>
      </c>
      <c r="F34" s="13">
        <v>9.9233176153454006E-2</v>
      </c>
      <c r="G34" s="5">
        <v>0.43176999999999999</v>
      </c>
      <c r="H34" s="5">
        <v>0.52186999999999995</v>
      </c>
      <c r="I34" s="15">
        <v>4.6849999999999996</v>
      </c>
      <c r="J34" s="15">
        <v>4.335</v>
      </c>
      <c r="K34" s="3">
        <v>79</v>
      </c>
      <c r="L34" s="15">
        <v>36.908999999999999</v>
      </c>
      <c r="M34" s="15">
        <f t="shared" si="2"/>
        <v>1.4270952417642215</v>
      </c>
      <c r="N34" s="15">
        <v>1.1000000000000001</v>
      </c>
    </row>
    <row r="35" spans="1:14" ht="12.75" customHeight="1" x14ac:dyDescent="0.2">
      <c r="A35" t="s">
        <v>168</v>
      </c>
      <c r="B35" s="3">
        <v>77</v>
      </c>
      <c r="C35" s="3">
        <v>24</v>
      </c>
      <c r="D35" s="4">
        <f>108-(B35+C35)</f>
        <v>7</v>
      </c>
      <c r="E35" s="13">
        <v>0.46860606736814803</v>
      </c>
      <c r="F35" s="13">
        <v>6.6430064933634E-2</v>
      </c>
      <c r="G35" s="5">
        <v>0.51275000000000004</v>
      </c>
      <c r="H35" s="5">
        <v>0.56549000000000005</v>
      </c>
      <c r="I35" s="15">
        <v>3.2690000000000001</v>
      </c>
      <c r="J35" s="15">
        <v>3.1040000000000001</v>
      </c>
      <c r="K35" s="3">
        <v>99</v>
      </c>
      <c r="L35" s="15">
        <v>35.591000000000001</v>
      </c>
      <c r="M35" s="15">
        <f t="shared" si="2"/>
        <v>1.0405947080973399</v>
      </c>
      <c r="N35" s="15">
        <v>0.74</v>
      </c>
    </row>
    <row r="36" spans="1:14" ht="12.75" customHeight="1" x14ac:dyDescent="0.2">
      <c r="A36" t="s">
        <v>169</v>
      </c>
      <c r="B36" s="3">
        <v>75</v>
      </c>
      <c r="C36" s="3">
        <v>16</v>
      </c>
      <c r="D36" s="4">
        <f>96-(B36+C36)</f>
        <v>5</v>
      </c>
      <c r="E36" s="13">
        <v>0.61560000000000004</v>
      </c>
      <c r="F36" s="13">
        <v>0.24396562802910701</v>
      </c>
      <c r="G36" s="5">
        <v>0.41236</v>
      </c>
      <c r="H36" s="5">
        <v>0.55066000000000004</v>
      </c>
      <c r="I36" s="15">
        <v>3.0760000000000001</v>
      </c>
      <c r="J36" s="15">
        <v>2.5510000000000002</v>
      </c>
      <c r="K36" s="3">
        <v>89</v>
      </c>
      <c r="L36" s="15">
        <v>18.748999999999999</v>
      </c>
      <c r="M36" s="15">
        <f t="shared" si="2"/>
        <v>1.1782878507905006</v>
      </c>
      <c r="N36" s="15">
        <v>0.77</v>
      </c>
    </row>
    <row r="37" spans="1:14" ht="12.75" customHeight="1" x14ac:dyDescent="0.2">
      <c r="A37" t="s">
        <v>170</v>
      </c>
      <c r="B37" s="3">
        <v>69</v>
      </c>
      <c r="C37" s="3">
        <v>26</v>
      </c>
      <c r="D37" s="4">
        <f>103-(B37+C37)</f>
        <v>8</v>
      </c>
      <c r="E37" s="13">
        <v>0.41460000000000002</v>
      </c>
      <c r="F37" s="13">
        <v>0.2286</v>
      </c>
      <c r="G37" s="5">
        <v>0.53702000000000005</v>
      </c>
      <c r="H37" s="5">
        <v>0.58357999999999999</v>
      </c>
      <c r="I37" s="15">
        <v>1.47</v>
      </c>
      <c r="J37" s="15">
        <v>1.415</v>
      </c>
      <c r="K37" s="3">
        <v>93</v>
      </c>
      <c r="L37" s="15">
        <v>41.93</v>
      </c>
      <c r="M37" s="15">
        <f t="shared" si="2"/>
        <v>0.43704283463248916</v>
      </c>
      <c r="N37" s="15">
        <v>0.33</v>
      </c>
    </row>
    <row r="38" spans="1:14" ht="12.75" customHeight="1" x14ac:dyDescent="0.2">
      <c r="A38" t="s">
        <v>171</v>
      </c>
      <c r="B38" s="3">
        <v>76</v>
      </c>
      <c r="C38" s="3">
        <v>14</v>
      </c>
      <c r="D38" s="4">
        <f>90-(B38+C38)</f>
        <v>0</v>
      </c>
      <c r="E38" s="13">
        <v>0.57769999999999999</v>
      </c>
      <c r="F38" s="13">
        <v>0.53439999999999999</v>
      </c>
      <c r="G38" s="5">
        <v>0.45305000000000001</v>
      </c>
      <c r="H38" s="5">
        <v>0.49915999999999999</v>
      </c>
      <c r="I38" s="15">
        <v>0.32400000000000001</v>
      </c>
      <c r="J38" s="15">
        <v>0.30199999999999999</v>
      </c>
      <c r="K38" s="3">
        <v>88</v>
      </c>
      <c r="L38" s="15">
        <v>17.175999999999998</v>
      </c>
      <c r="M38" s="15">
        <f t="shared" si="2"/>
        <v>0.14573904619376404</v>
      </c>
      <c r="N38" s="15">
        <v>0.09</v>
      </c>
    </row>
    <row r="39" spans="1:14" ht="12.75" customHeight="1" x14ac:dyDescent="0.2">
      <c r="A39" t="s">
        <v>172</v>
      </c>
      <c r="B39" s="3">
        <v>42</v>
      </c>
      <c r="C39" s="3">
        <v>42</v>
      </c>
      <c r="D39" s="4">
        <f>87-(B39+C39)</f>
        <v>3</v>
      </c>
      <c r="E39" s="13">
        <v>0.43459999999999999</v>
      </c>
      <c r="F39" s="13">
        <v>0.1782</v>
      </c>
      <c r="G39" s="5">
        <v>0.53349999999999997</v>
      </c>
      <c r="H39" s="5">
        <v>0.43515999999999999</v>
      </c>
      <c r="I39" s="15">
        <v>2.4140000000000001</v>
      </c>
      <c r="J39" s="15">
        <v>2.4140000000000001</v>
      </c>
      <c r="K39" s="3">
        <v>82</v>
      </c>
      <c r="L39" s="15">
        <v>78.816000000000003</v>
      </c>
      <c r="M39" s="15">
        <f t="shared" si="2"/>
        <v>0.54382612426287091</v>
      </c>
      <c r="N39" s="15">
        <v>0.53</v>
      </c>
    </row>
  </sheetData>
  <mergeCells count="1">
    <mergeCell ref="I24:N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21" customWidth="1"/>
    <col min="3" max="3" width="25.5703125" customWidth="1"/>
    <col min="4" max="6" width="21" customWidth="1"/>
    <col min="7" max="7" width="47.85546875" customWidth="1"/>
  </cols>
  <sheetData>
    <row r="1" spans="1:7" ht="12.75" customHeight="1" x14ac:dyDescent="0.2">
      <c r="A1" t="s">
        <v>117</v>
      </c>
      <c r="B1" s="3" t="s">
        <v>16</v>
      </c>
      <c r="C1" s="4" t="s">
        <v>120</v>
      </c>
      <c r="D1" s="3" t="s">
        <v>221</v>
      </c>
      <c r="E1" s="3"/>
      <c r="F1" s="3"/>
      <c r="G1" s="4" t="s">
        <v>132</v>
      </c>
    </row>
    <row r="2" spans="1:7" ht="40.5" customHeight="1" x14ac:dyDescent="0.2">
      <c r="A2" s="6" t="s">
        <v>133</v>
      </c>
      <c r="B2" s="4">
        <v>5623</v>
      </c>
      <c r="C2" s="4">
        <f>6344-(B2)</f>
        <v>721</v>
      </c>
      <c r="D2" s="15">
        <v>0.38</v>
      </c>
      <c r="E2" s="4"/>
      <c r="F2" s="4"/>
      <c r="G2" t="s">
        <v>218</v>
      </c>
    </row>
    <row r="3" spans="1:7" ht="41.25" customHeight="1" x14ac:dyDescent="0.2">
      <c r="A3" s="6" t="s">
        <v>222</v>
      </c>
      <c r="B3" s="3">
        <f>SUM(B4:B39)</f>
        <v>5623</v>
      </c>
      <c r="C3" s="10" t="s">
        <v>136</v>
      </c>
      <c r="D3" s="15">
        <f>AVERAGE(D4:D23,D25:D39)</f>
        <v>0.38259999999999994</v>
      </c>
      <c r="E3" s="3"/>
      <c r="F3" s="3"/>
      <c r="G3" t="s">
        <v>223</v>
      </c>
    </row>
    <row r="4" spans="1:7" ht="12.75" customHeight="1" x14ac:dyDescent="0.2">
      <c r="A4" t="s">
        <v>137</v>
      </c>
      <c r="B4" s="3">
        <v>75</v>
      </c>
      <c r="C4" s="4">
        <f>84-(B4)</f>
        <v>9</v>
      </c>
      <c r="D4" s="15">
        <v>0.191</v>
      </c>
      <c r="E4" s="4"/>
      <c r="F4" s="4"/>
      <c r="G4" s="4" t="s">
        <v>224</v>
      </c>
    </row>
    <row r="5" spans="1:7" ht="12.75" customHeight="1" x14ac:dyDescent="0.2">
      <c r="A5" t="s">
        <v>138</v>
      </c>
      <c r="B5" s="3">
        <v>111</v>
      </c>
      <c r="C5" s="4">
        <f>120-(B5)</f>
        <v>9</v>
      </c>
      <c r="D5" s="15">
        <v>0.443</v>
      </c>
      <c r="E5" s="4"/>
      <c r="F5" s="4"/>
      <c r="G5" s="4" t="s">
        <v>225</v>
      </c>
    </row>
    <row r="6" spans="1:7" ht="12.75" customHeight="1" x14ac:dyDescent="0.2">
      <c r="A6" t="s">
        <v>139</v>
      </c>
      <c r="B6" s="3">
        <v>79</v>
      </c>
      <c r="C6" s="4">
        <f>84-(B6)</f>
        <v>5</v>
      </c>
      <c r="D6" s="15">
        <v>0.28199999999999997</v>
      </c>
      <c r="E6" s="4"/>
      <c r="F6" s="4"/>
      <c r="G6" s="4"/>
    </row>
    <row r="7" spans="1:7" ht="12.75" customHeight="1" x14ac:dyDescent="0.2">
      <c r="A7" t="s">
        <v>140</v>
      </c>
      <c r="B7" s="3">
        <v>84</v>
      </c>
      <c r="C7" s="4">
        <f>95-(B7)</f>
        <v>11</v>
      </c>
      <c r="D7" s="15">
        <v>0.497</v>
      </c>
      <c r="E7" s="4"/>
      <c r="F7" s="4"/>
      <c r="G7" s="4"/>
    </row>
    <row r="8" spans="1:7" ht="12.75" customHeight="1" x14ac:dyDescent="0.2">
      <c r="A8" t="s">
        <v>141</v>
      </c>
      <c r="B8" s="3">
        <v>85</v>
      </c>
      <c r="C8" s="4">
        <f>96-(B8)</f>
        <v>11</v>
      </c>
      <c r="D8" s="15">
        <v>0.185</v>
      </c>
      <c r="E8" s="4"/>
      <c r="F8" s="4"/>
      <c r="G8" s="4"/>
    </row>
    <row r="9" spans="1:7" ht="12.75" customHeight="1" x14ac:dyDescent="0.2">
      <c r="A9" t="s">
        <v>142</v>
      </c>
      <c r="B9" s="3">
        <v>93</v>
      </c>
      <c r="C9" s="4">
        <f>102-(B9)</f>
        <v>9</v>
      </c>
      <c r="D9" s="15">
        <v>0.34100000000000003</v>
      </c>
      <c r="E9" s="4"/>
      <c r="F9" s="4"/>
      <c r="G9" s="4"/>
    </row>
    <row r="10" spans="1:7" ht="12.75" customHeight="1" x14ac:dyDescent="0.2">
      <c r="A10" t="s">
        <v>143</v>
      </c>
      <c r="B10" s="3">
        <v>83</v>
      </c>
      <c r="C10" s="4">
        <f>90-(B10)</f>
        <v>7</v>
      </c>
      <c r="D10" s="15">
        <v>0.39</v>
      </c>
      <c r="E10" s="4"/>
      <c r="F10" s="4"/>
      <c r="G10" s="4"/>
    </row>
    <row r="11" spans="1:7" ht="12.75" customHeight="1" x14ac:dyDescent="0.2">
      <c r="A11" t="s">
        <v>144</v>
      </c>
      <c r="B11" s="3">
        <v>159</v>
      </c>
      <c r="C11" s="4">
        <f>174-(B11)</f>
        <v>15</v>
      </c>
      <c r="D11" s="15">
        <v>0.498</v>
      </c>
      <c r="E11" s="4"/>
      <c r="F11" s="4"/>
      <c r="G11" s="4"/>
    </row>
    <row r="12" spans="1:7" ht="12.75" customHeight="1" x14ac:dyDescent="0.2">
      <c r="A12" t="s">
        <v>145</v>
      </c>
      <c r="B12" s="3">
        <v>101</v>
      </c>
      <c r="C12" s="4">
        <f>113-(B12)</f>
        <v>12</v>
      </c>
      <c r="D12" s="15">
        <v>0.28899999999999998</v>
      </c>
      <c r="E12" s="4"/>
      <c r="F12" s="4"/>
      <c r="G12" s="4"/>
    </row>
    <row r="13" spans="1:7" ht="12.75" customHeight="1" x14ac:dyDescent="0.2">
      <c r="A13" t="s">
        <v>146</v>
      </c>
      <c r="B13" s="3">
        <v>99</v>
      </c>
      <c r="C13" s="4">
        <f>112-(B13)</f>
        <v>13</v>
      </c>
      <c r="D13" s="15">
        <v>0.38800000000000001</v>
      </c>
      <c r="E13" s="4"/>
      <c r="F13" s="4"/>
      <c r="G13" s="4"/>
    </row>
    <row r="14" spans="1:7" ht="12.75" customHeight="1" x14ac:dyDescent="0.2">
      <c r="A14" t="s">
        <v>147</v>
      </c>
      <c r="B14" s="3">
        <v>259</v>
      </c>
      <c r="C14" s="4">
        <f>277-(B14)</f>
        <v>18</v>
      </c>
      <c r="D14" s="15">
        <v>0.36299999999999999</v>
      </c>
      <c r="E14" s="4"/>
      <c r="F14" s="4"/>
      <c r="G14" s="4"/>
    </row>
    <row r="15" spans="1:7" ht="12.75" customHeight="1" x14ac:dyDescent="0.2">
      <c r="A15" t="s">
        <v>148</v>
      </c>
      <c r="B15" s="3">
        <v>131</v>
      </c>
      <c r="C15" s="4">
        <f>146-(B15)</f>
        <v>15</v>
      </c>
      <c r="D15" s="15">
        <v>0.44800000000000001</v>
      </c>
      <c r="E15" s="4"/>
      <c r="F15" s="4"/>
      <c r="G15" s="4"/>
    </row>
    <row r="16" spans="1:7" ht="12.75" customHeight="1" x14ac:dyDescent="0.2">
      <c r="A16" t="s">
        <v>149</v>
      </c>
      <c r="B16" s="3">
        <v>87</v>
      </c>
      <c r="C16" s="4">
        <f>98-(B16)</f>
        <v>11</v>
      </c>
      <c r="D16" s="15">
        <v>0.41799999999999998</v>
      </c>
      <c r="E16" s="4"/>
      <c r="F16" s="4"/>
      <c r="G16" s="4"/>
    </row>
    <row r="17" spans="1:7" ht="12.75" customHeight="1" x14ac:dyDescent="0.2">
      <c r="A17" t="s">
        <v>150</v>
      </c>
      <c r="B17" s="3">
        <v>58</v>
      </c>
      <c r="C17" s="4">
        <f>85-(B17)</f>
        <v>27</v>
      </c>
      <c r="D17" s="15">
        <v>0.46400000000000002</v>
      </c>
      <c r="E17" s="4"/>
      <c r="F17" s="4"/>
      <c r="G17" s="4"/>
    </row>
    <row r="18" spans="1:7" ht="12.75" customHeight="1" x14ac:dyDescent="0.2">
      <c r="A18" t="s">
        <v>151</v>
      </c>
      <c r="B18" s="3">
        <v>871</v>
      </c>
      <c r="C18" s="4">
        <f>1000-(B18)</f>
        <v>129</v>
      </c>
      <c r="D18" s="15">
        <v>0.32500000000000001</v>
      </c>
      <c r="E18" s="4"/>
      <c r="F18" s="4"/>
      <c r="G18" s="4"/>
    </row>
    <row r="19" spans="1:7" ht="12.75" customHeight="1" x14ac:dyDescent="0.2">
      <c r="A19" t="s">
        <v>152</v>
      </c>
      <c r="B19" s="3">
        <v>87</v>
      </c>
      <c r="C19" s="4">
        <f>107-(B19)</f>
        <v>20</v>
      </c>
      <c r="D19" s="15">
        <v>0.252</v>
      </c>
      <c r="E19" s="4"/>
      <c r="F19" s="4"/>
      <c r="G19" s="4"/>
    </row>
    <row r="20" spans="1:7" ht="12.75" customHeight="1" x14ac:dyDescent="0.2">
      <c r="A20" t="s">
        <v>153</v>
      </c>
      <c r="B20" s="3">
        <v>110</v>
      </c>
      <c r="C20" s="4">
        <f>123-(B20)</f>
        <v>13</v>
      </c>
      <c r="D20" s="15">
        <v>0.38500000000000001</v>
      </c>
      <c r="E20" s="4"/>
      <c r="F20" s="4"/>
      <c r="G20" s="4"/>
    </row>
    <row r="21" spans="1:7" ht="12.75" customHeight="1" x14ac:dyDescent="0.2">
      <c r="A21" t="s">
        <v>154</v>
      </c>
      <c r="B21" s="3">
        <v>1179</v>
      </c>
      <c r="C21" s="4">
        <f>1329-(B21)</f>
        <v>150</v>
      </c>
      <c r="D21" s="15">
        <v>0.35</v>
      </c>
      <c r="E21" s="4"/>
      <c r="F21" s="4"/>
      <c r="G21" s="4"/>
    </row>
    <row r="22" spans="1:7" ht="12.75" customHeight="1" x14ac:dyDescent="0.2">
      <c r="A22" t="s">
        <v>155</v>
      </c>
      <c r="B22" s="3">
        <v>86</v>
      </c>
      <c r="C22" s="4">
        <f>95-(B22)</f>
        <v>9</v>
      </c>
      <c r="D22" s="15">
        <v>0.39500000000000002</v>
      </c>
      <c r="E22" s="4"/>
      <c r="F22" s="4"/>
      <c r="G22" s="4"/>
    </row>
    <row r="23" spans="1:7" ht="12.75" customHeight="1" x14ac:dyDescent="0.2">
      <c r="A23" t="s">
        <v>156</v>
      </c>
      <c r="B23" s="3">
        <v>93</v>
      </c>
      <c r="C23" s="4">
        <f>103-(B23)</f>
        <v>10</v>
      </c>
      <c r="D23" s="15">
        <v>0.43</v>
      </c>
      <c r="E23" s="4"/>
      <c r="F23" s="4"/>
      <c r="G23" s="4"/>
    </row>
    <row r="24" spans="1:7" ht="12.75" customHeight="1" x14ac:dyDescent="0.2">
      <c r="A24" t="s">
        <v>157</v>
      </c>
      <c r="B24" s="3">
        <v>8</v>
      </c>
      <c r="C24" s="4">
        <f>86-(B24)</f>
        <v>78</v>
      </c>
      <c r="D24" s="17" t="s">
        <v>220</v>
      </c>
      <c r="E24" s="16"/>
      <c r="F24" s="16"/>
      <c r="G24" s="4"/>
    </row>
    <row r="25" spans="1:7" ht="12.75" customHeight="1" x14ac:dyDescent="0.2">
      <c r="A25" t="s">
        <v>158</v>
      </c>
      <c r="B25" s="3">
        <v>149</v>
      </c>
      <c r="C25" s="4">
        <f>162-(B25)</f>
        <v>13</v>
      </c>
      <c r="D25" s="15">
        <v>0.34599999999999997</v>
      </c>
      <c r="E25" s="4"/>
      <c r="F25" s="4"/>
      <c r="G25" s="4"/>
    </row>
    <row r="26" spans="1:7" ht="12.75" customHeight="1" x14ac:dyDescent="0.2">
      <c r="A26" t="s">
        <v>159</v>
      </c>
      <c r="B26" s="3">
        <v>73</v>
      </c>
      <c r="C26" s="4">
        <f>79-(B26)</f>
        <v>6</v>
      </c>
      <c r="D26" s="15">
        <v>0.3</v>
      </c>
      <c r="E26" s="4"/>
      <c r="F26" s="4"/>
      <c r="G26" s="4"/>
    </row>
    <row r="27" spans="1:7" ht="12.75" customHeight="1" x14ac:dyDescent="0.2">
      <c r="A27" t="s">
        <v>160</v>
      </c>
      <c r="B27" s="3">
        <v>162</v>
      </c>
      <c r="C27" s="4">
        <f>169-(B27)</f>
        <v>7</v>
      </c>
      <c r="D27" s="15">
        <v>0.41599999999999998</v>
      </c>
      <c r="E27" s="4"/>
      <c r="F27" s="4"/>
      <c r="G27" s="4"/>
    </row>
    <row r="28" spans="1:7" ht="12.75" customHeight="1" x14ac:dyDescent="0.2">
      <c r="A28" t="s">
        <v>161</v>
      </c>
      <c r="B28" s="3">
        <v>175</v>
      </c>
      <c r="C28" s="4">
        <f>187-(B28)</f>
        <v>12</v>
      </c>
      <c r="D28" s="15">
        <v>0.29299999999999998</v>
      </c>
      <c r="E28" s="4"/>
      <c r="F28" s="4"/>
      <c r="G28" s="4"/>
    </row>
    <row r="29" spans="1:7" ht="12.75" customHeight="1" x14ac:dyDescent="0.2">
      <c r="A29" t="s">
        <v>162</v>
      </c>
      <c r="B29" s="3">
        <v>82</v>
      </c>
      <c r="C29" s="4">
        <f>87-(B29)</f>
        <v>5</v>
      </c>
      <c r="D29" s="15">
        <v>0.315</v>
      </c>
      <c r="E29" s="4"/>
      <c r="F29" s="4"/>
      <c r="G29" s="4"/>
    </row>
    <row r="30" spans="1:7" ht="12.75" customHeight="1" x14ac:dyDescent="0.2">
      <c r="A30" t="s">
        <v>163</v>
      </c>
      <c r="B30" s="3">
        <v>197</v>
      </c>
      <c r="C30" s="4">
        <f>225-(B30)</f>
        <v>28</v>
      </c>
      <c r="D30" s="15">
        <v>0.45600000000000002</v>
      </c>
      <c r="E30" s="4"/>
      <c r="F30" s="4"/>
      <c r="G30" s="4"/>
    </row>
    <row r="31" spans="1:7" ht="12.75" customHeight="1" x14ac:dyDescent="0.2">
      <c r="A31" t="s">
        <v>164</v>
      </c>
      <c r="B31" s="3">
        <v>76</v>
      </c>
      <c r="C31" s="4">
        <f>80-(B31)</f>
        <v>4</v>
      </c>
      <c r="D31" s="15">
        <v>0.33600000000000002</v>
      </c>
      <c r="E31" s="4"/>
      <c r="F31" s="4"/>
      <c r="G31" s="4"/>
    </row>
    <row r="32" spans="1:7" ht="12.75" customHeight="1" x14ac:dyDescent="0.2">
      <c r="A32" t="s">
        <v>165</v>
      </c>
      <c r="B32" s="3">
        <v>123</v>
      </c>
      <c r="C32" s="4">
        <f>127-(B32)</f>
        <v>4</v>
      </c>
      <c r="D32" s="15">
        <v>0.59899999999999998</v>
      </c>
      <c r="E32" s="4"/>
      <c r="F32" s="4"/>
      <c r="G32" s="4"/>
    </row>
    <row r="33" spans="1:7" ht="12.75" customHeight="1" x14ac:dyDescent="0.2">
      <c r="A33" t="s">
        <v>166</v>
      </c>
      <c r="B33" s="3">
        <v>129</v>
      </c>
      <c r="C33" s="4">
        <f>144-(B33)</f>
        <v>15</v>
      </c>
      <c r="D33" s="15">
        <v>0.48</v>
      </c>
      <c r="E33" s="4"/>
      <c r="F33" s="4"/>
      <c r="G33" s="4"/>
    </row>
    <row r="34" spans="1:7" ht="12.75" customHeight="1" x14ac:dyDescent="0.2">
      <c r="A34" t="s">
        <v>167</v>
      </c>
      <c r="B34" s="3">
        <v>78</v>
      </c>
      <c r="C34" s="4">
        <f>81-(B34)</f>
        <v>3</v>
      </c>
      <c r="D34" s="15">
        <v>0.54200000000000004</v>
      </c>
      <c r="E34" s="4"/>
      <c r="F34" s="4"/>
      <c r="G34" s="4"/>
    </row>
    <row r="35" spans="1:7" ht="12.75" customHeight="1" x14ac:dyDescent="0.2">
      <c r="A35" t="s">
        <v>168</v>
      </c>
      <c r="B35" s="3">
        <v>96</v>
      </c>
      <c r="C35" s="4">
        <f>108-(B35)</f>
        <v>12</v>
      </c>
      <c r="D35" s="15">
        <v>0.42599999999999999</v>
      </c>
      <c r="E35" s="4"/>
      <c r="F35" s="4"/>
      <c r="G35" s="4"/>
    </row>
    <row r="36" spans="1:7" ht="12.75" customHeight="1" x14ac:dyDescent="0.2">
      <c r="A36" t="s">
        <v>169</v>
      </c>
      <c r="B36" s="3">
        <v>87</v>
      </c>
      <c r="C36" s="4">
        <f>96-(B36)</f>
        <v>9</v>
      </c>
      <c r="D36" s="15">
        <v>0.54700000000000004</v>
      </c>
      <c r="E36" s="4"/>
      <c r="F36" s="4"/>
      <c r="G36" s="4"/>
    </row>
    <row r="37" spans="1:7" ht="12.75" customHeight="1" x14ac:dyDescent="0.2">
      <c r="A37" t="s">
        <v>170</v>
      </c>
      <c r="B37" s="3">
        <v>89</v>
      </c>
      <c r="C37" s="4">
        <f>103-(B37)</f>
        <v>14</v>
      </c>
      <c r="D37" s="15">
        <v>0.372</v>
      </c>
      <c r="E37" s="4"/>
      <c r="F37" s="4"/>
      <c r="G37" s="4"/>
    </row>
    <row r="38" spans="1:7" ht="12.75" customHeight="1" x14ac:dyDescent="0.2">
      <c r="A38" t="s">
        <v>171</v>
      </c>
      <c r="B38" s="3">
        <v>89</v>
      </c>
      <c r="C38" s="4">
        <f>90-(B38)</f>
        <v>1</v>
      </c>
      <c r="D38" s="15">
        <v>0.30599999999999999</v>
      </c>
      <c r="E38" s="4"/>
      <c r="F38" s="4"/>
      <c r="G38" s="4"/>
    </row>
    <row r="39" spans="1:7" ht="12.75" customHeight="1" x14ac:dyDescent="0.2">
      <c r="A39" t="s">
        <v>172</v>
      </c>
      <c r="B39" s="3">
        <v>80</v>
      </c>
      <c r="C39" s="4">
        <f>87-(B39)</f>
        <v>7</v>
      </c>
      <c r="D39" s="15">
        <v>0.32300000000000001</v>
      </c>
      <c r="E39" s="4"/>
      <c r="F39" s="4"/>
      <c r="G39" s="4"/>
    </row>
  </sheetData>
  <mergeCells count="1">
    <mergeCell ref="D24:F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4" max="4" width="18.85546875" customWidth="1"/>
    <col min="7" max="7" width="12.7109375" customWidth="1"/>
    <col min="8" max="8" width="15.85546875" customWidth="1"/>
    <col min="9" max="9" width="21" customWidth="1"/>
    <col min="10" max="10" width="14.5703125" customWidth="1"/>
  </cols>
  <sheetData>
    <row r="1" spans="1:10" ht="12.75" customHeight="1" x14ac:dyDescent="0.2">
      <c r="A1" t="s">
        <v>117</v>
      </c>
      <c r="B1" s="3" t="s">
        <v>226</v>
      </c>
      <c r="C1" s="3" t="s">
        <v>227</v>
      </c>
      <c r="D1" s="3" t="s">
        <v>228</v>
      </c>
      <c r="E1" s="3" t="s">
        <v>227</v>
      </c>
      <c r="F1" s="4" t="s">
        <v>120</v>
      </c>
      <c r="G1" s="15" t="s">
        <v>229</v>
      </c>
      <c r="H1" s="15" t="s">
        <v>130</v>
      </c>
      <c r="I1" t="s">
        <v>131</v>
      </c>
      <c r="J1" t="s">
        <v>132</v>
      </c>
    </row>
    <row r="2" spans="1:10" ht="36.75" customHeight="1" x14ac:dyDescent="0.2">
      <c r="A2" s="6" t="s">
        <v>133</v>
      </c>
      <c r="B2" s="3">
        <v>1038</v>
      </c>
      <c r="C2" s="3">
        <v>1974</v>
      </c>
      <c r="D2" s="3">
        <v>2059</v>
      </c>
      <c r="E2" s="3">
        <v>1200</v>
      </c>
      <c r="F2" s="4">
        <f>6344-(((B2+C2)+D2)+E2)</f>
        <v>73</v>
      </c>
      <c r="G2" s="15">
        <f>(((((B2*E2)-(C2*D2))^2)*SUM(B2:E2))/PRODUCT((B2+C2),(D2+E2),(B2+D2),(C2+E2)))</f>
        <v>516.41423812562425</v>
      </c>
      <c r="H2" s="15">
        <v>0.6</v>
      </c>
      <c r="I2" t="s">
        <v>134</v>
      </c>
      <c r="J2" t="s">
        <v>135</v>
      </c>
    </row>
    <row r="3" spans="1:10" ht="12.75" customHeight="1" x14ac:dyDescent="0.2">
      <c r="A3" s="6" t="s">
        <v>222</v>
      </c>
      <c r="B3" s="3">
        <f>SUM(B4:B39)</f>
        <v>1038</v>
      </c>
      <c r="C3" s="3">
        <f>SUM(C4:C39)</f>
        <v>1974</v>
      </c>
      <c r="D3" s="3">
        <f>SUM(D4:D39)</f>
        <v>2059</v>
      </c>
      <c r="E3" s="3">
        <f>SUM(E4:E39)</f>
        <v>1200</v>
      </c>
      <c r="F3" s="4"/>
      <c r="G3" s="9" t="s">
        <v>230</v>
      </c>
      <c r="H3" s="15">
        <f>AVERAGE(H4:H39)</f>
        <v>0.61805555555555569</v>
      </c>
    </row>
    <row r="4" spans="1:10" ht="12.75" customHeight="1" x14ac:dyDescent="0.2">
      <c r="A4" t="s">
        <v>137</v>
      </c>
      <c r="B4" s="3">
        <v>20</v>
      </c>
      <c r="C4" s="3">
        <v>28</v>
      </c>
      <c r="D4" s="4">
        <v>24</v>
      </c>
      <c r="E4" s="4">
        <v>11</v>
      </c>
      <c r="F4" s="4">
        <f>84-(((B4+C4)+D4)+E4)</f>
        <v>1</v>
      </c>
      <c r="G4" s="15">
        <f t="shared" ref="G4:G39" si="0">(((((B4*E4)-(C4*D4))^2)*SUM(B4:E4))/PRODUCT((B4+C4),(D4+E4),(B4+D4),(C4+E4)))</f>
        <v>5.8820457320457322</v>
      </c>
      <c r="H4" s="15">
        <v>0.55000000000000004</v>
      </c>
    </row>
    <row r="5" spans="1:10" ht="12.75" customHeight="1" x14ac:dyDescent="0.2">
      <c r="A5" t="s">
        <v>138</v>
      </c>
      <c r="B5" s="3">
        <v>25</v>
      </c>
      <c r="C5" s="3">
        <v>35</v>
      </c>
      <c r="D5" s="4">
        <v>39</v>
      </c>
      <c r="E5" s="4">
        <v>19</v>
      </c>
      <c r="F5" s="4">
        <f>120-(((B5+C5)+D5)+E5)</f>
        <v>2</v>
      </c>
      <c r="G5" s="15">
        <f t="shared" si="0"/>
        <v>7.771575005321413</v>
      </c>
      <c r="H5" s="15">
        <v>0.53</v>
      </c>
    </row>
    <row r="6" spans="1:10" ht="12.75" customHeight="1" x14ac:dyDescent="0.2">
      <c r="A6" t="s">
        <v>139</v>
      </c>
      <c r="B6" s="3">
        <v>17</v>
      </c>
      <c r="C6" s="3">
        <v>31</v>
      </c>
      <c r="D6" s="4">
        <v>14</v>
      </c>
      <c r="E6" s="4">
        <v>21</v>
      </c>
      <c r="F6" s="4">
        <f>84-(((B6+C6)+D6)+E6)</f>
        <v>1</v>
      </c>
      <c r="G6" s="15">
        <f t="shared" si="0"/>
        <v>0.18171267576509512</v>
      </c>
      <c r="H6" s="15">
        <v>0.1</v>
      </c>
    </row>
    <row r="7" spans="1:10" ht="12.75" customHeight="1" x14ac:dyDescent="0.2">
      <c r="A7" t="s">
        <v>140</v>
      </c>
      <c r="B7" s="3">
        <v>14</v>
      </c>
      <c r="C7" s="3">
        <v>38</v>
      </c>
      <c r="D7" s="4">
        <v>26</v>
      </c>
      <c r="E7" s="4">
        <v>13</v>
      </c>
      <c r="F7" s="4">
        <f>95-(((B7+C7)+D7)+E7)</f>
        <v>4</v>
      </c>
      <c r="G7" s="15">
        <f t="shared" si="0"/>
        <v>14.289379084967321</v>
      </c>
      <c r="H7" s="15">
        <v>0.86</v>
      </c>
    </row>
    <row r="8" spans="1:10" ht="12.75" customHeight="1" x14ac:dyDescent="0.2">
      <c r="A8" t="s">
        <v>141</v>
      </c>
      <c r="B8" s="3">
        <v>17</v>
      </c>
      <c r="C8" s="3">
        <v>34</v>
      </c>
      <c r="D8" s="4">
        <v>26</v>
      </c>
      <c r="E8" s="4">
        <v>17</v>
      </c>
      <c r="F8" s="4">
        <f>96-(((B8+C8)+D8)+E8)</f>
        <v>2</v>
      </c>
      <c r="G8" s="15">
        <f t="shared" si="0"/>
        <v>6.9196562706568114</v>
      </c>
      <c r="H8" s="12">
        <v>0.56000000000000005</v>
      </c>
    </row>
    <row r="9" spans="1:10" ht="12.75" customHeight="1" x14ac:dyDescent="0.2">
      <c r="A9" t="s">
        <v>142</v>
      </c>
      <c r="B9" s="3">
        <v>11</v>
      </c>
      <c r="C9" s="3">
        <v>30</v>
      </c>
      <c r="D9" s="4">
        <v>32</v>
      </c>
      <c r="E9" s="4">
        <v>26</v>
      </c>
      <c r="F9" s="4">
        <f>102-(((B9+C9)+D9)+E9)</f>
        <v>3</v>
      </c>
      <c r="G9" s="15">
        <f t="shared" si="0"/>
        <v>7.8539232834761616</v>
      </c>
      <c r="H9" s="15">
        <v>0.59</v>
      </c>
    </row>
    <row r="10" spans="1:10" ht="12.75" customHeight="1" x14ac:dyDescent="0.2">
      <c r="A10" t="s">
        <v>143</v>
      </c>
      <c r="B10" s="3">
        <v>14</v>
      </c>
      <c r="C10" s="3">
        <v>35</v>
      </c>
      <c r="D10" s="4">
        <v>25</v>
      </c>
      <c r="E10" s="4">
        <v>15</v>
      </c>
      <c r="F10" s="4">
        <f>90-(((B10+C10)+D10)+E10)</f>
        <v>1</v>
      </c>
      <c r="G10" s="15">
        <f t="shared" si="0"/>
        <v>10.29775641025641</v>
      </c>
      <c r="H10" s="15">
        <v>0.72</v>
      </c>
    </row>
    <row r="11" spans="1:10" ht="12.75" customHeight="1" x14ac:dyDescent="0.2">
      <c r="A11" t="s">
        <v>144</v>
      </c>
      <c r="B11" s="3">
        <v>30</v>
      </c>
      <c r="C11" s="3">
        <v>59</v>
      </c>
      <c r="D11" s="4">
        <v>57</v>
      </c>
      <c r="E11" s="4">
        <v>26</v>
      </c>
      <c r="F11" s="4">
        <f>174-(((B11+C11)+D11)+E11)</f>
        <v>2</v>
      </c>
      <c r="G11" s="15">
        <f t="shared" si="0"/>
        <v>21.007336005827902</v>
      </c>
      <c r="H11" s="15">
        <v>0.74</v>
      </c>
    </row>
    <row r="12" spans="1:10" ht="12.75" customHeight="1" x14ac:dyDescent="0.2">
      <c r="A12" t="s">
        <v>145</v>
      </c>
      <c r="B12" s="3">
        <v>17</v>
      </c>
      <c r="C12" s="3">
        <v>30</v>
      </c>
      <c r="D12" s="4">
        <v>42</v>
      </c>
      <c r="E12" s="4">
        <v>24</v>
      </c>
      <c r="F12" s="4">
        <f>113-(((B12+C12)+D12)+E12)</f>
        <v>0</v>
      </c>
      <c r="G12" s="15">
        <f t="shared" si="0"/>
        <v>8.2998466453208604</v>
      </c>
      <c r="H12" s="15">
        <v>0.56000000000000005</v>
      </c>
    </row>
    <row r="13" spans="1:10" ht="12.75" customHeight="1" x14ac:dyDescent="0.2">
      <c r="A13" t="s">
        <v>146</v>
      </c>
      <c r="B13" s="3">
        <v>15</v>
      </c>
      <c r="C13" s="3">
        <v>42</v>
      </c>
      <c r="D13" s="4">
        <v>34</v>
      </c>
      <c r="E13" s="4">
        <v>19</v>
      </c>
      <c r="F13" s="4">
        <f>112-(((B13+C13)+D13)+E13)</f>
        <v>2</v>
      </c>
      <c r="G13" s="15">
        <f t="shared" si="0"/>
        <v>15.915068259221249</v>
      </c>
      <c r="H13" s="12">
        <v>0.82</v>
      </c>
    </row>
    <row r="14" spans="1:10" ht="12.75" customHeight="1" x14ac:dyDescent="0.2">
      <c r="A14" t="s">
        <v>147</v>
      </c>
      <c r="B14" s="3">
        <v>34</v>
      </c>
      <c r="C14" s="3">
        <v>88</v>
      </c>
      <c r="D14" s="4">
        <v>94</v>
      </c>
      <c r="E14" s="4">
        <v>57</v>
      </c>
      <c r="F14" s="4">
        <f>277-(((B14+C14)+D14)+E14)</f>
        <v>4</v>
      </c>
      <c r="G14" s="15">
        <f t="shared" si="0"/>
        <v>32.033472172046913</v>
      </c>
      <c r="H14" s="15">
        <v>0.73</v>
      </c>
    </row>
    <row r="15" spans="1:10" ht="12.75" customHeight="1" x14ac:dyDescent="0.2">
      <c r="A15" t="s">
        <v>148</v>
      </c>
      <c r="B15" s="3">
        <v>19</v>
      </c>
      <c r="C15" s="3">
        <v>53</v>
      </c>
      <c r="D15" s="4">
        <v>43</v>
      </c>
      <c r="E15" s="4">
        <v>29</v>
      </c>
      <c r="F15" s="4">
        <f>146-(((B15+C15)+D15)+E15)</f>
        <v>2</v>
      </c>
      <c r="G15" s="15">
        <f t="shared" si="0"/>
        <v>16.314712824547602</v>
      </c>
      <c r="H15" s="15">
        <v>0.72</v>
      </c>
    </row>
    <row r="16" spans="1:10" ht="12.75" customHeight="1" x14ac:dyDescent="0.2">
      <c r="A16" t="s">
        <v>149</v>
      </c>
      <c r="B16" s="3">
        <v>22</v>
      </c>
      <c r="C16" s="3">
        <v>28</v>
      </c>
      <c r="D16" s="4">
        <v>28</v>
      </c>
      <c r="E16" s="4">
        <v>19</v>
      </c>
      <c r="F16" s="4">
        <f>98-(((B16+C16)+D16)+E16)</f>
        <v>1</v>
      </c>
      <c r="G16" s="15">
        <f t="shared" si="0"/>
        <v>2.3528713444997735</v>
      </c>
      <c r="H16" s="15">
        <v>0.31</v>
      </c>
    </row>
    <row r="17" spans="1:8" ht="12.75" customHeight="1" x14ac:dyDescent="0.2">
      <c r="A17" t="s">
        <v>150</v>
      </c>
      <c r="B17" s="3">
        <v>14</v>
      </c>
      <c r="C17" s="3">
        <v>29</v>
      </c>
      <c r="D17" s="4">
        <v>24</v>
      </c>
      <c r="E17" s="4">
        <v>17</v>
      </c>
      <c r="F17" s="4">
        <f>85-(((B17+C17)+D17)+E17)</f>
        <v>1</v>
      </c>
      <c r="G17" s="15">
        <f t="shared" si="0"/>
        <v>5.7176359725919648</v>
      </c>
      <c r="H17" s="15">
        <v>0.54</v>
      </c>
    </row>
    <row r="18" spans="1:8" ht="12.75" customHeight="1" x14ac:dyDescent="0.2">
      <c r="A18" t="s">
        <v>151</v>
      </c>
      <c r="B18" s="3">
        <v>189</v>
      </c>
      <c r="C18" s="3">
        <v>302</v>
      </c>
      <c r="D18" s="4">
        <v>343</v>
      </c>
      <c r="E18" s="4">
        <v>162</v>
      </c>
      <c r="F18" s="4">
        <f>1000-(((B18+C18)+D18)+E18)</f>
        <v>4</v>
      </c>
      <c r="G18" s="15">
        <f t="shared" si="0"/>
        <v>86.640657771130464</v>
      </c>
      <c r="H18" s="15">
        <v>0.62</v>
      </c>
    </row>
    <row r="19" spans="1:8" ht="12.75" customHeight="1" x14ac:dyDescent="0.2">
      <c r="A19" t="s">
        <v>152</v>
      </c>
      <c r="B19" s="3">
        <v>17</v>
      </c>
      <c r="C19" s="3">
        <v>33</v>
      </c>
      <c r="D19" s="4">
        <v>37</v>
      </c>
      <c r="E19" s="4">
        <v>19</v>
      </c>
      <c r="F19" s="4">
        <f>107-(((B19+C19)+D19)+E19)</f>
        <v>1</v>
      </c>
      <c r="G19" s="15">
        <f t="shared" si="0"/>
        <v>10.871848799348799</v>
      </c>
      <c r="H19" s="15">
        <v>0.67</v>
      </c>
    </row>
    <row r="20" spans="1:8" ht="12.75" customHeight="1" x14ac:dyDescent="0.2">
      <c r="A20" t="s">
        <v>153</v>
      </c>
      <c r="B20" s="3">
        <v>29</v>
      </c>
      <c r="C20" s="3">
        <v>44</v>
      </c>
      <c r="D20" s="4">
        <v>25</v>
      </c>
      <c r="E20" s="4">
        <v>22</v>
      </c>
      <c r="F20" s="4">
        <f>123-(((B20+C20)+D20)+E20)</f>
        <v>3</v>
      </c>
      <c r="G20" s="15">
        <f t="shared" si="0"/>
        <v>2.0946274166909551</v>
      </c>
      <c r="H20" s="15">
        <v>0.26</v>
      </c>
    </row>
    <row r="21" spans="1:8" ht="12.75" customHeight="1" x14ac:dyDescent="0.2">
      <c r="A21" t="s">
        <v>154</v>
      </c>
      <c r="B21" s="3">
        <v>188</v>
      </c>
      <c r="C21" s="3">
        <v>386</v>
      </c>
      <c r="D21" s="4">
        <v>444</v>
      </c>
      <c r="E21" s="4">
        <v>294</v>
      </c>
      <c r="F21" s="4">
        <f>1329-(((B21+C21)+D21)+E21)</f>
        <v>17</v>
      </c>
      <c r="G21" s="15">
        <f t="shared" si="0"/>
        <v>97.161408360812686</v>
      </c>
      <c r="H21" s="15">
        <v>0.56999999999999995</v>
      </c>
    </row>
    <row r="22" spans="1:8" ht="12.75" customHeight="1" x14ac:dyDescent="0.2">
      <c r="A22" t="s">
        <v>155</v>
      </c>
      <c r="B22" s="3">
        <v>16</v>
      </c>
      <c r="C22" s="3">
        <v>30</v>
      </c>
      <c r="D22" s="4">
        <v>32</v>
      </c>
      <c r="E22" s="4">
        <v>17</v>
      </c>
      <c r="F22" s="4">
        <f>95-(((B22+C22)+D22)+E22)</f>
        <v>0</v>
      </c>
      <c r="G22" s="15">
        <f t="shared" si="0"/>
        <v>8.8431598356271284</v>
      </c>
      <c r="H22" s="15">
        <v>0.63</v>
      </c>
    </row>
    <row r="23" spans="1:8" ht="12.75" customHeight="1" x14ac:dyDescent="0.2">
      <c r="A23" t="s">
        <v>156</v>
      </c>
      <c r="B23" s="3">
        <v>19</v>
      </c>
      <c r="C23" s="3">
        <v>28</v>
      </c>
      <c r="D23" s="4">
        <v>40</v>
      </c>
      <c r="E23" s="4">
        <v>15</v>
      </c>
      <c r="F23" s="4">
        <f>103-(((B23+C23)+D23)+E23)</f>
        <v>1</v>
      </c>
      <c r="G23" s="15">
        <f t="shared" si="0"/>
        <v>10.844064899449464</v>
      </c>
      <c r="H23" s="15">
        <v>0.69</v>
      </c>
    </row>
    <row r="24" spans="1:8" ht="12.75" customHeight="1" x14ac:dyDescent="0.2">
      <c r="A24" t="s">
        <v>157</v>
      </c>
      <c r="B24" s="3">
        <v>16</v>
      </c>
      <c r="C24" s="3">
        <v>23</v>
      </c>
      <c r="D24" s="4">
        <v>23</v>
      </c>
      <c r="E24" s="4">
        <v>18</v>
      </c>
      <c r="F24" s="4">
        <f>86-(((B24+C24)+D24)+E24)</f>
        <v>6</v>
      </c>
      <c r="G24" s="15">
        <f t="shared" si="0"/>
        <v>1.8173021678261234</v>
      </c>
      <c r="H24" s="15">
        <v>0.3</v>
      </c>
    </row>
    <row r="25" spans="1:8" ht="12.75" customHeight="1" x14ac:dyDescent="0.2">
      <c r="A25" t="s">
        <v>158</v>
      </c>
      <c r="B25" s="3">
        <v>34</v>
      </c>
      <c r="C25" s="3">
        <v>50</v>
      </c>
      <c r="D25" s="4">
        <v>47</v>
      </c>
      <c r="E25" s="4">
        <v>30</v>
      </c>
      <c r="F25" s="4">
        <f>162-(((B25+C25)+D25)+E25)</f>
        <v>1</v>
      </c>
      <c r="G25" s="15">
        <f t="shared" si="0"/>
        <v>6.7949167601945382</v>
      </c>
      <c r="H25" s="15">
        <v>0.42</v>
      </c>
    </row>
    <row r="26" spans="1:8" ht="12.75" customHeight="1" x14ac:dyDescent="0.2">
      <c r="A26" t="s">
        <v>159</v>
      </c>
      <c r="B26" s="3">
        <v>10</v>
      </c>
      <c r="C26" s="3">
        <v>25</v>
      </c>
      <c r="D26" s="4">
        <v>24</v>
      </c>
      <c r="E26" s="4">
        <v>19</v>
      </c>
      <c r="F26" s="4">
        <f>79-(((B26+C26)+D26)+E26)</f>
        <v>1</v>
      </c>
      <c r="G26" s="15">
        <f t="shared" si="0"/>
        <v>5.8236360083145309</v>
      </c>
      <c r="H26" s="15">
        <v>0.56999999999999995</v>
      </c>
    </row>
    <row r="27" spans="1:8" ht="12.75" customHeight="1" x14ac:dyDescent="0.2">
      <c r="A27" t="s">
        <v>160</v>
      </c>
      <c r="B27" s="3">
        <v>19</v>
      </c>
      <c r="C27" s="3">
        <v>37</v>
      </c>
      <c r="D27" s="4">
        <v>66</v>
      </c>
      <c r="E27" s="4">
        <v>43</v>
      </c>
      <c r="F27" s="4">
        <f>169-(((B27+C27)+D27)+E27)</f>
        <v>4</v>
      </c>
      <c r="G27" s="15">
        <f t="shared" si="0"/>
        <v>10.497049307108165</v>
      </c>
      <c r="H27" s="15">
        <v>0.52</v>
      </c>
    </row>
    <row r="28" spans="1:8" ht="12.75" customHeight="1" x14ac:dyDescent="0.2">
      <c r="A28" t="s">
        <v>161</v>
      </c>
      <c r="B28" s="3">
        <v>35</v>
      </c>
      <c r="C28" s="3">
        <v>48</v>
      </c>
      <c r="D28" s="4">
        <v>70</v>
      </c>
      <c r="E28" s="4">
        <v>32</v>
      </c>
      <c r="F28" s="4">
        <f>187-(((B28+C28)+D28)+E28)</f>
        <v>2</v>
      </c>
      <c r="G28" s="15">
        <f t="shared" si="0"/>
        <v>13.052996298921174</v>
      </c>
      <c r="H28" s="15">
        <v>0.55000000000000004</v>
      </c>
    </row>
    <row r="29" spans="1:8" ht="12.75" customHeight="1" x14ac:dyDescent="0.2">
      <c r="A29" t="s">
        <v>162</v>
      </c>
      <c r="B29" s="3">
        <v>19</v>
      </c>
      <c r="C29" s="3">
        <v>25</v>
      </c>
      <c r="D29" s="4">
        <v>28</v>
      </c>
      <c r="E29" s="4">
        <v>14</v>
      </c>
      <c r="F29" s="4">
        <f>87-(((B29+C29)+D29)+E29)</f>
        <v>1</v>
      </c>
      <c r="G29" s="15">
        <f t="shared" si="0"/>
        <v>4.7820430160855691</v>
      </c>
      <c r="H29" s="15">
        <v>0.48</v>
      </c>
    </row>
    <row r="30" spans="1:8" ht="12.75" customHeight="1" x14ac:dyDescent="0.2">
      <c r="A30" t="s">
        <v>163</v>
      </c>
      <c r="B30" s="3">
        <v>45</v>
      </c>
      <c r="C30" s="3">
        <v>75</v>
      </c>
      <c r="D30" s="4">
        <v>64</v>
      </c>
      <c r="E30" s="4">
        <v>40</v>
      </c>
      <c r="F30" s="4">
        <f>225-(((B30+C30)+D30)+E30)</f>
        <v>1</v>
      </c>
      <c r="G30" s="15">
        <f t="shared" si="0"/>
        <v>12.886993341720107</v>
      </c>
      <c r="H30" s="12">
        <v>0.49</v>
      </c>
    </row>
    <row r="31" spans="1:8" ht="12.75" customHeight="1" x14ac:dyDescent="0.2">
      <c r="A31" t="s">
        <v>164</v>
      </c>
      <c r="B31" s="3">
        <v>6</v>
      </c>
      <c r="C31" s="3">
        <v>29</v>
      </c>
      <c r="D31" s="4">
        <v>28</v>
      </c>
      <c r="E31" s="4">
        <v>17</v>
      </c>
      <c r="F31" s="4">
        <f>80-(((B31+C31)+D31)+E31)</f>
        <v>0</v>
      </c>
      <c r="G31" s="15">
        <f t="shared" si="0"/>
        <v>16.371534120894736</v>
      </c>
      <c r="H31" s="15">
        <v>1.03</v>
      </c>
    </row>
    <row r="32" spans="1:8" ht="12.75" customHeight="1" x14ac:dyDescent="0.2">
      <c r="A32" t="s">
        <v>165</v>
      </c>
      <c r="B32" s="3">
        <v>11</v>
      </c>
      <c r="C32" s="3">
        <v>47</v>
      </c>
      <c r="D32" s="4">
        <v>48</v>
      </c>
      <c r="E32" s="4">
        <v>21</v>
      </c>
      <c r="F32" s="4">
        <f>127-(((B32+C32)+D32)+E32)</f>
        <v>0</v>
      </c>
      <c r="G32" s="15">
        <f t="shared" si="0"/>
        <v>32.435139297250679</v>
      </c>
      <c r="H32" s="15">
        <v>1.17</v>
      </c>
    </row>
    <row r="33" spans="1:8" ht="12.75" customHeight="1" x14ac:dyDescent="0.2">
      <c r="A33" t="s">
        <v>166</v>
      </c>
      <c r="B33" s="3">
        <v>12</v>
      </c>
      <c r="C33" s="3">
        <v>48</v>
      </c>
      <c r="D33" s="4">
        <v>49</v>
      </c>
      <c r="E33" s="4">
        <v>34</v>
      </c>
      <c r="F33" s="4">
        <f>144-(((B33+C33)+D33)+E33)</f>
        <v>1</v>
      </c>
      <c r="G33" s="15">
        <f t="shared" si="0"/>
        <v>21.694793889673047</v>
      </c>
      <c r="H33" s="15">
        <v>0.86</v>
      </c>
    </row>
    <row r="34" spans="1:8" ht="12.75" customHeight="1" x14ac:dyDescent="0.2">
      <c r="A34" t="s">
        <v>167</v>
      </c>
      <c r="B34" s="3">
        <v>10</v>
      </c>
      <c r="C34" s="3">
        <v>22</v>
      </c>
      <c r="D34" s="4">
        <v>33</v>
      </c>
      <c r="E34" s="4">
        <v>14</v>
      </c>
      <c r="F34" s="4">
        <f>81-(((B34+C34)+D34)+E34)</f>
        <v>2</v>
      </c>
      <c r="G34" s="15">
        <f t="shared" si="0"/>
        <v>11.652081958876243</v>
      </c>
      <c r="H34" s="12">
        <v>0.82</v>
      </c>
    </row>
    <row r="35" spans="1:8" ht="12.75" customHeight="1" x14ac:dyDescent="0.2">
      <c r="A35" t="s">
        <v>168</v>
      </c>
      <c r="B35" s="3">
        <v>27</v>
      </c>
      <c r="C35" s="3">
        <v>25</v>
      </c>
      <c r="D35" s="4">
        <v>37</v>
      </c>
      <c r="E35" s="4">
        <v>18</v>
      </c>
      <c r="F35" s="4">
        <f>108-(((B35+C35)+D35)+E35)</f>
        <v>1</v>
      </c>
      <c r="G35" s="15">
        <f t="shared" si="0"/>
        <v>2.6199822887867947</v>
      </c>
      <c r="H35" s="15">
        <v>0.32</v>
      </c>
    </row>
    <row r="36" spans="1:8" ht="12.75" customHeight="1" x14ac:dyDescent="0.2">
      <c r="A36" t="s">
        <v>169</v>
      </c>
      <c r="B36" s="3">
        <v>10</v>
      </c>
      <c r="C36" s="3">
        <v>41</v>
      </c>
      <c r="D36" s="4">
        <v>30</v>
      </c>
      <c r="E36" s="4">
        <v>15</v>
      </c>
      <c r="F36" s="4">
        <f>96-(((B36+C36)+D36)+E36)</f>
        <v>0</v>
      </c>
      <c r="G36" s="15">
        <f t="shared" si="0"/>
        <v>21.781512605042018</v>
      </c>
      <c r="H36" s="15">
        <v>1.0900000000000001</v>
      </c>
    </row>
    <row r="37" spans="1:8" ht="12.75" customHeight="1" x14ac:dyDescent="0.2">
      <c r="A37" t="s">
        <v>170</v>
      </c>
      <c r="B37" s="3">
        <v>23</v>
      </c>
      <c r="C37" s="3">
        <v>34</v>
      </c>
      <c r="D37" s="4">
        <v>33</v>
      </c>
      <c r="E37" s="4">
        <v>12</v>
      </c>
      <c r="F37" s="4">
        <f>103-(((B37+C37)+D37)+E37)</f>
        <v>1</v>
      </c>
      <c r="G37" s="15">
        <f t="shared" si="0"/>
        <v>11.048610657077477</v>
      </c>
      <c r="H37" s="15">
        <v>0.7</v>
      </c>
    </row>
    <row r="38" spans="1:8" ht="12.75" customHeight="1" x14ac:dyDescent="0.2">
      <c r="A38" t="s">
        <v>171</v>
      </c>
      <c r="B38" s="3">
        <v>23</v>
      </c>
      <c r="C38" s="3">
        <v>30</v>
      </c>
      <c r="D38" s="4">
        <v>25</v>
      </c>
      <c r="E38" s="4">
        <v>12</v>
      </c>
      <c r="F38" s="4">
        <f>90-(((B38+C38)+D38)+E38)</f>
        <v>0</v>
      </c>
      <c r="G38" s="15">
        <f t="shared" si="0"/>
        <v>5.1148284403001387</v>
      </c>
      <c r="H38" s="12">
        <v>0.49</v>
      </c>
    </row>
    <row r="39" spans="1:8" ht="12.75" customHeight="1" x14ac:dyDescent="0.2">
      <c r="A39" t="s">
        <v>172</v>
      </c>
      <c r="B39" s="3">
        <v>11</v>
      </c>
      <c r="C39" s="3">
        <v>32</v>
      </c>
      <c r="D39" s="4">
        <v>25</v>
      </c>
      <c r="E39" s="4">
        <v>19</v>
      </c>
      <c r="F39" s="4">
        <f>87-(((B39+C39)+D39)+E39)</f>
        <v>0</v>
      </c>
      <c r="G39" s="15">
        <f t="shared" si="0"/>
        <v>8.7478314264394967</v>
      </c>
      <c r="H39" s="15">
        <v>0.67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5" width="20.85546875" customWidth="1"/>
    <col min="7" max="7" width="13.42578125" customWidth="1"/>
    <col min="8" max="8" width="15.28515625" customWidth="1"/>
    <col min="9" max="9" width="21" customWidth="1"/>
    <col min="10" max="10" width="12.5703125" customWidth="1"/>
  </cols>
  <sheetData>
    <row r="1" spans="1:10" ht="12.75" customHeight="1" x14ac:dyDescent="0.2">
      <c r="A1" t="s">
        <v>117</v>
      </c>
      <c r="B1" s="3" t="s">
        <v>231</v>
      </c>
      <c r="C1" s="3" t="s">
        <v>232</v>
      </c>
      <c r="D1" s="3" t="s">
        <v>233</v>
      </c>
      <c r="E1" s="3" t="s">
        <v>234</v>
      </c>
      <c r="F1" s="4" t="s">
        <v>120</v>
      </c>
      <c r="G1" s="15" t="s">
        <v>229</v>
      </c>
      <c r="H1" s="15" t="s">
        <v>130</v>
      </c>
      <c r="I1" t="s">
        <v>131</v>
      </c>
      <c r="J1" t="s">
        <v>132</v>
      </c>
    </row>
    <row r="2" spans="1:10" ht="43.5" customHeight="1" x14ac:dyDescent="0.2">
      <c r="A2" s="6" t="s">
        <v>133</v>
      </c>
      <c r="B2" s="3">
        <v>2381</v>
      </c>
      <c r="C2" s="3">
        <v>741</v>
      </c>
      <c r="D2" s="3">
        <v>229</v>
      </c>
      <c r="E2" s="3">
        <v>2941</v>
      </c>
      <c r="F2" s="4">
        <f>6344-(((B2+C2)+D2)+E2)</f>
        <v>52</v>
      </c>
      <c r="G2" s="15">
        <f>(((((B2*E2)-(C2*D2))^2)*SUM(B2:E2))/PRODUCT((B2+C2),(D2+E2),(B2+D2),(C2+E2)))</f>
        <v>3088.6859109859497</v>
      </c>
      <c r="H2" s="15">
        <v>1.96</v>
      </c>
      <c r="I2" t="s">
        <v>134</v>
      </c>
      <c r="J2" t="s">
        <v>135</v>
      </c>
    </row>
    <row r="3" spans="1:10" ht="12.75" customHeight="1" x14ac:dyDescent="0.2">
      <c r="A3" s="6" t="s">
        <v>222</v>
      </c>
      <c r="B3" s="3">
        <f>SUM(B4:B39)</f>
        <v>2381</v>
      </c>
      <c r="C3" s="3">
        <f>SUM(C4:C39)</f>
        <v>741</v>
      </c>
      <c r="D3" s="3">
        <f>SUM(D4:D39)</f>
        <v>229</v>
      </c>
      <c r="E3" s="3">
        <f>SUM(E4:E39)</f>
        <v>2941</v>
      </c>
      <c r="F3" s="4"/>
      <c r="G3" s="9" t="s">
        <v>230</v>
      </c>
      <c r="H3" s="15">
        <f>AVERAGE(H4:H39)</f>
        <v>1.8688888888888888</v>
      </c>
    </row>
    <row r="4" spans="1:10" ht="12.75" customHeight="1" x14ac:dyDescent="0.2">
      <c r="A4" t="s">
        <v>137</v>
      </c>
      <c r="B4" s="3">
        <v>27</v>
      </c>
      <c r="C4" s="3">
        <v>9</v>
      </c>
      <c r="D4" s="4">
        <v>3</v>
      </c>
      <c r="E4" s="4">
        <v>43</v>
      </c>
      <c r="F4" s="4">
        <f>84-(((B4+C4)+D4)+E4)</f>
        <v>2</v>
      </c>
      <c r="G4" s="15">
        <f t="shared" ref="G4:G39" si="0">(((((B4*E4)-(C4*D4))^2)*SUM(B4:E4))/PRODUCT((B4+C4),(D4+E4),(B4+D4),(C4+E4)))</f>
        <v>40.818311036789297</v>
      </c>
      <c r="H4" s="15">
        <v>1.92</v>
      </c>
    </row>
    <row r="5" spans="1:10" ht="12.75" customHeight="1" x14ac:dyDescent="0.2">
      <c r="A5" t="s">
        <v>138</v>
      </c>
      <c r="B5" s="3">
        <v>52</v>
      </c>
      <c r="C5" s="3">
        <v>14</v>
      </c>
      <c r="D5" s="4">
        <v>4</v>
      </c>
      <c r="E5" s="4">
        <v>50</v>
      </c>
      <c r="F5" s="4">
        <f>120-(((B5+C5)+D5)+E5)</f>
        <v>0</v>
      </c>
      <c r="G5" s="15">
        <f t="shared" si="0"/>
        <v>60.8008658008658</v>
      </c>
      <c r="H5" s="15">
        <v>2.06</v>
      </c>
    </row>
    <row r="6" spans="1:10" ht="12.75" customHeight="1" x14ac:dyDescent="0.2">
      <c r="A6" t="s">
        <v>139</v>
      </c>
      <c r="B6" s="3">
        <v>33</v>
      </c>
      <c r="C6" s="3">
        <v>11</v>
      </c>
      <c r="D6" s="4">
        <v>6</v>
      </c>
      <c r="E6" s="4">
        <v>34</v>
      </c>
      <c r="F6" s="4">
        <f>84-(((B6+C6)+D6)+E6)</f>
        <v>0</v>
      </c>
      <c r="G6" s="15">
        <f t="shared" si="0"/>
        <v>30.326153846153847</v>
      </c>
      <c r="H6" s="15">
        <v>1.49</v>
      </c>
    </row>
    <row r="7" spans="1:10" ht="12.75" customHeight="1" x14ac:dyDescent="0.2">
      <c r="A7" t="s">
        <v>140</v>
      </c>
      <c r="B7" s="3">
        <v>34</v>
      </c>
      <c r="C7" s="3">
        <v>8</v>
      </c>
      <c r="D7" s="4">
        <v>3</v>
      </c>
      <c r="E7" s="4">
        <v>49</v>
      </c>
      <c r="F7" s="4">
        <f>95-(((B7+C7)+D7)+E7)</f>
        <v>1</v>
      </c>
      <c r="G7" s="15">
        <f t="shared" si="0"/>
        <v>55.023086128349284</v>
      </c>
      <c r="H7" s="15">
        <v>2.2999999999999998</v>
      </c>
    </row>
    <row r="8" spans="1:10" ht="12.75" customHeight="1" x14ac:dyDescent="0.2">
      <c r="A8" t="s">
        <v>141</v>
      </c>
      <c r="B8" s="3">
        <v>27</v>
      </c>
      <c r="C8" s="3">
        <v>10</v>
      </c>
      <c r="D8" s="4">
        <v>7</v>
      </c>
      <c r="E8" s="4">
        <v>50</v>
      </c>
      <c r="F8" s="4">
        <f>96-(((B8+C8)+D8)+E8)</f>
        <v>2</v>
      </c>
      <c r="G8" s="15">
        <f t="shared" si="0"/>
        <v>35.79653957362936</v>
      </c>
      <c r="H8" s="15">
        <v>1.54</v>
      </c>
    </row>
    <row r="9" spans="1:10" ht="12.75" customHeight="1" x14ac:dyDescent="0.2">
      <c r="A9" t="s">
        <v>142</v>
      </c>
      <c r="B9" s="3">
        <v>46</v>
      </c>
      <c r="C9" s="3">
        <v>7</v>
      </c>
      <c r="D9" s="4">
        <v>4</v>
      </c>
      <c r="E9" s="4">
        <v>45</v>
      </c>
      <c r="F9" s="4">
        <f>102-(((B9+C9)+D9)+E9)</f>
        <v>0</v>
      </c>
      <c r="G9" s="15">
        <f t="shared" si="0"/>
        <v>62.989237285625428</v>
      </c>
      <c r="H9" s="12">
        <v>2.5299999999999998</v>
      </c>
    </row>
    <row r="10" spans="1:10" ht="12.75" customHeight="1" x14ac:dyDescent="0.2">
      <c r="A10" t="s">
        <v>143</v>
      </c>
      <c r="B10" s="3">
        <v>30</v>
      </c>
      <c r="C10" s="3">
        <v>16</v>
      </c>
      <c r="D10" s="4">
        <v>3</v>
      </c>
      <c r="E10" s="4">
        <v>40</v>
      </c>
      <c r="F10" s="4">
        <f>90-(((B10+C10)+D10)+E10)</f>
        <v>1</v>
      </c>
      <c r="G10" s="15">
        <f t="shared" si="0"/>
        <v>32.312213570049771</v>
      </c>
      <c r="H10" s="15">
        <v>1.51</v>
      </c>
    </row>
    <row r="11" spans="1:10" ht="12.75" customHeight="1" x14ac:dyDescent="0.2">
      <c r="A11" t="s">
        <v>144</v>
      </c>
      <c r="B11" s="3">
        <v>62</v>
      </c>
      <c r="C11" s="3">
        <v>18</v>
      </c>
      <c r="D11" s="4">
        <v>5</v>
      </c>
      <c r="E11" s="4">
        <v>85</v>
      </c>
      <c r="F11" s="4">
        <f>174-(((B11+C11)+D11)+E11)</f>
        <v>4</v>
      </c>
      <c r="G11" s="15">
        <f t="shared" si="0"/>
        <v>91.804488882448595</v>
      </c>
      <c r="H11" s="15">
        <v>2.12</v>
      </c>
    </row>
    <row r="12" spans="1:10" ht="12.75" customHeight="1" x14ac:dyDescent="0.2">
      <c r="A12" t="s">
        <v>145</v>
      </c>
      <c r="B12" s="3">
        <v>19</v>
      </c>
      <c r="C12" s="3">
        <v>33</v>
      </c>
      <c r="D12" s="4">
        <v>20</v>
      </c>
      <c r="E12" s="4">
        <v>40</v>
      </c>
      <c r="F12" s="4">
        <f>113-(((B12+C12)+D12)+E12)</f>
        <v>1</v>
      </c>
      <c r="G12" s="15">
        <f t="shared" si="0"/>
        <v>0.12608864031414085</v>
      </c>
      <c r="H12" s="15">
        <v>7.0000000000000007E-2</v>
      </c>
    </row>
    <row r="13" spans="1:10" ht="12.75" customHeight="1" x14ac:dyDescent="0.2">
      <c r="A13" t="s">
        <v>146</v>
      </c>
      <c r="B13" s="3">
        <v>27</v>
      </c>
      <c r="C13" s="3">
        <v>36</v>
      </c>
      <c r="D13" s="4">
        <v>3</v>
      </c>
      <c r="E13" s="4">
        <v>46</v>
      </c>
      <c r="F13" s="4">
        <f>112-(((B13+C13)+D13)+E13)</f>
        <v>0</v>
      </c>
      <c r="G13" s="15">
        <f t="shared" si="0"/>
        <v>18.965853658536584</v>
      </c>
      <c r="H13" s="15">
        <v>0.94</v>
      </c>
    </row>
    <row r="14" spans="1:10" ht="12.75" customHeight="1" x14ac:dyDescent="0.2">
      <c r="A14" t="s">
        <v>147</v>
      </c>
      <c r="B14" s="3">
        <v>105</v>
      </c>
      <c r="C14" s="3">
        <v>35</v>
      </c>
      <c r="D14" s="4">
        <v>15</v>
      </c>
      <c r="E14" s="4">
        <v>122</v>
      </c>
      <c r="F14" s="4">
        <f>277-(((B14+C14)+D14)+E14)</f>
        <v>0</v>
      </c>
      <c r="G14" s="15">
        <f t="shared" si="0"/>
        <v>115.69127022409224</v>
      </c>
      <c r="H14" s="12">
        <v>1.69</v>
      </c>
    </row>
    <row r="15" spans="1:10" ht="12.75" customHeight="1" x14ac:dyDescent="0.2">
      <c r="A15" t="s">
        <v>148</v>
      </c>
      <c r="B15" s="3">
        <v>50</v>
      </c>
      <c r="C15" s="3">
        <v>17</v>
      </c>
      <c r="D15" s="4">
        <v>2</v>
      </c>
      <c r="E15" s="4">
        <v>75</v>
      </c>
      <c r="F15" s="4">
        <f>146-(((B15+C15)+D15)+E15)</f>
        <v>2</v>
      </c>
      <c r="G15" s="15">
        <f t="shared" si="0"/>
        <v>80.567002108858048</v>
      </c>
      <c r="H15" s="15">
        <v>2.1800000000000002</v>
      </c>
    </row>
    <row r="16" spans="1:10" ht="12.75" customHeight="1" x14ac:dyDescent="0.2">
      <c r="A16" t="s">
        <v>149</v>
      </c>
      <c r="B16" s="3">
        <v>38</v>
      </c>
      <c r="C16" s="3">
        <v>13</v>
      </c>
      <c r="D16" s="4">
        <v>1</v>
      </c>
      <c r="E16" s="4">
        <v>46</v>
      </c>
      <c r="F16" s="4">
        <f>98-(((B16+C16)+D16)+E16)</f>
        <v>0</v>
      </c>
      <c r="G16" s="15">
        <f t="shared" si="0"/>
        <v>53.486032174435053</v>
      </c>
      <c r="H16" s="15">
        <v>2.21</v>
      </c>
    </row>
    <row r="17" spans="1:8" ht="12.75" customHeight="1" x14ac:dyDescent="0.2">
      <c r="A17" t="s">
        <v>150</v>
      </c>
      <c r="B17" s="3">
        <v>39</v>
      </c>
      <c r="C17" s="3">
        <v>11</v>
      </c>
      <c r="D17" s="4">
        <v>3</v>
      </c>
      <c r="E17" s="4">
        <v>30</v>
      </c>
      <c r="F17" s="4">
        <f>85-(((B17+C17)+D17)+E17)</f>
        <v>2</v>
      </c>
      <c r="G17" s="15">
        <f t="shared" si="0"/>
        <v>37.764342730440291</v>
      </c>
      <c r="H17" s="15">
        <v>1.91</v>
      </c>
    </row>
    <row r="18" spans="1:8" ht="12.75" customHeight="1" x14ac:dyDescent="0.2">
      <c r="A18" t="s">
        <v>151</v>
      </c>
      <c r="B18" s="3">
        <v>414</v>
      </c>
      <c r="C18" s="3">
        <v>83</v>
      </c>
      <c r="D18" s="4">
        <v>32</v>
      </c>
      <c r="E18" s="4">
        <v>470</v>
      </c>
      <c r="F18" s="4">
        <f>1000-(((B18+C18)+D18)+E18)</f>
        <v>1</v>
      </c>
      <c r="G18" s="15">
        <f t="shared" si="0"/>
        <v>598.00382960124148</v>
      </c>
      <c r="H18" s="15">
        <v>2.44</v>
      </c>
    </row>
    <row r="19" spans="1:8" ht="12.75" customHeight="1" x14ac:dyDescent="0.2">
      <c r="A19" t="s">
        <v>152</v>
      </c>
      <c r="B19" s="3">
        <v>42</v>
      </c>
      <c r="C19" s="3">
        <v>13</v>
      </c>
      <c r="D19" s="4">
        <v>3</v>
      </c>
      <c r="E19" s="4">
        <v>49</v>
      </c>
      <c r="F19" s="4">
        <f>107-(((B19+C19)+D19)+E19)</f>
        <v>0</v>
      </c>
      <c r="G19" s="15">
        <f t="shared" si="0"/>
        <v>54.662083239341307</v>
      </c>
      <c r="H19" s="15">
        <v>2.04</v>
      </c>
    </row>
    <row r="20" spans="1:8" ht="12.75" customHeight="1" x14ac:dyDescent="0.2">
      <c r="A20" t="s">
        <v>153</v>
      </c>
      <c r="B20" s="3">
        <v>60</v>
      </c>
      <c r="C20" s="3">
        <v>5</v>
      </c>
      <c r="D20" s="4">
        <v>1</v>
      </c>
      <c r="E20" s="4">
        <v>55</v>
      </c>
      <c r="F20" s="4">
        <f>123-(((B20+C20)+D20)+E20)</f>
        <v>2</v>
      </c>
      <c r="G20" s="15">
        <f t="shared" si="0"/>
        <v>98.608360730799262</v>
      </c>
      <c r="H20" s="15">
        <v>4.2699999999999996</v>
      </c>
    </row>
    <row r="21" spans="1:8" ht="12.75" customHeight="1" x14ac:dyDescent="0.2">
      <c r="A21" t="s">
        <v>154</v>
      </c>
      <c r="B21" s="3">
        <v>519</v>
      </c>
      <c r="C21" s="3">
        <v>100</v>
      </c>
      <c r="D21" s="4">
        <v>28</v>
      </c>
      <c r="E21" s="4">
        <v>668</v>
      </c>
      <c r="F21" s="4">
        <f>1329-(((B21+C21)+D21)+E21)</f>
        <v>14</v>
      </c>
      <c r="G21" s="15">
        <f t="shared" si="0"/>
        <v>859.25380428637152</v>
      </c>
      <c r="H21" s="15">
        <v>2.7</v>
      </c>
    </row>
    <row r="22" spans="1:8" ht="12.75" customHeight="1" x14ac:dyDescent="0.2">
      <c r="A22" t="s">
        <v>155</v>
      </c>
      <c r="B22" s="3">
        <v>43</v>
      </c>
      <c r="C22" s="3">
        <v>12</v>
      </c>
      <c r="D22" s="4">
        <v>2</v>
      </c>
      <c r="E22" s="4">
        <v>37</v>
      </c>
      <c r="F22" s="4">
        <f>95-(((B22+C22)+D22)+E22)</f>
        <v>1</v>
      </c>
      <c r="G22" s="15">
        <f t="shared" si="0"/>
        <v>48.801138755424468</v>
      </c>
      <c r="H22" s="15">
        <v>2.1800000000000002</v>
      </c>
    </row>
    <row r="23" spans="1:8" ht="12.75" customHeight="1" x14ac:dyDescent="0.2">
      <c r="A23" t="s">
        <v>156</v>
      </c>
      <c r="B23" s="3">
        <v>34</v>
      </c>
      <c r="C23" s="3">
        <v>21</v>
      </c>
      <c r="D23" s="4">
        <v>3</v>
      </c>
      <c r="E23" s="4">
        <v>44</v>
      </c>
      <c r="F23" s="4">
        <f>103-(((B23+C23)+D23)+E23)</f>
        <v>1</v>
      </c>
      <c r="G23" s="15">
        <f t="shared" si="0"/>
        <v>33.691234492936623</v>
      </c>
      <c r="H23" s="15">
        <v>1.43</v>
      </c>
    </row>
    <row r="24" spans="1:8" ht="12.75" customHeight="1" x14ac:dyDescent="0.2">
      <c r="A24" t="s">
        <v>157</v>
      </c>
      <c r="B24" s="3">
        <v>30</v>
      </c>
      <c r="C24" s="3">
        <v>14</v>
      </c>
      <c r="D24" s="4">
        <v>3</v>
      </c>
      <c r="E24" s="4">
        <v>37</v>
      </c>
      <c r="F24" s="4">
        <f>86-(((B24+C24)+D24)+E24)</f>
        <v>2</v>
      </c>
      <c r="G24" s="15">
        <f t="shared" si="0"/>
        <v>32.346329606222653</v>
      </c>
      <c r="H24" s="15">
        <v>1.59</v>
      </c>
    </row>
    <row r="25" spans="1:8" ht="12.75" customHeight="1" x14ac:dyDescent="0.2">
      <c r="A25" t="s">
        <v>158</v>
      </c>
      <c r="B25" s="3">
        <v>65</v>
      </c>
      <c r="C25" s="3">
        <v>16</v>
      </c>
      <c r="D25" s="4">
        <v>3</v>
      </c>
      <c r="E25" s="4">
        <v>76</v>
      </c>
      <c r="F25" s="4">
        <f>162-(((B25+C25)+D25)+E25)</f>
        <v>2</v>
      </c>
      <c r="G25" s="15">
        <f t="shared" si="0"/>
        <v>95.649791827287586</v>
      </c>
      <c r="H25" s="15">
        <v>2.4300000000000002</v>
      </c>
    </row>
    <row r="26" spans="1:8" ht="12.75" customHeight="1" x14ac:dyDescent="0.2">
      <c r="A26" t="s">
        <v>159</v>
      </c>
      <c r="B26" s="3">
        <v>24</v>
      </c>
      <c r="C26" s="3">
        <v>12</v>
      </c>
      <c r="D26" s="4">
        <v>4</v>
      </c>
      <c r="E26" s="4">
        <v>39</v>
      </c>
      <c r="F26" s="4">
        <f>79-(((B26+C26)+D26)+E26)</f>
        <v>0</v>
      </c>
      <c r="G26" s="15">
        <f t="shared" si="0"/>
        <v>28.180835124747574</v>
      </c>
      <c r="H26" s="15">
        <v>1.45</v>
      </c>
    </row>
    <row r="27" spans="1:8" ht="12.75" customHeight="1" x14ac:dyDescent="0.2">
      <c r="A27" t="s">
        <v>160</v>
      </c>
      <c r="B27" s="3">
        <v>63</v>
      </c>
      <c r="C27" s="3">
        <v>20</v>
      </c>
      <c r="D27" s="4">
        <v>9</v>
      </c>
      <c r="E27" s="4">
        <v>76</v>
      </c>
      <c r="F27" s="4">
        <f>169-(((B27+C27)+D27)+E27)</f>
        <v>1</v>
      </c>
      <c r="G27" s="15">
        <f t="shared" si="0"/>
        <v>73.153224663359325</v>
      </c>
      <c r="H27" s="15">
        <v>1.74</v>
      </c>
    </row>
    <row r="28" spans="1:8" ht="12.75" customHeight="1" x14ac:dyDescent="0.2">
      <c r="A28" t="s">
        <v>161</v>
      </c>
      <c r="B28" s="3">
        <v>65</v>
      </c>
      <c r="C28" s="3">
        <v>26</v>
      </c>
      <c r="D28" s="4">
        <v>12</v>
      </c>
      <c r="E28" s="4">
        <v>84</v>
      </c>
      <c r="F28" s="4">
        <f>187-(((B28+C28)+D28)+E28)</f>
        <v>0</v>
      </c>
      <c r="G28" s="15">
        <f t="shared" si="0"/>
        <v>66.9765306122449</v>
      </c>
      <c r="H28" s="15">
        <v>1.48</v>
      </c>
    </row>
    <row r="29" spans="1:8" ht="12.75" customHeight="1" x14ac:dyDescent="0.2">
      <c r="A29" t="s">
        <v>162</v>
      </c>
      <c r="B29" s="3">
        <v>35</v>
      </c>
      <c r="C29" s="3">
        <v>10</v>
      </c>
      <c r="D29" s="4">
        <v>4</v>
      </c>
      <c r="E29" s="4">
        <v>38</v>
      </c>
      <c r="F29" s="4">
        <f>87-(((B29+C29)+D29)+E29)</f>
        <v>0</v>
      </c>
      <c r="G29" s="15">
        <f t="shared" si="0"/>
        <v>40.919566544566543</v>
      </c>
      <c r="H29" s="15">
        <v>1.87</v>
      </c>
    </row>
    <row r="30" spans="1:8" ht="12.75" customHeight="1" x14ac:dyDescent="0.2">
      <c r="A30" t="s">
        <v>163</v>
      </c>
      <c r="B30" s="3">
        <v>88</v>
      </c>
      <c r="C30" s="3">
        <v>36</v>
      </c>
      <c r="D30" s="4">
        <v>7</v>
      </c>
      <c r="E30" s="4">
        <v>89</v>
      </c>
      <c r="F30" s="4">
        <f>225-(((B30+C30)+D30)+E30)</f>
        <v>5</v>
      </c>
      <c r="G30" s="15">
        <f t="shared" si="0"/>
        <v>89.419977362761742</v>
      </c>
      <c r="H30" s="15">
        <v>1.71</v>
      </c>
    </row>
    <row r="31" spans="1:8" ht="12.75" customHeight="1" x14ac:dyDescent="0.2">
      <c r="A31" t="s">
        <v>164</v>
      </c>
      <c r="B31" s="3">
        <v>24</v>
      </c>
      <c r="C31" s="3">
        <v>14</v>
      </c>
      <c r="D31" s="4">
        <v>5</v>
      </c>
      <c r="E31" s="4">
        <v>36</v>
      </c>
      <c r="F31" s="4">
        <f>80-(((B31+C31)+D31)+E31)</f>
        <v>1</v>
      </c>
      <c r="G31" s="15">
        <f t="shared" si="0"/>
        <v>22.046144039661812</v>
      </c>
      <c r="H31" s="12">
        <v>1.22</v>
      </c>
    </row>
    <row r="32" spans="1:8" ht="12.75" customHeight="1" x14ac:dyDescent="0.2">
      <c r="A32" t="s">
        <v>165</v>
      </c>
      <c r="B32" s="3">
        <v>50</v>
      </c>
      <c r="C32" s="3">
        <v>13</v>
      </c>
      <c r="D32" s="4">
        <v>3</v>
      </c>
      <c r="E32" s="4">
        <v>60</v>
      </c>
      <c r="F32" s="4">
        <f>127-(((B32+C32)+D32)+E32)</f>
        <v>1</v>
      </c>
      <c r="G32" s="15">
        <f t="shared" si="0"/>
        <v>71.939519255621605</v>
      </c>
      <c r="H32" s="15">
        <v>2.29</v>
      </c>
    </row>
    <row r="33" spans="1:8" ht="12.75" customHeight="1" x14ac:dyDescent="0.2">
      <c r="A33" t="s">
        <v>166</v>
      </c>
      <c r="B33" s="3">
        <v>35</v>
      </c>
      <c r="C33" s="3">
        <v>32</v>
      </c>
      <c r="D33" s="4">
        <v>13</v>
      </c>
      <c r="E33" s="4">
        <v>62</v>
      </c>
      <c r="F33" s="4">
        <f>144-(((B33+C33)+D33)+E33)</f>
        <v>2</v>
      </c>
      <c r="G33" s="15">
        <f t="shared" si="0"/>
        <v>19.268254119473553</v>
      </c>
      <c r="H33" s="15">
        <v>0.78</v>
      </c>
    </row>
    <row r="34" spans="1:8" ht="12.75" customHeight="1" x14ac:dyDescent="0.2">
      <c r="A34" t="s">
        <v>167</v>
      </c>
      <c r="B34" s="3">
        <v>27</v>
      </c>
      <c r="C34" s="3">
        <v>8</v>
      </c>
      <c r="D34" s="4">
        <v>4</v>
      </c>
      <c r="E34" s="4">
        <v>41</v>
      </c>
      <c r="F34" s="4">
        <f>81-(((B34+C34)+D34)+E34)</f>
        <v>1</v>
      </c>
      <c r="G34" s="15">
        <f t="shared" si="0"/>
        <v>38.64279966979111</v>
      </c>
      <c r="H34" s="15">
        <v>1.88</v>
      </c>
    </row>
    <row r="35" spans="1:8" ht="12.75" customHeight="1" x14ac:dyDescent="0.2">
      <c r="A35" t="s">
        <v>168</v>
      </c>
      <c r="B35" s="3">
        <v>31</v>
      </c>
      <c r="C35" s="3">
        <v>17</v>
      </c>
      <c r="D35" s="4">
        <v>3</v>
      </c>
      <c r="E35" s="4">
        <v>55</v>
      </c>
      <c r="F35" s="4">
        <f>108-(((B35+C35)+D35)+E35)</f>
        <v>2</v>
      </c>
      <c r="G35" s="15">
        <f t="shared" si="0"/>
        <v>42.549673437382616</v>
      </c>
      <c r="H35" s="12">
        <v>1.58</v>
      </c>
    </row>
    <row r="36" spans="1:8" ht="12.75" customHeight="1" x14ac:dyDescent="0.2">
      <c r="A36" t="s">
        <v>169</v>
      </c>
      <c r="B36" s="3">
        <v>37</v>
      </c>
      <c r="C36" s="3">
        <v>14</v>
      </c>
      <c r="D36" s="4">
        <v>3</v>
      </c>
      <c r="E36" s="4">
        <v>42</v>
      </c>
      <c r="F36" s="4">
        <f>96-(((B36+C36)+D36)+E36)</f>
        <v>0</v>
      </c>
      <c r="G36" s="15">
        <f t="shared" si="0"/>
        <v>42.691764705882356</v>
      </c>
      <c r="H36" s="15">
        <v>1.8</v>
      </c>
    </row>
    <row r="37" spans="1:8" ht="12.75" customHeight="1" x14ac:dyDescent="0.2">
      <c r="A37" t="s">
        <v>170</v>
      </c>
      <c r="B37" s="3">
        <v>43</v>
      </c>
      <c r="C37" s="3">
        <v>11</v>
      </c>
      <c r="D37" s="4">
        <v>3</v>
      </c>
      <c r="E37" s="4">
        <v>45</v>
      </c>
      <c r="F37" s="4">
        <f>103-(((B37+C37)+D37)+E37)</f>
        <v>1</v>
      </c>
      <c r="G37" s="15">
        <f t="shared" si="0"/>
        <v>55.263748706004144</v>
      </c>
      <c r="H37" s="15">
        <v>2.19</v>
      </c>
    </row>
    <row r="38" spans="1:8" ht="12.75" customHeight="1" x14ac:dyDescent="0.2">
      <c r="A38" t="s">
        <v>171</v>
      </c>
      <c r="B38" s="3">
        <v>34</v>
      </c>
      <c r="C38" s="3">
        <v>12</v>
      </c>
      <c r="D38" s="4">
        <v>0</v>
      </c>
      <c r="E38" s="4">
        <v>44</v>
      </c>
      <c r="F38" s="4">
        <f>90-(((B38+C38)+D38)+E38)</f>
        <v>0</v>
      </c>
      <c r="G38" s="15">
        <f t="shared" si="0"/>
        <v>52.267080745341616</v>
      </c>
      <c r="H38" s="15">
        <v>2.35</v>
      </c>
    </row>
    <row r="39" spans="1:8" ht="12.75" customHeight="1" x14ac:dyDescent="0.2">
      <c r="A39" t="s">
        <v>172</v>
      </c>
      <c r="B39" s="3">
        <v>29</v>
      </c>
      <c r="C39" s="3">
        <v>14</v>
      </c>
      <c r="D39" s="4">
        <v>5</v>
      </c>
      <c r="E39" s="4">
        <v>39</v>
      </c>
      <c r="F39" s="4">
        <f>87-(((B39+C39)+D39)+E39)</f>
        <v>0</v>
      </c>
      <c r="G39" s="15">
        <f t="shared" si="0"/>
        <v>28.725930256022789</v>
      </c>
      <c r="H39" s="12">
        <v>1.39</v>
      </c>
    </row>
    <row r="40" spans="1:8" ht="12.75" customHeight="1" x14ac:dyDescent="0.2">
      <c r="B40" s="3"/>
      <c r="C40" s="3"/>
      <c r="D40" s="4"/>
      <c r="E40" s="4"/>
      <c r="F40" s="4"/>
      <c r="G40" s="15"/>
      <c r="H40" s="1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21.7109375" customWidth="1"/>
    <col min="3" max="3" width="21.140625" customWidth="1"/>
    <col min="4" max="4" width="21" customWidth="1"/>
    <col min="5" max="5" width="22.5703125" customWidth="1"/>
    <col min="7" max="7" width="13.42578125" customWidth="1"/>
    <col min="8" max="8" width="16.140625" customWidth="1"/>
    <col min="9" max="9" width="21" customWidth="1"/>
    <col min="10" max="10" width="13.42578125" customWidth="1"/>
  </cols>
  <sheetData>
    <row r="1" spans="1:10" ht="12.75" customHeight="1" x14ac:dyDescent="0.2">
      <c r="A1" t="s">
        <v>117</v>
      </c>
      <c r="B1" s="3" t="s">
        <v>235</v>
      </c>
      <c r="C1" s="3" t="s">
        <v>236</v>
      </c>
      <c r="D1" s="3" t="s">
        <v>237</v>
      </c>
      <c r="E1" s="3" t="s">
        <v>238</v>
      </c>
      <c r="F1" s="4" t="s">
        <v>120</v>
      </c>
      <c r="G1" s="15" t="s">
        <v>229</v>
      </c>
      <c r="H1" s="15" t="s">
        <v>130</v>
      </c>
      <c r="I1" t="s">
        <v>131</v>
      </c>
      <c r="J1" t="s">
        <v>132</v>
      </c>
    </row>
    <row r="2" spans="1:10" ht="59.25" customHeight="1" x14ac:dyDescent="0.2">
      <c r="A2" s="6" t="s">
        <v>133</v>
      </c>
      <c r="B2" s="3">
        <v>2047</v>
      </c>
      <c r="C2" s="3">
        <v>2377</v>
      </c>
      <c r="D2" s="4">
        <v>1155</v>
      </c>
      <c r="E2" s="4">
        <v>697</v>
      </c>
      <c r="F2" s="4">
        <f>6344-(((B2+C2)+D2)+E2)</f>
        <v>68</v>
      </c>
      <c r="G2" s="15">
        <f>(((((B2*E2)-(C2*D2))^2)*SUM(B2:E2))/PRODUCT((B2+C2),(D2+E2),(B2+D2),(C2+E2)))</f>
        <v>135.3249413883722</v>
      </c>
      <c r="H2" s="15">
        <v>0.3</v>
      </c>
      <c r="I2" t="s">
        <v>134</v>
      </c>
      <c r="J2" t="s">
        <v>135</v>
      </c>
    </row>
    <row r="3" spans="1:10" ht="12.75" customHeight="1" x14ac:dyDescent="0.2">
      <c r="A3" s="6" t="s">
        <v>222</v>
      </c>
      <c r="B3" s="3">
        <f>SUM(B4:B39)</f>
        <v>2047</v>
      </c>
      <c r="C3" s="3">
        <f>SUM(C4:C39)</f>
        <v>2377</v>
      </c>
      <c r="D3" s="3">
        <f>SUM(D4:D39)</f>
        <v>1155</v>
      </c>
      <c r="E3" s="3">
        <f>SUM(E4:E39)</f>
        <v>697</v>
      </c>
      <c r="F3" s="4"/>
      <c r="G3" s="9" t="s">
        <v>230</v>
      </c>
      <c r="H3" s="15">
        <f>AVERAGE(H4:H39)</f>
        <v>0.27333333333333332</v>
      </c>
    </row>
    <row r="4" spans="1:10" ht="12.75" customHeight="1" x14ac:dyDescent="0.2">
      <c r="A4" t="s">
        <v>137</v>
      </c>
      <c r="B4" s="3">
        <v>24</v>
      </c>
      <c r="C4" s="3">
        <v>29</v>
      </c>
      <c r="D4" s="4">
        <v>16</v>
      </c>
      <c r="E4" s="4">
        <v>15</v>
      </c>
      <c r="F4" s="4">
        <f>84-(((B4+C4)+D4)+E4)</f>
        <v>0</v>
      </c>
      <c r="G4" s="15">
        <f t="shared" ref="G4:G39" si="0">(((((B4*E4)-(C4*D4))^2)*SUM(B4:E4))/PRODUCT((B4+C4),(D4+E4),(B4+D4),(C4+E4)))</f>
        <v>0.31419244176395728</v>
      </c>
      <c r="H4" s="15">
        <v>0.12</v>
      </c>
    </row>
    <row r="5" spans="1:10" ht="12.75" customHeight="1" x14ac:dyDescent="0.2">
      <c r="A5" t="s">
        <v>138</v>
      </c>
      <c r="B5" s="3">
        <v>42</v>
      </c>
      <c r="C5" s="3">
        <v>45</v>
      </c>
      <c r="D5" s="4">
        <v>22</v>
      </c>
      <c r="E5" s="4">
        <v>11</v>
      </c>
      <c r="F5" s="4">
        <f>120-(((B5+C5)+D5)+E5)</f>
        <v>0</v>
      </c>
      <c r="G5" s="15">
        <f t="shared" si="0"/>
        <v>3.2512315270935961</v>
      </c>
      <c r="H5" s="15">
        <v>0.33</v>
      </c>
    </row>
    <row r="6" spans="1:10" ht="12.75" customHeight="1" x14ac:dyDescent="0.2">
      <c r="A6" t="s">
        <v>139</v>
      </c>
      <c r="B6" s="3">
        <v>31</v>
      </c>
      <c r="C6" s="3">
        <v>42</v>
      </c>
      <c r="D6" s="4">
        <v>7</v>
      </c>
      <c r="E6" s="4">
        <v>3</v>
      </c>
      <c r="F6" s="4">
        <f>84-(((B6+C6)+D6)+E6)</f>
        <v>1</v>
      </c>
      <c r="G6" s="15">
        <f t="shared" si="0"/>
        <v>2.686279740447008</v>
      </c>
      <c r="H6" s="15">
        <v>0.36</v>
      </c>
    </row>
    <row r="7" spans="1:10" ht="12.75" customHeight="1" x14ac:dyDescent="0.2">
      <c r="A7" t="s">
        <v>140</v>
      </c>
      <c r="B7" s="3">
        <v>27</v>
      </c>
      <c r="C7" s="3">
        <v>37</v>
      </c>
      <c r="D7" s="4">
        <v>14</v>
      </c>
      <c r="E7" s="4">
        <v>15</v>
      </c>
      <c r="F7" s="4">
        <f>95-(((B7+C7)+D7)+E7)</f>
        <v>2</v>
      </c>
      <c r="G7" s="15">
        <f t="shared" si="0"/>
        <v>0.30010598960018114</v>
      </c>
      <c r="H7" s="15">
        <v>0.11</v>
      </c>
    </row>
    <row r="8" spans="1:10" ht="12.75" customHeight="1" x14ac:dyDescent="0.2">
      <c r="A8" t="s">
        <v>141</v>
      </c>
      <c r="B8" s="3">
        <v>21</v>
      </c>
      <c r="C8" s="3">
        <v>24</v>
      </c>
      <c r="D8" s="4">
        <v>27</v>
      </c>
      <c r="E8" s="4">
        <v>24</v>
      </c>
      <c r="F8" s="4">
        <f>96-(((B8+C8)+D8)+E8)</f>
        <v>0</v>
      </c>
      <c r="G8" s="15">
        <f t="shared" si="0"/>
        <v>0.37647058823529411</v>
      </c>
      <c r="H8" s="12">
        <v>0.12</v>
      </c>
    </row>
    <row r="9" spans="1:10" ht="12.75" customHeight="1" x14ac:dyDescent="0.2">
      <c r="A9" t="s">
        <v>142</v>
      </c>
      <c r="B9" s="3">
        <v>39</v>
      </c>
      <c r="C9" s="3">
        <v>42</v>
      </c>
      <c r="D9" s="4">
        <v>12</v>
      </c>
      <c r="E9" s="4">
        <v>9</v>
      </c>
      <c r="F9" s="4">
        <f>102-(((B9+C9)+D9)+E9)</f>
        <v>0</v>
      </c>
      <c r="G9" s="15">
        <f t="shared" si="0"/>
        <v>0.53968253968253965</v>
      </c>
      <c r="H9" s="15">
        <v>0.14000000000000001</v>
      </c>
    </row>
    <row r="10" spans="1:10" ht="12.75" customHeight="1" x14ac:dyDescent="0.2">
      <c r="A10" t="s">
        <v>143</v>
      </c>
      <c r="B10" s="3">
        <v>22</v>
      </c>
      <c r="C10" s="3">
        <v>15</v>
      </c>
      <c r="D10" s="4">
        <v>32</v>
      </c>
      <c r="E10" s="4">
        <v>19</v>
      </c>
      <c r="F10" s="4">
        <f>90-(((B10+C10)+D10)+E10)</f>
        <v>2</v>
      </c>
      <c r="G10" s="15">
        <f t="shared" si="0"/>
        <v>9.763858437445519E-2</v>
      </c>
      <c r="H10" s="15">
        <v>7.0000000000000007E-2</v>
      </c>
    </row>
    <row r="11" spans="1:10" ht="12.75" customHeight="1" x14ac:dyDescent="0.2">
      <c r="A11" t="s">
        <v>144</v>
      </c>
      <c r="B11" s="3">
        <v>43</v>
      </c>
      <c r="C11" s="3">
        <v>56</v>
      </c>
      <c r="D11" s="4">
        <v>47</v>
      </c>
      <c r="E11" s="4">
        <v>26</v>
      </c>
      <c r="F11" s="4">
        <f>174-(((B11+C11)+D11)+E11)</f>
        <v>2</v>
      </c>
      <c r="G11" s="15">
        <f t="shared" si="0"/>
        <v>7.3920650616496477</v>
      </c>
      <c r="H11" s="15">
        <v>0.42</v>
      </c>
    </row>
    <row r="12" spans="1:10" ht="12.75" customHeight="1" x14ac:dyDescent="0.2">
      <c r="A12" t="s">
        <v>145</v>
      </c>
      <c r="B12" s="3">
        <v>47</v>
      </c>
      <c r="C12" s="3">
        <v>49</v>
      </c>
      <c r="D12" s="4">
        <v>7</v>
      </c>
      <c r="E12" s="4">
        <v>9</v>
      </c>
      <c r="F12" s="4">
        <f>113-(((B12+C12)+D12)+E12)</f>
        <v>1</v>
      </c>
      <c r="G12" s="15">
        <f t="shared" si="0"/>
        <v>0.14899957428693061</v>
      </c>
      <c r="H12" s="15">
        <v>-7.0000000000000007E-2</v>
      </c>
    </row>
    <row r="13" spans="1:10" ht="12.75" customHeight="1" x14ac:dyDescent="0.2">
      <c r="A13" t="s">
        <v>146</v>
      </c>
      <c r="B13" s="3">
        <v>37</v>
      </c>
      <c r="C13" s="3">
        <v>40</v>
      </c>
      <c r="D13" s="4">
        <v>20</v>
      </c>
      <c r="E13" s="4">
        <v>11</v>
      </c>
      <c r="F13" s="4">
        <f>112-(((B13+C13)+D13)+E13)</f>
        <v>4</v>
      </c>
      <c r="G13" s="15">
        <f t="shared" si="0"/>
        <v>2.403872368518329</v>
      </c>
      <c r="H13" s="12">
        <v>0.3</v>
      </c>
    </row>
    <row r="14" spans="1:10" ht="12.75" customHeight="1" x14ac:dyDescent="0.2">
      <c r="A14" t="s">
        <v>147</v>
      </c>
      <c r="B14" s="3">
        <v>112</v>
      </c>
      <c r="C14" s="3">
        <v>125</v>
      </c>
      <c r="D14" s="4">
        <v>24</v>
      </c>
      <c r="E14" s="4">
        <v>15</v>
      </c>
      <c r="F14" s="4">
        <f>277-(((B14+C14)+D14)+E14)</f>
        <v>1</v>
      </c>
      <c r="G14" s="15">
        <f t="shared" si="0"/>
        <v>2.7326061875577885</v>
      </c>
      <c r="H14" s="15">
        <v>0.2</v>
      </c>
    </row>
    <row r="15" spans="1:10" ht="12.75" customHeight="1" x14ac:dyDescent="0.2">
      <c r="A15" t="s">
        <v>148</v>
      </c>
      <c r="B15" s="3">
        <v>36</v>
      </c>
      <c r="C15" s="3">
        <v>53</v>
      </c>
      <c r="D15" s="4">
        <v>31</v>
      </c>
      <c r="E15" s="4">
        <v>24</v>
      </c>
      <c r="F15" s="4">
        <f>146-(((B15+C15)+D15)+E15)</f>
        <v>2</v>
      </c>
      <c r="G15" s="15">
        <f t="shared" si="0"/>
        <v>3.4603432699205112</v>
      </c>
      <c r="H15" s="15">
        <v>0.31</v>
      </c>
    </row>
    <row r="16" spans="1:10" ht="12.75" customHeight="1" x14ac:dyDescent="0.2">
      <c r="A16" t="s">
        <v>149</v>
      </c>
      <c r="B16" s="3">
        <v>18</v>
      </c>
      <c r="C16" s="3">
        <v>38</v>
      </c>
      <c r="D16" s="4">
        <v>27</v>
      </c>
      <c r="E16" s="4">
        <v>15</v>
      </c>
      <c r="F16" s="4">
        <f>98-(((B16+C16)+D16)+E16)</f>
        <v>0</v>
      </c>
      <c r="G16" s="15">
        <f t="shared" si="0"/>
        <v>9.9849056603773576</v>
      </c>
      <c r="H16" s="15">
        <v>0.67</v>
      </c>
    </row>
    <row r="17" spans="1:8" ht="12.75" customHeight="1" x14ac:dyDescent="0.2">
      <c r="A17" t="s">
        <v>150</v>
      </c>
      <c r="B17" s="3">
        <v>30</v>
      </c>
      <c r="C17" s="3">
        <v>32</v>
      </c>
      <c r="D17" s="4">
        <v>13</v>
      </c>
      <c r="E17" s="4">
        <v>9</v>
      </c>
      <c r="F17" s="4">
        <f>85-(((B17+C17)+D17)+E17)</f>
        <v>1</v>
      </c>
      <c r="G17" s="15">
        <f t="shared" si="0"/>
        <v>0.74459191294497684</v>
      </c>
      <c r="H17" s="15">
        <v>0.19</v>
      </c>
    </row>
    <row r="18" spans="1:8" ht="12.75" customHeight="1" x14ac:dyDescent="0.2">
      <c r="A18" t="s">
        <v>151</v>
      </c>
      <c r="B18" s="3">
        <v>312</v>
      </c>
      <c r="C18" s="3">
        <v>417</v>
      </c>
      <c r="D18" s="4">
        <v>183</v>
      </c>
      <c r="E18" s="4">
        <v>85</v>
      </c>
      <c r="F18" s="4">
        <f>1000-(((B18+C18)+D18)+E18)</f>
        <v>3</v>
      </c>
      <c r="G18" s="15">
        <f t="shared" si="0"/>
        <v>50.912639998622822</v>
      </c>
      <c r="H18" s="15">
        <v>0.46</v>
      </c>
    </row>
    <row r="19" spans="1:8" ht="12.75" customHeight="1" x14ac:dyDescent="0.2">
      <c r="A19" t="s">
        <v>152</v>
      </c>
      <c r="B19" s="3">
        <v>31</v>
      </c>
      <c r="C19" s="3">
        <v>46</v>
      </c>
      <c r="D19" s="4">
        <v>22</v>
      </c>
      <c r="E19" s="4">
        <v>7</v>
      </c>
      <c r="F19" s="4">
        <f>107-(((B19+C19)+D19)+E19)</f>
        <v>1</v>
      </c>
      <c r="G19" s="15">
        <f t="shared" si="0"/>
        <v>10.680698611733094</v>
      </c>
      <c r="H19" s="15">
        <v>0.66</v>
      </c>
    </row>
    <row r="20" spans="1:8" ht="12.75" customHeight="1" x14ac:dyDescent="0.2">
      <c r="A20" t="s">
        <v>153</v>
      </c>
      <c r="B20" s="3">
        <v>51</v>
      </c>
      <c r="C20" s="3">
        <v>50</v>
      </c>
      <c r="D20" s="4">
        <v>12</v>
      </c>
      <c r="E20" s="4">
        <v>8</v>
      </c>
      <c r="F20" s="4">
        <f>123-(((B20+C20)+D20)+E20)</f>
        <v>2</v>
      </c>
      <c r="G20" s="15">
        <f t="shared" si="0"/>
        <v>0.60432131883139051</v>
      </c>
      <c r="H20" s="15">
        <v>0.14000000000000001</v>
      </c>
    </row>
    <row r="21" spans="1:8" ht="12.75" customHeight="1" x14ac:dyDescent="0.2">
      <c r="A21" t="s">
        <v>154</v>
      </c>
      <c r="B21" s="3">
        <v>493</v>
      </c>
      <c r="C21" s="3">
        <v>516</v>
      </c>
      <c r="D21" s="4">
        <v>186</v>
      </c>
      <c r="E21" s="4">
        <v>115</v>
      </c>
      <c r="F21" s="4">
        <f>1329-(((B21+C21)+D21)+E21)</f>
        <v>19</v>
      </c>
      <c r="G21" s="15">
        <f t="shared" si="0"/>
        <v>15.533866591178704</v>
      </c>
      <c r="H21" s="15">
        <v>0.22</v>
      </c>
    </row>
    <row r="22" spans="1:8" ht="12.75" customHeight="1" x14ac:dyDescent="0.2">
      <c r="A22" t="s">
        <v>155</v>
      </c>
      <c r="B22" s="3">
        <v>19</v>
      </c>
      <c r="C22" s="3">
        <v>30</v>
      </c>
      <c r="D22" s="4">
        <v>32</v>
      </c>
      <c r="E22" s="4">
        <v>14</v>
      </c>
      <c r="F22" s="4">
        <f>95-(((B22+C22)+D22)+E22)</f>
        <v>0</v>
      </c>
      <c r="G22" s="15">
        <f t="shared" si="0"/>
        <v>9.0461915991693118</v>
      </c>
      <c r="H22" s="15">
        <v>0.64</v>
      </c>
    </row>
    <row r="23" spans="1:8" ht="12.75" customHeight="1" x14ac:dyDescent="0.2">
      <c r="A23" t="s">
        <v>156</v>
      </c>
      <c r="B23" s="3">
        <v>28</v>
      </c>
      <c r="C23" s="3">
        <v>23</v>
      </c>
      <c r="D23" s="4">
        <v>35</v>
      </c>
      <c r="E23" s="4">
        <v>16</v>
      </c>
      <c r="F23" s="4">
        <f>103-(((B23+C23)+D23)+E23)</f>
        <v>1</v>
      </c>
      <c r="G23" s="15">
        <f t="shared" si="0"/>
        <v>2.0341880341880341</v>
      </c>
      <c r="H23" s="15">
        <v>0.28999999999999998</v>
      </c>
    </row>
    <row r="24" spans="1:8" ht="12.75" customHeight="1" x14ac:dyDescent="0.2">
      <c r="A24" t="s">
        <v>157</v>
      </c>
      <c r="B24" s="3">
        <v>27</v>
      </c>
      <c r="C24" s="3">
        <v>25</v>
      </c>
      <c r="D24" s="4">
        <v>14</v>
      </c>
      <c r="E24" s="4">
        <v>16</v>
      </c>
      <c r="F24" s="4">
        <f>86-(((B24+C24)+D24)+E24)</f>
        <v>4</v>
      </c>
      <c r="G24" s="15">
        <f t="shared" si="0"/>
        <v>0.21025641025641026</v>
      </c>
      <c r="H24" s="15">
        <v>-0.1</v>
      </c>
    </row>
    <row r="25" spans="1:8" ht="12.75" customHeight="1" x14ac:dyDescent="0.2">
      <c r="A25" t="s">
        <v>158</v>
      </c>
      <c r="B25" s="3">
        <v>43</v>
      </c>
      <c r="C25" s="3">
        <v>61</v>
      </c>
      <c r="D25" s="4">
        <v>36</v>
      </c>
      <c r="E25" s="4">
        <v>20</v>
      </c>
      <c r="F25" s="4">
        <f>162-(((B25+C25)+D25)+E25)</f>
        <v>2</v>
      </c>
      <c r="G25" s="15">
        <f t="shared" si="0"/>
        <v>7.6630105322088449</v>
      </c>
      <c r="H25" s="15">
        <v>0.45</v>
      </c>
    </row>
    <row r="26" spans="1:8" ht="12.75" customHeight="1" x14ac:dyDescent="0.2">
      <c r="A26" t="s">
        <v>159</v>
      </c>
      <c r="B26" s="3">
        <v>32</v>
      </c>
      <c r="C26" s="3">
        <v>30</v>
      </c>
      <c r="D26" s="4">
        <v>12</v>
      </c>
      <c r="E26" s="4">
        <v>5</v>
      </c>
      <c r="F26" s="4">
        <f>79-(((B26+C26)+D26)+E26)</f>
        <v>0</v>
      </c>
      <c r="G26" s="15">
        <f t="shared" si="0"/>
        <v>1.9468197836319279</v>
      </c>
      <c r="H26" s="15">
        <v>0.32</v>
      </c>
    </row>
    <row r="27" spans="1:8" ht="12.75" customHeight="1" x14ac:dyDescent="0.2">
      <c r="A27" t="s">
        <v>160</v>
      </c>
      <c r="B27" s="3">
        <v>78</v>
      </c>
      <c r="C27" s="3">
        <v>70</v>
      </c>
      <c r="D27" s="4">
        <v>14</v>
      </c>
      <c r="E27" s="4">
        <v>5</v>
      </c>
      <c r="F27" s="4">
        <f>169-(((B27+C27)+D27)+E27)</f>
        <v>2</v>
      </c>
      <c r="G27" s="15">
        <f t="shared" si="0"/>
        <v>2.9960985012472428</v>
      </c>
      <c r="H27" s="15">
        <v>0.27</v>
      </c>
    </row>
    <row r="28" spans="1:8" ht="12.75" customHeight="1" x14ac:dyDescent="0.2">
      <c r="A28" t="s">
        <v>161</v>
      </c>
      <c r="B28" s="3">
        <v>34</v>
      </c>
      <c r="C28" s="3">
        <v>65</v>
      </c>
      <c r="D28" s="4">
        <v>53</v>
      </c>
      <c r="E28" s="4">
        <v>32</v>
      </c>
      <c r="F28" s="4">
        <f>187-(((B28+C28)+D28)+E28)</f>
        <v>3</v>
      </c>
      <c r="G28" s="15">
        <f t="shared" si="0"/>
        <v>14.394344115897409</v>
      </c>
      <c r="H28" s="15">
        <v>0.57999999999999996</v>
      </c>
    </row>
    <row r="29" spans="1:8" ht="12.75" customHeight="1" x14ac:dyDescent="0.2">
      <c r="A29" t="s">
        <v>162</v>
      </c>
      <c r="B29" s="3">
        <v>26</v>
      </c>
      <c r="C29" s="3">
        <v>22</v>
      </c>
      <c r="D29" s="4">
        <v>22</v>
      </c>
      <c r="E29" s="4">
        <v>15</v>
      </c>
      <c r="F29" s="4">
        <f>87-(((B29+C29)+D29)+E29)</f>
        <v>2</v>
      </c>
      <c r="G29" s="15">
        <f t="shared" si="0"/>
        <v>0.23811607215323433</v>
      </c>
      <c r="H29" s="15">
        <v>0.11</v>
      </c>
    </row>
    <row r="30" spans="1:8" ht="12.75" customHeight="1" x14ac:dyDescent="0.2">
      <c r="A30" t="s">
        <v>163</v>
      </c>
      <c r="B30" s="3">
        <v>52</v>
      </c>
      <c r="C30" s="3">
        <v>66</v>
      </c>
      <c r="D30" s="4">
        <v>62</v>
      </c>
      <c r="E30" s="4">
        <v>43</v>
      </c>
      <c r="F30" s="4">
        <f>225-(((B30+C30)+D30)+E30)</f>
        <v>2</v>
      </c>
      <c r="G30" s="15">
        <f t="shared" si="0"/>
        <v>4.9895129156535667</v>
      </c>
      <c r="H30" s="12">
        <v>0.3</v>
      </c>
    </row>
    <row r="31" spans="1:8" ht="12.75" customHeight="1" x14ac:dyDescent="0.2">
      <c r="A31" t="s">
        <v>164</v>
      </c>
      <c r="B31" s="3">
        <v>19</v>
      </c>
      <c r="C31" s="3">
        <v>31</v>
      </c>
      <c r="D31" s="4">
        <v>17</v>
      </c>
      <c r="E31" s="4">
        <v>12</v>
      </c>
      <c r="F31" s="4">
        <f>80-(((B31+C31)+D31)+E31)</f>
        <v>1</v>
      </c>
      <c r="G31" s="15">
        <f t="shared" si="0"/>
        <v>3.1465200926668451</v>
      </c>
      <c r="H31" s="15">
        <v>0.4</v>
      </c>
    </row>
    <row r="32" spans="1:8" ht="12.75" customHeight="1" x14ac:dyDescent="0.2">
      <c r="A32" t="s">
        <v>165</v>
      </c>
      <c r="B32" s="3">
        <v>36</v>
      </c>
      <c r="C32" s="3">
        <v>44</v>
      </c>
      <c r="D32" s="4">
        <v>26</v>
      </c>
      <c r="E32" s="4">
        <v>19</v>
      </c>
      <c r="F32" s="4">
        <f>127-(((B32+C32)+D32)+E32)</f>
        <v>2</v>
      </c>
      <c r="G32" s="15">
        <f t="shared" si="0"/>
        <v>1.8810092734823918</v>
      </c>
      <c r="H32" s="15">
        <v>0.25</v>
      </c>
    </row>
    <row r="33" spans="1:8" ht="12.75" customHeight="1" x14ac:dyDescent="0.2">
      <c r="A33" t="s">
        <v>166</v>
      </c>
      <c r="B33" s="3">
        <v>59</v>
      </c>
      <c r="C33" s="3">
        <v>61</v>
      </c>
      <c r="D33" s="4">
        <v>9</v>
      </c>
      <c r="E33" s="4">
        <v>9</v>
      </c>
      <c r="F33" s="4">
        <f>144-(((B33+C33)+D33)+E33)</f>
        <v>6</v>
      </c>
      <c r="G33" s="15">
        <f t="shared" si="0"/>
        <v>4.348739495798319E-3</v>
      </c>
      <c r="H33" s="15">
        <v>0.01</v>
      </c>
    </row>
    <row r="34" spans="1:8" ht="12.75" customHeight="1" x14ac:dyDescent="0.2">
      <c r="A34" t="s">
        <v>167</v>
      </c>
      <c r="B34" s="3">
        <v>25</v>
      </c>
      <c r="C34" s="3">
        <v>30</v>
      </c>
      <c r="D34" s="4">
        <v>15</v>
      </c>
      <c r="E34" s="4">
        <v>10</v>
      </c>
      <c r="F34" s="4">
        <f>81-(((B34+C34)+D34)+E34)</f>
        <v>1</v>
      </c>
      <c r="G34" s="15">
        <f t="shared" si="0"/>
        <v>1.4545454545454546</v>
      </c>
      <c r="H34" s="12">
        <v>0.27</v>
      </c>
    </row>
    <row r="35" spans="1:8" ht="12.75" customHeight="1" x14ac:dyDescent="0.2">
      <c r="A35" t="s">
        <v>168</v>
      </c>
      <c r="B35" s="3">
        <v>25</v>
      </c>
      <c r="C35" s="3">
        <v>32</v>
      </c>
      <c r="D35" s="4">
        <v>36</v>
      </c>
      <c r="E35" s="4">
        <v>15</v>
      </c>
      <c r="F35" s="4">
        <f>108-(((B35+C35)+D35)+E35)</f>
        <v>0</v>
      </c>
      <c r="G35" s="15">
        <f t="shared" si="0"/>
        <v>7.8233555533718269</v>
      </c>
      <c r="H35" s="15">
        <v>0.56000000000000005</v>
      </c>
    </row>
    <row r="36" spans="1:8" ht="12.75" customHeight="1" x14ac:dyDescent="0.2">
      <c r="A36" t="s">
        <v>169</v>
      </c>
      <c r="B36" s="3">
        <v>37</v>
      </c>
      <c r="C36" s="3">
        <v>29</v>
      </c>
      <c r="D36" s="4">
        <v>18</v>
      </c>
      <c r="E36" s="4">
        <v>12</v>
      </c>
      <c r="F36" s="4">
        <f>96-(((B36+C36)+D36)+E36)</f>
        <v>0</v>
      </c>
      <c r="G36" s="15">
        <f t="shared" si="0"/>
        <v>0.13081233622253577</v>
      </c>
      <c r="H36" s="15">
        <v>7.0000000000000007E-2</v>
      </c>
    </row>
    <row r="37" spans="1:8" ht="12.75" customHeight="1" x14ac:dyDescent="0.2">
      <c r="A37" t="s">
        <v>170</v>
      </c>
      <c r="B37" s="3">
        <v>23</v>
      </c>
      <c r="C37" s="3">
        <v>35</v>
      </c>
      <c r="D37" s="4">
        <v>29</v>
      </c>
      <c r="E37" s="4">
        <v>16</v>
      </c>
      <c r="F37" s="4">
        <f>103-(((B37+C37)+D37)+E37)</f>
        <v>0</v>
      </c>
      <c r="G37" s="15">
        <f t="shared" si="0"/>
        <v>6.229192599527285</v>
      </c>
      <c r="H37" s="15">
        <v>0.5</v>
      </c>
    </row>
    <row r="38" spans="1:8" ht="12.75" customHeight="1" x14ac:dyDescent="0.2">
      <c r="A38" t="s">
        <v>171</v>
      </c>
      <c r="B38" s="3">
        <v>32</v>
      </c>
      <c r="C38" s="3">
        <v>39</v>
      </c>
      <c r="D38" s="4">
        <v>9</v>
      </c>
      <c r="E38" s="4">
        <v>10</v>
      </c>
      <c r="F38" s="4">
        <f>90-(((B38+C38)+D38)+E38)</f>
        <v>0</v>
      </c>
      <c r="G38" s="15">
        <f t="shared" si="0"/>
        <v>3.1913468708823639E-2</v>
      </c>
      <c r="H38" s="12">
        <v>0.04</v>
      </c>
    </row>
    <row r="39" spans="1:8" ht="12.75" customHeight="1" x14ac:dyDescent="0.2">
      <c r="A39" t="s">
        <v>172</v>
      </c>
      <c r="B39" s="3">
        <v>36</v>
      </c>
      <c r="C39" s="3">
        <v>28</v>
      </c>
      <c r="D39" s="4">
        <v>14</v>
      </c>
      <c r="E39" s="4">
        <v>8</v>
      </c>
      <c r="F39" s="4">
        <f>87-(((B39+C39)+D39)+E39)</f>
        <v>1</v>
      </c>
      <c r="G39" s="15">
        <f t="shared" si="0"/>
        <v>0.36702020202020202</v>
      </c>
      <c r="H39" s="15">
        <v>0.13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abSelected="1" workbookViewId="0">
      <pane ySplit="1" topLeftCell="A2" activePane="bottomLeft" state="frozen"/>
      <selection pane="bottomLeft" activeCell="I21" sqref="I21"/>
    </sheetView>
  </sheetViews>
  <sheetFormatPr defaultColWidth="17.140625" defaultRowHeight="12.75" customHeight="1" x14ac:dyDescent="0.2"/>
  <cols>
    <col min="1" max="1" width="20.7109375" customWidth="1"/>
    <col min="2" max="5" width="21" customWidth="1"/>
    <col min="7" max="7" width="13.42578125" customWidth="1"/>
    <col min="8" max="8" width="15.5703125" customWidth="1"/>
    <col min="9" max="9" width="21" customWidth="1"/>
    <col min="10" max="10" width="15.5703125" customWidth="1"/>
  </cols>
  <sheetData>
    <row r="1" spans="1:10" ht="12.75" customHeight="1" x14ac:dyDescent="0.2">
      <c r="A1" t="s">
        <v>117</v>
      </c>
      <c r="B1" s="3" t="s">
        <v>239</v>
      </c>
      <c r="C1" s="3" t="s">
        <v>240</v>
      </c>
      <c r="D1" s="3" t="s">
        <v>241</v>
      </c>
      <c r="E1" s="3" t="s">
        <v>242</v>
      </c>
      <c r="F1" s="4" t="s">
        <v>120</v>
      </c>
      <c r="G1" s="15" t="s">
        <v>229</v>
      </c>
      <c r="H1" s="15" t="s">
        <v>130</v>
      </c>
      <c r="I1" t="s">
        <v>131</v>
      </c>
      <c r="J1" t="s">
        <v>132</v>
      </c>
    </row>
    <row r="2" spans="1:10" ht="47.25" customHeight="1" x14ac:dyDescent="0.2">
      <c r="A2" s="6" t="s">
        <v>133</v>
      </c>
      <c r="B2" s="3">
        <v>2858</v>
      </c>
      <c r="C2" s="3">
        <v>2125</v>
      </c>
      <c r="D2" s="4">
        <v>221</v>
      </c>
      <c r="E2" s="4">
        <v>695</v>
      </c>
      <c r="F2" s="4">
        <f>6344-(((B2+C2)+D2)+E2)</f>
        <v>445</v>
      </c>
      <c r="G2" s="15">
        <f>(((((B2*E2)-(C2*D2))^2)*SUM(B2:E2))/PRODUCT((B2+C2),(D2+E2),(B2+D2),(C2+E2)))</f>
        <v>342.39232523089743</v>
      </c>
      <c r="H2" s="15">
        <v>0.49</v>
      </c>
      <c r="I2" t="s">
        <v>134</v>
      </c>
      <c r="J2" t="s">
        <v>135</v>
      </c>
    </row>
    <row r="3" spans="1:10" ht="12.75" customHeight="1" x14ac:dyDescent="0.2">
      <c r="A3" s="6" t="s">
        <v>222</v>
      </c>
      <c r="B3" s="3">
        <f>SUM(B4:B39)</f>
        <v>2858</v>
      </c>
      <c r="C3" s="3">
        <f>SUM(C4:C39)</f>
        <v>2125</v>
      </c>
      <c r="D3" s="3">
        <f>SUM(D4:D39)</f>
        <v>221</v>
      </c>
      <c r="E3" s="3">
        <f>SUM(E4:E39)</f>
        <v>695</v>
      </c>
      <c r="F3" s="4"/>
      <c r="G3" s="9" t="s">
        <v>230</v>
      </c>
      <c r="H3" s="15">
        <f>AVERAGE(H4:H39)</f>
        <v>0.51179409329881376</v>
      </c>
    </row>
    <row r="4" spans="1:10" ht="12.75" customHeight="1" x14ac:dyDescent="0.2">
      <c r="A4" t="s">
        <v>137</v>
      </c>
      <c r="B4" s="3">
        <v>33</v>
      </c>
      <c r="C4" s="3">
        <v>29</v>
      </c>
      <c r="D4" s="4">
        <v>6</v>
      </c>
      <c r="E4" s="4">
        <v>11</v>
      </c>
      <c r="F4" s="4">
        <f>84-(((B4+C4)+D4)+E4)</f>
        <v>5</v>
      </c>
      <c r="G4" s="15">
        <f t="shared" ref="G4:G39" si="0">(((((B4*E4)-(C4*D4))^2)*SUM(B4:E4))/PRODUCT((B4+C4),(D4+E4),(B4+D4),(C4+E4)))</f>
        <v>1.7162695226974165</v>
      </c>
      <c r="H4" s="15">
        <v>0.29466989764087398</v>
      </c>
    </row>
    <row r="5" spans="1:10" ht="12.75" customHeight="1" x14ac:dyDescent="0.2">
      <c r="A5" t="s">
        <v>138</v>
      </c>
      <c r="B5" s="3">
        <v>50</v>
      </c>
      <c r="C5" s="3">
        <v>43</v>
      </c>
      <c r="D5" s="4">
        <v>0</v>
      </c>
      <c r="E5" s="4">
        <v>20</v>
      </c>
      <c r="F5" s="4">
        <f>120-(((B5+C5)+D5)+E5)</f>
        <v>7</v>
      </c>
      <c r="G5" s="15">
        <f t="shared" si="0"/>
        <v>19.286567673664447</v>
      </c>
      <c r="H5" s="15">
        <v>0.95680037728806799</v>
      </c>
    </row>
    <row r="6" spans="1:10" ht="12.75" customHeight="1" x14ac:dyDescent="0.2">
      <c r="A6" t="s">
        <v>139</v>
      </c>
      <c r="B6" s="3">
        <v>40</v>
      </c>
      <c r="C6" s="3">
        <v>33</v>
      </c>
      <c r="D6" s="4">
        <v>0</v>
      </c>
      <c r="E6" s="4">
        <v>5</v>
      </c>
      <c r="F6" s="4">
        <f>84-(((B6+C6)+D6)+E6)</f>
        <v>6</v>
      </c>
      <c r="G6" s="15">
        <f t="shared" si="0"/>
        <v>5.6236481614996396</v>
      </c>
      <c r="H6" s="15">
        <v>0.54319040986712097</v>
      </c>
    </row>
    <row r="7" spans="1:10" ht="12.75" customHeight="1" x14ac:dyDescent="0.2">
      <c r="A7" t="s">
        <v>140</v>
      </c>
      <c r="B7" s="3">
        <v>42</v>
      </c>
      <c r="C7" s="3">
        <v>40</v>
      </c>
      <c r="D7" s="4">
        <v>0</v>
      </c>
      <c r="E7" s="4">
        <v>4</v>
      </c>
      <c r="F7" s="4">
        <f>95-(((B7+C7)+D7)+E7)</f>
        <v>9</v>
      </c>
      <c r="G7" s="15">
        <f t="shared" si="0"/>
        <v>4.0044345898004439</v>
      </c>
      <c r="H7" s="15">
        <v>0.442102415119557</v>
      </c>
    </row>
    <row r="8" spans="1:10" ht="12.75" customHeight="1" x14ac:dyDescent="0.2">
      <c r="A8" t="s">
        <v>141</v>
      </c>
      <c r="B8" s="3">
        <v>38</v>
      </c>
      <c r="C8" s="3">
        <v>32</v>
      </c>
      <c r="D8" s="4">
        <v>4</v>
      </c>
      <c r="E8" s="4">
        <v>14</v>
      </c>
      <c r="F8" s="4">
        <f>96-(((B8+C8)+D8)+E8)</f>
        <v>8</v>
      </c>
      <c r="G8" s="15">
        <f t="shared" si="0"/>
        <v>5.9002136120148538</v>
      </c>
      <c r="H8" s="12">
        <v>0.53574346230462999</v>
      </c>
    </row>
    <row r="9" spans="1:10" ht="12.75" customHeight="1" x14ac:dyDescent="0.2">
      <c r="A9" t="s">
        <v>142</v>
      </c>
      <c r="B9" s="3">
        <v>42</v>
      </c>
      <c r="C9" s="3">
        <v>30</v>
      </c>
      <c r="D9" s="4">
        <v>7</v>
      </c>
      <c r="E9" s="4">
        <v>15</v>
      </c>
      <c r="F9" s="4">
        <f>102-(((B9+C9)+D9)+E9)</f>
        <v>8</v>
      </c>
      <c r="G9" s="15">
        <f t="shared" si="0"/>
        <v>4.7474747474747474</v>
      </c>
      <c r="H9" s="15">
        <v>0.45385401690001598</v>
      </c>
    </row>
    <row r="10" spans="1:10" ht="12.75" customHeight="1" x14ac:dyDescent="0.2">
      <c r="A10" t="s">
        <v>143</v>
      </c>
      <c r="B10" s="3">
        <v>39</v>
      </c>
      <c r="C10" s="3">
        <v>29</v>
      </c>
      <c r="D10" s="4">
        <v>2</v>
      </c>
      <c r="E10" s="4">
        <v>6</v>
      </c>
      <c r="F10" s="4">
        <f>90-(((B10+C10)+D10)+E10)</f>
        <v>14</v>
      </c>
      <c r="G10" s="15">
        <f t="shared" si="0"/>
        <v>3.01569993851199</v>
      </c>
      <c r="H10" s="15">
        <v>0.39402328782294599</v>
      </c>
    </row>
    <row r="11" spans="1:10" ht="12.75" customHeight="1" x14ac:dyDescent="0.2">
      <c r="A11" t="s">
        <v>144</v>
      </c>
      <c r="B11" s="3">
        <v>72</v>
      </c>
      <c r="C11" s="3">
        <v>83</v>
      </c>
      <c r="D11" s="4">
        <v>0</v>
      </c>
      <c r="E11" s="4">
        <v>8</v>
      </c>
      <c r="F11" s="4">
        <f>174-(((B11+C11)+D11)+E11)</f>
        <v>11</v>
      </c>
      <c r="G11" s="15">
        <f t="shared" si="0"/>
        <v>6.656362991846863</v>
      </c>
      <c r="H11" s="15">
        <v>0.43663797449741198</v>
      </c>
    </row>
    <row r="12" spans="1:10" ht="12.75" customHeight="1" x14ac:dyDescent="0.2">
      <c r="A12" t="s">
        <v>145</v>
      </c>
      <c r="B12" s="3">
        <v>51</v>
      </c>
      <c r="C12" s="3">
        <v>42</v>
      </c>
      <c r="D12" s="4">
        <v>3</v>
      </c>
      <c r="E12" s="4">
        <v>1</v>
      </c>
      <c r="F12" s="4">
        <f>113-(((B12+C12)+D12)+E12)</f>
        <v>16</v>
      </c>
      <c r="G12" s="15">
        <f t="shared" si="0"/>
        <v>0.63166833375010423</v>
      </c>
      <c r="H12" s="15">
        <v>-0.16492028988683499</v>
      </c>
    </row>
    <row r="13" spans="1:10" ht="12.75" customHeight="1" x14ac:dyDescent="0.2">
      <c r="A13" t="s">
        <v>146</v>
      </c>
      <c r="B13" s="3">
        <v>58</v>
      </c>
      <c r="C13" s="3">
        <v>38</v>
      </c>
      <c r="D13" s="4">
        <v>0</v>
      </c>
      <c r="E13" s="4">
        <v>7</v>
      </c>
      <c r="F13" s="4">
        <f>112-(((B13+C13)+D13)+E13)</f>
        <v>9</v>
      </c>
      <c r="G13" s="15">
        <f t="shared" si="0"/>
        <v>9.680092592592592</v>
      </c>
      <c r="H13" s="12">
        <v>0.60019490011883203</v>
      </c>
    </row>
    <row r="14" spans="1:10" ht="12.75" customHeight="1" x14ac:dyDescent="0.2">
      <c r="A14" t="s">
        <v>147</v>
      </c>
      <c r="B14" s="3">
        <v>146</v>
      </c>
      <c r="C14" s="3">
        <v>95</v>
      </c>
      <c r="D14" s="4">
        <v>2</v>
      </c>
      <c r="E14" s="4">
        <v>17</v>
      </c>
      <c r="F14" s="4">
        <f>277-(((B14+C14)+D14)+E14)</f>
        <v>17</v>
      </c>
      <c r="G14" s="15">
        <f t="shared" si="0"/>
        <v>17.995014169943193</v>
      </c>
      <c r="H14" s="15">
        <v>0.51651618258399601</v>
      </c>
    </row>
    <row r="15" spans="1:10" ht="12.75" customHeight="1" x14ac:dyDescent="0.2">
      <c r="A15" t="s">
        <v>148</v>
      </c>
      <c r="B15" s="3">
        <v>66</v>
      </c>
      <c r="C15" s="3">
        <v>49</v>
      </c>
      <c r="D15" s="4">
        <v>1</v>
      </c>
      <c r="E15" s="4">
        <v>10</v>
      </c>
      <c r="F15" s="4">
        <f>146-(((B15+C15)+D15)+E15)</f>
        <v>20</v>
      </c>
      <c r="G15" s="15">
        <f t="shared" si="0"/>
        <v>9.4066638736377737</v>
      </c>
      <c r="H15" s="15">
        <v>0.54971908130022995</v>
      </c>
    </row>
    <row r="16" spans="1:10" ht="12.75" customHeight="1" x14ac:dyDescent="0.2">
      <c r="A16" t="s">
        <v>149</v>
      </c>
      <c r="B16" s="3">
        <v>46</v>
      </c>
      <c r="C16" s="3">
        <v>34</v>
      </c>
      <c r="D16" s="4">
        <v>0</v>
      </c>
      <c r="E16" s="4">
        <v>7</v>
      </c>
      <c r="F16" s="4">
        <f>98-(((B16+C16)+D16)+E16)</f>
        <v>11</v>
      </c>
      <c r="G16" s="15">
        <f t="shared" si="0"/>
        <v>8.5408536585365855</v>
      </c>
      <c r="H16" s="15">
        <v>0.63381516570327201</v>
      </c>
    </row>
    <row r="17" spans="1:8" ht="12.75" customHeight="1" x14ac:dyDescent="0.2">
      <c r="A17" t="s">
        <v>150</v>
      </c>
      <c r="B17" s="3">
        <v>41</v>
      </c>
      <c r="C17" s="3">
        <v>28</v>
      </c>
      <c r="D17" s="4">
        <v>2</v>
      </c>
      <c r="E17" s="4">
        <v>7</v>
      </c>
      <c r="F17" s="4">
        <f>85-(((B17+C17)+D17)+E17)</f>
        <v>7</v>
      </c>
      <c r="G17" s="15">
        <f t="shared" si="0"/>
        <v>4.4533872598584425</v>
      </c>
      <c r="H17" s="15">
        <v>0.473551288717035</v>
      </c>
    </row>
    <row r="18" spans="1:8" ht="12.75" customHeight="1" x14ac:dyDescent="0.2">
      <c r="A18" t="s">
        <v>151</v>
      </c>
      <c r="B18" s="3">
        <v>423</v>
      </c>
      <c r="C18" s="3">
        <v>287</v>
      </c>
      <c r="D18" s="4">
        <v>87</v>
      </c>
      <c r="E18" s="4">
        <v>186</v>
      </c>
      <c r="F18" s="4">
        <f>1000-(((B18+C18)+D18)+E18)</f>
        <v>17</v>
      </c>
      <c r="G18" s="15">
        <f t="shared" si="0"/>
        <v>60.645047145105522</v>
      </c>
      <c r="H18" s="15">
        <v>0.51020054457175901</v>
      </c>
    </row>
    <row r="19" spans="1:8" ht="12.75" customHeight="1" x14ac:dyDescent="0.2">
      <c r="A19" t="s">
        <v>152</v>
      </c>
      <c r="B19" s="3">
        <v>47</v>
      </c>
      <c r="C19" s="3">
        <v>39</v>
      </c>
      <c r="D19" s="4">
        <v>3</v>
      </c>
      <c r="E19" s="4">
        <v>10</v>
      </c>
      <c r="F19" s="4">
        <f>107-(((B19+C19)+D19)+E19)</f>
        <v>8</v>
      </c>
      <c r="G19" s="15">
        <f t="shared" si="0"/>
        <v>4.5037753276623711</v>
      </c>
      <c r="H19" s="15">
        <v>0.43113549154053099</v>
      </c>
    </row>
    <row r="20" spans="1:8" ht="12.75" customHeight="1" x14ac:dyDescent="0.2">
      <c r="A20" t="s">
        <v>153</v>
      </c>
      <c r="B20" s="3">
        <v>47</v>
      </c>
      <c r="C20" s="3">
        <v>46</v>
      </c>
      <c r="D20" s="4">
        <v>1</v>
      </c>
      <c r="E20" s="4">
        <v>7</v>
      </c>
      <c r="F20" s="4">
        <f>123-(((B20+C20)+D20)+E20)</f>
        <v>22</v>
      </c>
      <c r="G20" s="15">
        <f t="shared" si="0"/>
        <v>4.2737016678501387</v>
      </c>
      <c r="H20" s="15">
        <v>0.42399987725488397</v>
      </c>
    </row>
    <row r="21" spans="1:8" ht="12.75" customHeight="1" x14ac:dyDescent="0.2">
      <c r="A21" t="s">
        <v>154</v>
      </c>
      <c r="B21" s="3">
        <v>596</v>
      </c>
      <c r="C21" s="3">
        <v>421</v>
      </c>
      <c r="D21" s="4">
        <v>70</v>
      </c>
      <c r="E21" s="4">
        <v>174</v>
      </c>
      <c r="F21" s="4">
        <f>1329-(((B21+C21)+D21)+E21)</f>
        <v>68</v>
      </c>
      <c r="G21" s="15">
        <f t="shared" si="0"/>
        <v>70.667355174669211</v>
      </c>
      <c r="H21" s="15">
        <v>0.48251178919076998</v>
      </c>
    </row>
    <row r="22" spans="1:8" ht="12.75" customHeight="1" x14ac:dyDescent="0.2">
      <c r="A22" t="s">
        <v>155</v>
      </c>
      <c r="B22" s="3">
        <v>44</v>
      </c>
      <c r="C22" s="3">
        <v>39</v>
      </c>
      <c r="D22" s="4">
        <v>1</v>
      </c>
      <c r="E22" s="4">
        <v>6</v>
      </c>
      <c r="F22" s="4">
        <f>95-(((B22+C22)+D22)+E22)</f>
        <v>5</v>
      </c>
      <c r="G22" s="15">
        <f t="shared" si="0"/>
        <v>3.8726333907056798</v>
      </c>
      <c r="H22" s="15">
        <v>0.41935583047092601</v>
      </c>
    </row>
    <row r="23" spans="1:8" ht="12.75" customHeight="1" x14ac:dyDescent="0.2">
      <c r="A23" t="s">
        <v>156</v>
      </c>
      <c r="B23" s="3">
        <v>50</v>
      </c>
      <c r="C23" s="3">
        <v>34</v>
      </c>
      <c r="D23" s="4">
        <v>3</v>
      </c>
      <c r="E23" s="4">
        <v>13</v>
      </c>
      <c r="F23" s="4">
        <f>103-(((B23+C23)+D23)+E23)</f>
        <v>3</v>
      </c>
      <c r="G23" s="15">
        <f t="shared" si="0"/>
        <v>8.9699107262334881</v>
      </c>
      <c r="H23" s="15">
        <v>0.61148168157226801</v>
      </c>
    </row>
    <row r="24" spans="1:8" ht="12.75" customHeight="1" x14ac:dyDescent="0.2">
      <c r="A24" t="s">
        <v>157</v>
      </c>
      <c r="B24" s="3">
        <v>38</v>
      </c>
      <c r="C24" s="3">
        <v>35</v>
      </c>
      <c r="D24" s="4">
        <v>1</v>
      </c>
      <c r="E24" s="4">
        <v>9</v>
      </c>
      <c r="F24" s="4">
        <f>86-(((B24+C24)+D24)+E24)</f>
        <v>3</v>
      </c>
      <c r="G24" s="15">
        <f t="shared" si="0"/>
        <v>6.2447448670051413</v>
      </c>
      <c r="H24" s="15">
        <v>0.57721391167673897</v>
      </c>
    </row>
    <row r="25" spans="1:8" ht="12.75" customHeight="1" x14ac:dyDescent="0.2">
      <c r="A25" t="s">
        <v>158</v>
      </c>
      <c r="B25" s="3">
        <v>77</v>
      </c>
      <c r="C25" s="3">
        <v>54</v>
      </c>
      <c r="D25" s="4">
        <v>3</v>
      </c>
      <c r="E25" s="4">
        <v>20</v>
      </c>
      <c r="F25" s="4">
        <f>162-(((B25+C25)+D25)+E25)</f>
        <v>8</v>
      </c>
      <c r="G25" s="15">
        <f t="shared" si="0"/>
        <v>16.394505341717423</v>
      </c>
      <c r="H25" s="15">
        <v>0.67693728462587499</v>
      </c>
    </row>
    <row r="26" spans="1:8" ht="12.75" customHeight="1" x14ac:dyDescent="0.2">
      <c r="A26" t="s">
        <v>159</v>
      </c>
      <c r="B26" s="3">
        <v>35</v>
      </c>
      <c r="C26" s="3">
        <v>24</v>
      </c>
      <c r="D26" s="4">
        <v>0</v>
      </c>
      <c r="E26" s="4">
        <v>12</v>
      </c>
      <c r="F26" s="4">
        <f>79-(((B26+C26)+D26)+E26)</f>
        <v>8</v>
      </c>
      <c r="G26" s="15">
        <f t="shared" si="0"/>
        <v>14.03954802259887</v>
      </c>
      <c r="H26" s="15">
        <v>0.98601329718326902</v>
      </c>
    </row>
    <row r="27" spans="1:8" ht="12.75" customHeight="1" x14ac:dyDescent="0.2">
      <c r="A27" t="s">
        <v>160</v>
      </c>
      <c r="B27" s="3">
        <v>64</v>
      </c>
      <c r="C27" s="3">
        <v>52</v>
      </c>
      <c r="D27" s="4">
        <v>3</v>
      </c>
      <c r="E27" s="4">
        <v>8</v>
      </c>
      <c r="F27" s="4">
        <f>169-(((B27+C27)+D27)+E27)</f>
        <v>42</v>
      </c>
      <c r="G27" s="15">
        <f t="shared" si="0"/>
        <v>3.1378125048737502</v>
      </c>
      <c r="H27" s="15">
        <v>0.31218775220516298</v>
      </c>
    </row>
    <row r="28" spans="1:8" ht="12.75" customHeight="1" x14ac:dyDescent="0.2">
      <c r="A28" t="s">
        <v>161</v>
      </c>
      <c r="B28" s="3">
        <v>81</v>
      </c>
      <c r="C28" s="3">
        <v>65</v>
      </c>
      <c r="D28" s="4">
        <v>2</v>
      </c>
      <c r="E28" s="4">
        <v>8</v>
      </c>
      <c r="F28" s="4">
        <f>187-(((B28+C28)+D28)+E28)</f>
        <v>31</v>
      </c>
      <c r="G28" s="15">
        <f t="shared" si="0"/>
        <v>4.7318428150583189</v>
      </c>
      <c r="H28" s="15">
        <v>0.345108705649808</v>
      </c>
    </row>
    <row r="29" spans="1:8" ht="12.75" customHeight="1" x14ac:dyDescent="0.2">
      <c r="A29" t="s">
        <v>162</v>
      </c>
      <c r="B29" s="3">
        <v>38</v>
      </c>
      <c r="C29" s="3">
        <v>26</v>
      </c>
      <c r="D29" s="4">
        <v>1</v>
      </c>
      <c r="E29" s="4">
        <v>13</v>
      </c>
      <c r="F29" s="4">
        <f>87-(((B29+C29)+D29)+E29)</f>
        <v>9</v>
      </c>
      <c r="G29" s="15">
        <f t="shared" si="0"/>
        <v>12.535714285714286</v>
      </c>
      <c r="H29" s="15">
        <v>0.86389670231744697</v>
      </c>
    </row>
    <row r="30" spans="1:8" ht="12.75" customHeight="1" x14ac:dyDescent="0.2">
      <c r="A30" t="s">
        <v>163</v>
      </c>
      <c r="B30" s="3">
        <v>94</v>
      </c>
      <c r="C30" s="3">
        <v>92</v>
      </c>
      <c r="D30" s="4">
        <v>6</v>
      </c>
      <c r="E30" s="4">
        <v>20</v>
      </c>
      <c r="F30" s="4">
        <f>225-(((B30+C30)+D30)+E30)</f>
        <v>13</v>
      </c>
      <c r="G30" s="15">
        <f t="shared" si="0"/>
        <v>6.9028382370317853</v>
      </c>
      <c r="H30" s="12">
        <v>0.370377645793602</v>
      </c>
    </row>
    <row r="31" spans="1:8" ht="12.75" customHeight="1" x14ac:dyDescent="0.2">
      <c r="A31" t="s">
        <v>164</v>
      </c>
      <c r="B31" s="3">
        <v>44</v>
      </c>
      <c r="C31" s="3">
        <v>24</v>
      </c>
      <c r="D31" s="4">
        <v>1</v>
      </c>
      <c r="E31" s="4">
        <v>11</v>
      </c>
      <c r="F31" s="4">
        <f>80-(((B31+C31)+D31)+E31)</f>
        <v>0</v>
      </c>
      <c r="G31" s="15">
        <f t="shared" si="0"/>
        <v>13.171490818549643</v>
      </c>
      <c r="H31" s="15">
        <v>0.83605378079858494</v>
      </c>
    </row>
    <row r="32" spans="1:8" ht="12.75" customHeight="1" x14ac:dyDescent="0.2">
      <c r="A32" t="s">
        <v>165</v>
      </c>
      <c r="B32" s="3">
        <v>59</v>
      </c>
      <c r="C32" s="3">
        <v>45</v>
      </c>
      <c r="D32" s="4">
        <v>1</v>
      </c>
      <c r="E32" s="4">
        <v>13</v>
      </c>
      <c r="F32" s="4">
        <f>127-(((B32+C32)+D32)+E32)</f>
        <v>9</v>
      </c>
      <c r="G32" s="15">
        <f t="shared" si="0"/>
        <v>12.139918845522294</v>
      </c>
      <c r="H32" s="15">
        <v>0.66680747928835205</v>
      </c>
    </row>
    <row r="33" spans="1:8" ht="12.75" customHeight="1" x14ac:dyDescent="0.2">
      <c r="A33" t="s">
        <v>166</v>
      </c>
      <c r="B33" s="3">
        <v>76</v>
      </c>
      <c r="C33" s="3">
        <v>41</v>
      </c>
      <c r="D33" s="4">
        <v>2</v>
      </c>
      <c r="E33" s="4">
        <v>15</v>
      </c>
      <c r="F33" s="4">
        <f>144-(((B33+C33)+D33)+E33)</f>
        <v>10</v>
      </c>
      <c r="G33" s="15">
        <f t="shared" si="0"/>
        <v>17.264687466044933</v>
      </c>
      <c r="H33" s="15">
        <v>0.72217565880883905</v>
      </c>
    </row>
    <row r="34" spans="1:8" ht="12.75" customHeight="1" x14ac:dyDescent="0.2">
      <c r="A34" t="s">
        <v>167</v>
      </c>
      <c r="B34" s="3">
        <v>39</v>
      </c>
      <c r="C34" s="3">
        <v>27</v>
      </c>
      <c r="D34" s="4">
        <v>0</v>
      </c>
      <c r="E34" s="4">
        <v>1</v>
      </c>
      <c r="F34" s="4">
        <f>81-(((B34+C34)+D34)+E34)</f>
        <v>14</v>
      </c>
      <c r="G34" s="15">
        <f t="shared" si="0"/>
        <v>1.4139610389610389</v>
      </c>
      <c r="H34" s="12">
        <v>0.26726124191242401</v>
      </c>
    </row>
    <row r="35" spans="1:8" ht="12.75" customHeight="1" x14ac:dyDescent="0.2">
      <c r="A35" t="s">
        <v>168</v>
      </c>
      <c r="B35" s="3">
        <v>55</v>
      </c>
      <c r="C35" s="3">
        <v>33</v>
      </c>
      <c r="D35" s="4">
        <v>2</v>
      </c>
      <c r="E35" s="4">
        <v>9</v>
      </c>
      <c r="F35" s="4">
        <f>108-(((B35+C35)+D35)+E35)</f>
        <v>9</v>
      </c>
      <c r="G35" s="15">
        <f t="shared" si="0"/>
        <v>7.8623120300751879</v>
      </c>
      <c r="H35" s="15">
        <v>0.55709741946922697</v>
      </c>
    </row>
    <row r="36" spans="1:8" ht="12.75" customHeight="1" x14ac:dyDescent="0.2">
      <c r="A36" t="s">
        <v>169</v>
      </c>
      <c r="B36" s="3">
        <v>47</v>
      </c>
      <c r="C36" s="3">
        <v>33</v>
      </c>
      <c r="D36" s="4">
        <v>3</v>
      </c>
      <c r="E36" s="4">
        <v>8</v>
      </c>
      <c r="F36" s="4">
        <f>96-(((B36+C36)+D36)+E36)</f>
        <v>5</v>
      </c>
      <c r="G36" s="15">
        <f t="shared" si="0"/>
        <v>3.8704761640798226</v>
      </c>
      <c r="H36" s="15">
        <v>0.40877913610522298</v>
      </c>
    </row>
    <row r="37" spans="1:8" ht="12.75" customHeight="1" x14ac:dyDescent="0.2">
      <c r="A37" t="s">
        <v>170</v>
      </c>
      <c r="B37" s="3">
        <v>47</v>
      </c>
      <c r="C37" s="3">
        <v>29</v>
      </c>
      <c r="D37" s="4">
        <v>4</v>
      </c>
      <c r="E37" s="4">
        <v>17</v>
      </c>
      <c r="F37" s="4">
        <f>103-(((B37+C37)+D37)+E37)</f>
        <v>6</v>
      </c>
      <c r="G37" s="15">
        <f t="shared" si="0"/>
        <v>12.08515561068058</v>
      </c>
      <c r="H37" s="15">
        <v>0.73723704309821703</v>
      </c>
    </row>
    <row r="38" spans="1:8" ht="12.75" customHeight="1" x14ac:dyDescent="0.2">
      <c r="A38" t="s">
        <v>171</v>
      </c>
      <c r="B38" s="3">
        <v>52</v>
      </c>
      <c r="C38" s="3">
        <v>36</v>
      </c>
      <c r="D38" s="4">
        <v>0</v>
      </c>
      <c r="E38" s="4">
        <v>1</v>
      </c>
      <c r="F38" s="4">
        <f>90-(((B38+C38)+D38)+E38)</f>
        <v>1</v>
      </c>
      <c r="G38" s="15">
        <f t="shared" si="0"/>
        <v>1.4213759213759214</v>
      </c>
      <c r="H38" s="12">
        <v>0.23249527748763901</v>
      </c>
    </row>
    <row r="39" spans="1:8" ht="12.75" customHeight="1" x14ac:dyDescent="0.2">
      <c r="A39" t="s">
        <v>172</v>
      </c>
      <c r="B39" s="3">
        <v>41</v>
      </c>
      <c r="C39" s="3">
        <v>38</v>
      </c>
      <c r="D39" s="4">
        <v>0</v>
      </c>
      <c r="E39" s="4">
        <v>2</v>
      </c>
      <c r="F39" s="4">
        <f>87-(((B39+C39)+D39)+E39)</f>
        <v>6</v>
      </c>
      <c r="G39" s="15">
        <f t="shared" si="0"/>
        <v>2.1018987341772153</v>
      </c>
      <c r="H39" s="15">
        <v>0.320361637758594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M34" sqref="A1:M34"/>
    </sheetView>
  </sheetViews>
  <sheetFormatPr defaultColWidth="17.140625" defaultRowHeight="12.75" customHeight="1" x14ac:dyDescent="0.2"/>
  <cols>
    <col min="1" max="1" width="34.7109375" customWidth="1"/>
    <col min="2" max="2" width="7.85546875" customWidth="1"/>
    <col min="3" max="3" width="5.28515625" customWidth="1"/>
    <col min="4" max="4" width="10" customWidth="1"/>
    <col min="5" max="5" width="9.7109375" customWidth="1"/>
    <col min="6" max="11" width="10.42578125" customWidth="1"/>
  </cols>
  <sheetData>
    <row r="1" spans="1:13" x14ac:dyDescent="0.2">
      <c r="A1" s="21"/>
      <c r="B1" s="24" t="s">
        <v>99</v>
      </c>
      <c r="C1" s="24"/>
      <c r="D1" s="24"/>
      <c r="E1" s="24"/>
      <c r="F1" s="24" t="s">
        <v>100</v>
      </c>
      <c r="G1" s="24"/>
      <c r="H1" s="24"/>
      <c r="I1" s="24"/>
      <c r="J1" s="36"/>
      <c r="K1" s="36"/>
      <c r="L1" s="21"/>
      <c r="M1" s="21"/>
    </row>
    <row r="2" spans="1:13" ht="38.25" x14ac:dyDescent="0.2">
      <c r="A2" s="25" t="s">
        <v>5</v>
      </c>
      <c r="B2" s="26" t="s">
        <v>101</v>
      </c>
      <c r="C2" s="26" t="s">
        <v>15</v>
      </c>
      <c r="D2" s="27" t="s">
        <v>102</v>
      </c>
      <c r="E2" s="27" t="s">
        <v>103</v>
      </c>
      <c r="F2" s="28" t="s">
        <v>104</v>
      </c>
      <c r="G2" s="27" t="s">
        <v>102</v>
      </c>
      <c r="H2" s="28" t="s">
        <v>105</v>
      </c>
      <c r="I2" s="28" t="s">
        <v>106</v>
      </c>
      <c r="J2" s="27" t="s">
        <v>102</v>
      </c>
      <c r="K2" s="26" t="s">
        <v>105</v>
      </c>
      <c r="L2" s="21"/>
      <c r="M2" s="21"/>
    </row>
    <row r="3" spans="1:13" x14ac:dyDescent="0.2">
      <c r="A3" s="31" t="s">
        <v>18</v>
      </c>
      <c r="B3" s="32">
        <v>59.71</v>
      </c>
      <c r="C3" s="37">
        <v>35</v>
      </c>
      <c r="D3" s="32">
        <v>6.0000000000000001E-3</v>
      </c>
      <c r="E3" s="35">
        <v>0.40200000000000002</v>
      </c>
      <c r="F3" s="33">
        <v>0.157</v>
      </c>
      <c r="G3" s="33">
        <v>0.69199999999999995</v>
      </c>
      <c r="H3" s="32">
        <v>0</v>
      </c>
      <c r="I3" s="32">
        <v>16.135000000000002</v>
      </c>
      <c r="J3" s="33" t="s">
        <v>107</v>
      </c>
      <c r="K3" s="32">
        <v>3.0000000000000001E-3</v>
      </c>
      <c r="L3" s="21"/>
      <c r="M3" s="21"/>
    </row>
    <row r="4" spans="1:13" x14ac:dyDescent="0.2">
      <c r="A4" s="21" t="s">
        <v>24</v>
      </c>
      <c r="B4" s="23">
        <v>152.34</v>
      </c>
      <c r="C4" s="38">
        <v>35</v>
      </c>
      <c r="D4" s="23" t="s">
        <v>108</v>
      </c>
      <c r="E4" s="22">
        <v>0.754</v>
      </c>
      <c r="F4" s="23">
        <v>94.325000000000003</v>
      </c>
      <c r="G4" s="23" t="s">
        <v>107</v>
      </c>
      <c r="H4" s="23">
        <v>1.7000000000000001E-2</v>
      </c>
      <c r="I4" s="23">
        <v>119.55500000000001</v>
      </c>
      <c r="J4" s="23" t="s">
        <v>107</v>
      </c>
      <c r="K4" s="23">
        <v>2.1999999999999999E-2</v>
      </c>
      <c r="L4" s="21"/>
      <c r="M4" s="21"/>
    </row>
    <row r="5" spans="1:13" x14ac:dyDescent="0.2">
      <c r="A5" s="21" t="s">
        <v>28</v>
      </c>
      <c r="B5" s="23">
        <v>180.4</v>
      </c>
      <c r="C5" s="38">
        <v>35</v>
      </c>
      <c r="D5" s="23" t="s">
        <v>108</v>
      </c>
      <c r="E5" s="22">
        <v>0.75600000000000001</v>
      </c>
      <c r="F5" s="23">
        <v>70.366</v>
      </c>
      <c r="G5" s="23" t="s">
        <v>107</v>
      </c>
      <c r="H5" s="23">
        <v>1.0999999999999999E-2</v>
      </c>
      <c r="I5" s="23">
        <v>0.55300000000000005</v>
      </c>
      <c r="J5" s="23">
        <v>0.45700000000000002</v>
      </c>
      <c r="K5" s="23">
        <v>0</v>
      </c>
      <c r="L5" s="21"/>
      <c r="M5" s="21"/>
    </row>
    <row r="6" spans="1:13" x14ac:dyDescent="0.2">
      <c r="A6" s="21" t="s">
        <v>33</v>
      </c>
      <c r="B6" s="23">
        <v>312.75</v>
      </c>
      <c r="C6" s="38">
        <v>35</v>
      </c>
      <c r="D6" s="23" t="s">
        <v>108</v>
      </c>
      <c r="E6" s="22">
        <v>0.91300000000000003</v>
      </c>
      <c r="F6" s="23">
        <v>0.61599999999999999</v>
      </c>
      <c r="G6" s="23">
        <v>0.433</v>
      </c>
      <c r="H6" s="23">
        <v>0</v>
      </c>
      <c r="I6" s="23">
        <v>32.954000000000001</v>
      </c>
      <c r="J6" s="23" t="s">
        <v>107</v>
      </c>
      <c r="K6" s="23">
        <v>6.0000000000000001E-3</v>
      </c>
      <c r="L6" s="21"/>
      <c r="M6" s="21"/>
    </row>
    <row r="7" spans="1:13" x14ac:dyDescent="0.2">
      <c r="A7" s="21" t="s">
        <v>37</v>
      </c>
      <c r="B7" s="23">
        <v>88.16</v>
      </c>
      <c r="C7" s="38">
        <v>35</v>
      </c>
      <c r="D7" s="23" t="s">
        <v>108</v>
      </c>
      <c r="E7" s="22">
        <v>0.64300000000000002</v>
      </c>
      <c r="F7" s="23">
        <v>9.3480000000000008</v>
      </c>
      <c r="G7" s="23" t="s">
        <v>107</v>
      </c>
      <c r="H7" s="23">
        <v>2E-3</v>
      </c>
      <c r="I7" s="23">
        <v>15.738</v>
      </c>
      <c r="J7" s="23" t="s">
        <v>107</v>
      </c>
      <c r="K7" s="23">
        <v>3.0000000000000001E-3</v>
      </c>
      <c r="L7" s="21"/>
      <c r="M7" s="21"/>
    </row>
    <row r="8" spans="1:13" ht="25.5" x14ac:dyDescent="0.2">
      <c r="A8" s="21" t="s">
        <v>41</v>
      </c>
      <c r="B8" s="22">
        <v>54.84</v>
      </c>
      <c r="C8" s="22">
        <v>34</v>
      </c>
      <c r="D8" s="23" t="s">
        <v>108</v>
      </c>
      <c r="E8" s="22">
        <v>0.40100000000000002</v>
      </c>
      <c r="F8" s="23" t="s">
        <v>109</v>
      </c>
      <c r="G8" s="23">
        <v>0.52</v>
      </c>
      <c r="H8" s="23" t="s">
        <v>110</v>
      </c>
      <c r="I8" s="23" t="s">
        <v>111</v>
      </c>
      <c r="J8" s="23">
        <v>0.09</v>
      </c>
      <c r="K8" s="23" t="s">
        <v>110</v>
      </c>
      <c r="L8" s="21"/>
      <c r="M8" s="21"/>
    </row>
    <row r="9" spans="1:13" x14ac:dyDescent="0.2">
      <c r="A9" s="21" t="s">
        <v>46</v>
      </c>
      <c r="B9" s="23">
        <v>50.83</v>
      </c>
      <c r="C9" s="38">
        <v>35</v>
      </c>
      <c r="D9" s="23">
        <v>0.04</v>
      </c>
      <c r="E9" s="22">
        <v>0.22900000000000001</v>
      </c>
      <c r="F9" s="23">
        <v>0.39800000000000002</v>
      </c>
      <c r="G9" s="23">
        <v>0.52800000000000002</v>
      </c>
      <c r="H9" s="23">
        <v>0</v>
      </c>
      <c r="I9" s="23">
        <v>0.33800000000000002</v>
      </c>
      <c r="J9" s="23">
        <v>0.56100000000000005</v>
      </c>
      <c r="K9" s="23">
        <v>0</v>
      </c>
      <c r="L9" s="21"/>
      <c r="M9" s="21"/>
    </row>
    <row r="10" spans="1:13" x14ac:dyDescent="0.2">
      <c r="A10" s="21" t="s">
        <v>51</v>
      </c>
      <c r="B10" s="23">
        <v>37.01</v>
      </c>
      <c r="C10" s="38">
        <v>35</v>
      </c>
      <c r="D10" s="23">
        <v>0.37</v>
      </c>
      <c r="E10" s="22">
        <v>1E-4</v>
      </c>
      <c r="F10" s="23">
        <v>0.09</v>
      </c>
      <c r="G10" s="23">
        <v>0.76400000000000001</v>
      </c>
      <c r="H10" s="23">
        <v>0</v>
      </c>
      <c r="I10" s="23">
        <v>1.1100000000000001</v>
      </c>
      <c r="J10" s="23">
        <v>0.29199999999999998</v>
      </c>
      <c r="K10" s="23">
        <v>0</v>
      </c>
      <c r="L10" s="21"/>
      <c r="M10" s="21"/>
    </row>
    <row r="11" spans="1:13" ht="25.5" x14ac:dyDescent="0.2">
      <c r="A11" s="21" t="s">
        <v>56</v>
      </c>
      <c r="B11" s="23">
        <v>47.6</v>
      </c>
      <c r="C11" s="38">
        <v>34</v>
      </c>
      <c r="D11" s="23">
        <v>0.06</v>
      </c>
      <c r="E11" s="22">
        <v>0.20100000000000001</v>
      </c>
      <c r="F11" s="23">
        <v>0.82</v>
      </c>
      <c r="G11" s="23">
        <v>0.36499999999999999</v>
      </c>
      <c r="H11" s="23">
        <v>0</v>
      </c>
      <c r="I11" s="23">
        <v>1.0660000000000001</v>
      </c>
      <c r="J11" s="23">
        <v>0.30199999999999999</v>
      </c>
      <c r="K11" s="23">
        <v>0</v>
      </c>
      <c r="L11" s="21"/>
      <c r="M11" s="21"/>
    </row>
    <row r="12" spans="1:13" x14ac:dyDescent="0.2">
      <c r="A12" s="21" t="s">
        <v>61</v>
      </c>
      <c r="B12" s="23">
        <v>36.020000000000003</v>
      </c>
      <c r="C12" s="38">
        <v>35</v>
      </c>
      <c r="D12" s="23">
        <v>0.42</v>
      </c>
      <c r="E12" s="22">
        <v>0.192</v>
      </c>
      <c r="F12" s="23">
        <v>0.156</v>
      </c>
      <c r="G12" s="23">
        <v>0.69299999999999995</v>
      </c>
      <c r="H12" s="23">
        <v>0</v>
      </c>
      <c r="I12" s="23">
        <v>2.1000000000000001E-2</v>
      </c>
      <c r="J12" s="23">
        <v>0.88400000000000001</v>
      </c>
      <c r="K12" s="23">
        <v>0</v>
      </c>
      <c r="L12" s="21"/>
      <c r="M12" s="21"/>
    </row>
    <row r="13" spans="1:13" x14ac:dyDescent="0.2">
      <c r="A13" s="21" t="s">
        <v>66</v>
      </c>
      <c r="B13" s="23">
        <v>67.69</v>
      </c>
      <c r="C13" s="38">
        <v>35</v>
      </c>
      <c r="D13" s="23" t="s">
        <v>23</v>
      </c>
      <c r="E13" s="22">
        <v>0.52100000000000002</v>
      </c>
      <c r="F13" s="23">
        <v>8.8119999999999994</v>
      </c>
      <c r="G13" s="23" t="s">
        <v>107</v>
      </c>
      <c r="H13" s="39">
        <v>1E-3</v>
      </c>
      <c r="I13" s="23">
        <v>0.502</v>
      </c>
      <c r="J13" s="23">
        <v>0.47799999999999998</v>
      </c>
      <c r="K13" s="23">
        <v>0</v>
      </c>
      <c r="L13" s="21"/>
      <c r="M13" s="21"/>
    </row>
    <row r="14" spans="1:13" x14ac:dyDescent="0.2">
      <c r="A14" s="21" t="s">
        <v>71</v>
      </c>
      <c r="B14" s="23">
        <v>38.89</v>
      </c>
      <c r="C14" s="38">
        <v>35</v>
      </c>
      <c r="D14" s="23">
        <v>0.3</v>
      </c>
      <c r="E14" s="22">
        <v>0.17199999999999999</v>
      </c>
      <c r="F14" s="23">
        <v>5.7629999999999999</v>
      </c>
      <c r="G14" s="23">
        <v>1.6E-2</v>
      </c>
      <c r="H14" s="23">
        <v>1E-3</v>
      </c>
      <c r="I14" s="23">
        <v>0.63500000000000001</v>
      </c>
      <c r="J14" s="23">
        <v>0.42599999999999999</v>
      </c>
      <c r="K14" s="23">
        <v>0</v>
      </c>
      <c r="L14" s="21"/>
      <c r="M14" s="21"/>
    </row>
    <row r="15" spans="1:13" x14ac:dyDescent="0.2">
      <c r="A15" s="21" t="s">
        <v>76</v>
      </c>
      <c r="B15" s="23">
        <v>35.549999999999997</v>
      </c>
      <c r="C15" s="38">
        <v>35</v>
      </c>
      <c r="D15" s="23">
        <v>0.44</v>
      </c>
      <c r="E15" s="22">
        <v>9.1999999999999998E-2</v>
      </c>
      <c r="F15" s="23">
        <v>0.57899999999999996</v>
      </c>
      <c r="G15" s="23">
        <v>0.44700000000000001</v>
      </c>
      <c r="H15" s="23">
        <v>0</v>
      </c>
      <c r="I15" s="23">
        <v>0.251</v>
      </c>
      <c r="J15" s="23">
        <v>0.61599999999999999</v>
      </c>
      <c r="K15" s="23">
        <v>0</v>
      </c>
      <c r="L15" s="21"/>
      <c r="M15" s="21"/>
    </row>
    <row r="16" spans="1:13" x14ac:dyDescent="0.2">
      <c r="A16" s="21" t="s">
        <v>81</v>
      </c>
      <c r="B16" s="23">
        <v>45.87</v>
      </c>
      <c r="C16" s="38">
        <v>35</v>
      </c>
      <c r="D16" s="23">
        <v>0.1</v>
      </c>
      <c r="E16" s="22">
        <v>0.20599999999999999</v>
      </c>
      <c r="F16" s="23">
        <v>0.53</v>
      </c>
      <c r="G16" s="23">
        <v>0.46700000000000003</v>
      </c>
      <c r="H16" s="23">
        <v>0</v>
      </c>
      <c r="I16" s="23">
        <v>4.8769999999999998</v>
      </c>
      <c r="J16" s="23">
        <v>2.7E-2</v>
      </c>
      <c r="K16" s="23">
        <v>1E-3</v>
      </c>
      <c r="L16" s="21"/>
      <c r="M16" s="21"/>
    </row>
    <row r="17" spans="1:13" x14ac:dyDescent="0.2">
      <c r="A17" s="21" t="s">
        <v>86</v>
      </c>
      <c r="B17" s="23">
        <v>30.33</v>
      </c>
      <c r="C17" s="38">
        <v>35</v>
      </c>
      <c r="D17" s="23">
        <v>0.69</v>
      </c>
      <c r="E17" s="22">
        <v>0</v>
      </c>
      <c r="F17" s="23">
        <v>0.53400000000000003</v>
      </c>
      <c r="G17" s="23">
        <v>0.46500000000000002</v>
      </c>
      <c r="H17" s="23">
        <v>0</v>
      </c>
      <c r="I17" s="23">
        <v>1.845</v>
      </c>
      <c r="J17" s="23">
        <v>0.17399999999999999</v>
      </c>
      <c r="K17" s="23">
        <v>0</v>
      </c>
      <c r="L17" s="21"/>
      <c r="M17" s="21"/>
    </row>
    <row r="18" spans="1:13" x14ac:dyDescent="0.2">
      <c r="A18" s="25" t="s">
        <v>91</v>
      </c>
      <c r="B18" s="30">
        <v>28.41</v>
      </c>
      <c r="C18" s="40">
        <v>35</v>
      </c>
      <c r="D18" s="30">
        <v>0.78</v>
      </c>
      <c r="E18" s="27">
        <v>0</v>
      </c>
      <c r="F18" s="28">
        <v>0.996</v>
      </c>
      <c r="G18" s="28">
        <v>0.318</v>
      </c>
      <c r="H18" s="30">
        <v>0</v>
      </c>
      <c r="I18" s="30">
        <v>0.111</v>
      </c>
      <c r="J18" s="30">
        <v>0.73899999999999999</v>
      </c>
      <c r="K18" s="30">
        <v>0</v>
      </c>
      <c r="L18" s="21"/>
      <c r="M18" s="21"/>
    </row>
    <row r="19" spans="1:13" x14ac:dyDescent="0.2">
      <c r="A19" s="31"/>
      <c r="B19" s="34"/>
      <c r="C19" s="34"/>
      <c r="D19" s="34"/>
      <c r="E19" s="35"/>
      <c r="F19" s="35"/>
      <c r="G19" s="35"/>
      <c r="H19" s="34"/>
      <c r="I19" s="32"/>
      <c r="J19" s="34"/>
      <c r="K19" s="34"/>
      <c r="L19" s="21"/>
      <c r="M19" s="21"/>
    </row>
    <row r="20" spans="1:13" ht="77.25" customHeight="1" x14ac:dyDescent="0.2">
      <c r="A20" s="19" t="s">
        <v>112</v>
      </c>
      <c r="B20" s="19"/>
      <c r="C20" s="19"/>
      <c r="D20" s="19"/>
      <c r="E20" s="19"/>
      <c r="F20" s="19"/>
      <c r="G20" s="19"/>
      <c r="H20" s="19"/>
      <c r="I20" s="20"/>
      <c r="J20" s="41"/>
      <c r="K20" s="41"/>
      <c r="L20" s="21"/>
      <c r="M20" s="21"/>
    </row>
    <row r="21" spans="1:13" x14ac:dyDescent="0.2">
      <c r="A21" s="21"/>
      <c r="B21" s="22"/>
      <c r="C21" s="22"/>
      <c r="D21" s="22"/>
      <c r="E21" s="22"/>
      <c r="F21" s="22"/>
      <c r="G21" s="22"/>
      <c r="H21" s="22"/>
      <c r="I21" s="23"/>
      <c r="J21" s="22"/>
      <c r="K21" s="22"/>
      <c r="L21" s="21"/>
      <c r="M21" s="21"/>
    </row>
    <row r="22" spans="1:13" x14ac:dyDescent="0.2">
      <c r="A22" s="21"/>
      <c r="B22" s="22"/>
      <c r="C22" s="22"/>
      <c r="D22" s="22"/>
      <c r="E22" s="22"/>
      <c r="F22" s="22"/>
      <c r="G22" s="22"/>
      <c r="H22" s="22"/>
      <c r="I22" s="23"/>
      <c r="J22" s="22"/>
      <c r="K22" s="22"/>
      <c r="L22" s="21"/>
      <c r="M22" s="21"/>
    </row>
    <row r="23" spans="1:13" x14ac:dyDescent="0.2">
      <c r="A23" s="42"/>
      <c r="B23" s="24"/>
      <c r="C23" s="24"/>
      <c r="D23" s="24"/>
      <c r="E23" s="24"/>
      <c r="F23" s="24"/>
      <c r="G23" s="24"/>
      <c r="H23" s="24"/>
      <c r="I23" s="43"/>
      <c r="J23" s="24"/>
      <c r="K23" s="24"/>
      <c r="L23" s="21"/>
      <c r="M23" s="21"/>
    </row>
    <row r="24" spans="1:13" x14ac:dyDescent="0.2">
      <c r="A24" s="21"/>
      <c r="B24" s="22"/>
      <c r="C24" s="22"/>
      <c r="D24" s="22"/>
      <c r="E24" s="22"/>
      <c r="F24" s="22"/>
      <c r="G24" s="22"/>
      <c r="H24" s="22"/>
      <c r="I24" s="23"/>
      <c r="J24" s="22"/>
      <c r="K24" s="22"/>
      <c r="L24" s="21"/>
      <c r="M24" s="21"/>
    </row>
    <row r="25" spans="1:13" x14ac:dyDescent="0.2">
      <c r="A25" s="21"/>
      <c r="B25" s="22"/>
      <c r="C25" s="22"/>
      <c r="D25" s="22"/>
      <c r="E25" s="22"/>
      <c r="F25" s="22"/>
      <c r="G25" s="22"/>
      <c r="H25" s="22"/>
      <c r="I25" s="23"/>
      <c r="J25" s="22"/>
      <c r="K25" s="22"/>
      <c r="L25" s="21"/>
      <c r="M25" s="21"/>
    </row>
    <row r="26" spans="1:13" ht="38.25" x14ac:dyDescent="0.2">
      <c r="A26" s="21" t="s">
        <v>113</v>
      </c>
      <c r="B26" s="23"/>
      <c r="C26" s="23"/>
      <c r="D26" s="23"/>
      <c r="E26" s="23"/>
      <c r="F26" s="23" t="s">
        <v>114</v>
      </c>
      <c r="G26" s="23">
        <v>0.52</v>
      </c>
      <c r="H26" s="23" t="s">
        <v>115</v>
      </c>
      <c r="I26" s="23" t="s">
        <v>116</v>
      </c>
      <c r="J26" s="23">
        <v>0.09</v>
      </c>
      <c r="K26" s="23" t="s">
        <v>115</v>
      </c>
      <c r="L26" s="21"/>
      <c r="M26" s="21"/>
    </row>
    <row r="27" spans="1:13" x14ac:dyDescent="0.2">
      <c r="A27" s="21"/>
      <c r="B27" s="22"/>
      <c r="C27" s="22"/>
      <c r="D27" s="22"/>
      <c r="E27" s="22"/>
      <c r="F27" s="22"/>
      <c r="G27" s="22"/>
      <c r="H27" s="22"/>
      <c r="I27" s="23"/>
      <c r="J27" s="22"/>
      <c r="K27" s="22"/>
      <c r="L27" s="21"/>
      <c r="M27" s="21"/>
    </row>
    <row r="28" spans="1:13" x14ac:dyDescent="0.2">
      <c r="A28" s="21"/>
      <c r="B28" s="22"/>
      <c r="C28" s="22"/>
      <c r="D28" s="22"/>
      <c r="E28" s="22"/>
      <c r="F28" s="22"/>
      <c r="G28" s="22"/>
      <c r="H28" s="22"/>
      <c r="I28" s="23"/>
      <c r="J28" s="22"/>
      <c r="K28" s="22"/>
      <c r="L28" s="21"/>
      <c r="M28" s="21"/>
    </row>
    <row r="29" spans="1:13" ht="12.75" customHeight="1" x14ac:dyDescent="0.2">
      <c r="A29" s="21"/>
      <c r="B29" s="21"/>
      <c r="C29" s="21"/>
      <c r="D29" s="21"/>
      <c r="E29" s="21"/>
      <c r="F29" s="21"/>
      <c r="G29" s="21"/>
      <c r="H29" s="21"/>
      <c r="I29" s="21"/>
      <c r="J29" s="21"/>
      <c r="K29" s="21"/>
      <c r="L29" s="21"/>
      <c r="M29" s="21"/>
    </row>
    <row r="30" spans="1:13" ht="12.75" customHeight="1" x14ac:dyDescent="0.2">
      <c r="A30" s="21"/>
      <c r="B30" s="21"/>
      <c r="C30" s="21"/>
      <c r="D30" s="21"/>
      <c r="E30" s="21"/>
      <c r="F30" s="21"/>
      <c r="G30" s="21"/>
      <c r="H30" s="21"/>
      <c r="I30" s="21"/>
      <c r="J30" s="21"/>
      <c r="K30" s="21"/>
      <c r="L30" s="21"/>
      <c r="M30" s="21"/>
    </row>
    <row r="31" spans="1:13" ht="12.75" customHeight="1" x14ac:dyDescent="0.2">
      <c r="A31" s="21"/>
      <c r="B31" s="21"/>
      <c r="C31" s="21"/>
      <c r="D31" s="21"/>
      <c r="E31" s="21"/>
      <c r="F31" s="21"/>
      <c r="G31" s="21"/>
      <c r="H31" s="21"/>
      <c r="I31" s="21"/>
      <c r="J31" s="21"/>
      <c r="K31" s="21"/>
      <c r="L31" s="21"/>
      <c r="M31" s="21"/>
    </row>
    <row r="32" spans="1:13" ht="12.75" customHeight="1" x14ac:dyDescent="0.2">
      <c r="A32" s="21"/>
      <c r="B32" s="21"/>
      <c r="C32" s="21"/>
      <c r="D32" s="21"/>
      <c r="E32" s="21"/>
      <c r="F32" s="21"/>
      <c r="G32" s="21"/>
      <c r="H32" s="21"/>
      <c r="I32" s="21"/>
      <c r="J32" s="21"/>
      <c r="K32" s="21"/>
      <c r="L32" s="21"/>
      <c r="M32" s="21"/>
    </row>
    <row r="33" spans="1:13" ht="12.75" customHeight="1" x14ac:dyDescent="0.2">
      <c r="A33" s="21"/>
      <c r="B33" s="21"/>
      <c r="C33" s="21"/>
      <c r="D33" s="21"/>
      <c r="E33" s="21"/>
      <c r="F33" s="21"/>
      <c r="G33" s="21"/>
      <c r="H33" s="21"/>
      <c r="I33" s="21"/>
      <c r="J33" s="21"/>
      <c r="K33" s="21"/>
      <c r="L33" s="21"/>
      <c r="M33" s="21"/>
    </row>
    <row r="34" spans="1:13" ht="12.75" customHeight="1" x14ac:dyDescent="0.2">
      <c r="A34" s="21"/>
      <c r="B34" s="21"/>
      <c r="C34" s="21"/>
      <c r="D34" s="21"/>
      <c r="E34" s="21"/>
      <c r="F34" s="21"/>
      <c r="G34" s="21"/>
      <c r="H34" s="21"/>
      <c r="I34" s="21"/>
      <c r="J34" s="21"/>
      <c r="K34" s="21"/>
      <c r="L34" s="21"/>
      <c r="M34" s="21"/>
    </row>
  </sheetData>
  <mergeCells count="4">
    <mergeCell ref="B1:E1"/>
    <mergeCell ref="F1:K1"/>
    <mergeCell ref="A20:I20"/>
    <mergeCell ref="A23:K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5703125" customWidth="1"/>
    <col min="3" max="3" width="9.28515625" customWidth="1"/>
    <col min="5" max="5" width="13.140625" customWidth="1"/>
    <col min="6" max="6" width="12.7109375" customWidth="1"/>
    <col min="7" max="7" width="11" customWidth="1"/>
    <col min="8" max="8" width="11.140625" customWidth="1"/>
    <col min="9" max="9" width="10.28515625" customWidth="1"/>
    <col min="10" max="10" width="15.140625" customWidth="1"/>
    <col min="11" max="11" width="12" customWidth="1"/>
    <col min="12" max="12" width="13.28515625" customWidth="1"/>
    <col min="13" max="13" width="10.85546875" customWidth="1"/>
    <col min="14" max="14" width="9.42578125" customWidth="1"/>
    <col min="15" max="15" width="13.5703125" customWidth="1"/>
    <col min="16" max="16" width="14.28515625" customWidth="1"/>
  </cols>
  <sheetData>
    <row r="1" spans="1:16" ht="12.75" customHeight="1" x14ac:dyDescent="0.2">
      <c r="A1" t="s">
        <v>117</v>
      </c>
      <c r="B1" s="4" t="s">
        <v>118</v>
      </c>
      <c r="C1" s="4" t="s">
        <v>119</v>
      </c>
      <c r="D1" s="4" t="s">
        <v>120</v>
      </c>
      <c r="E1" s="1" t="s">
        <v>121</v>
      </c>
      <c r="F1" s="1" t="s">
        <v>122</v>
      </c>
      <c r="G1" s="5" t="s">
        <v>123</v>
      </c>
      <c r="H1" s="5" t="s">
        <v>124</v>
      </c>
      <c r="I1" s="15" t="s">
        <v>125</v>
      </c>
      <c r="J1" s="15" t="s">
        <v>126</v>
      </c>
      <c r="K1" s="3" t="s">
        <v>127</v>
      </c>
      <c r="L1" s="15" t="s">
        <v>128</v>
      </c>
      <c r="M1" s="15" t="s">
        <v>129</v>
      </c>
      <c r="N1" s="15" t="s">
        <v>130</v>
      </c>
      <c r="O1" t="s">
        <v>131</v>
      </c>
      <c r="P1" t="s">
        <v>132</v>
      </c>
    </row>
    <row r="2" spans="1:16" ht="12.75" customHeight="1" x14ac:dyDescent="0.2">
      <c r="A2" s="6" t="s">
        <v>133</v>
      </c>
      <c r="B2" s="4">
        <f>SUM(B4:B39)</f>
        <v>3243</v>
      </c>
      <c r="C2" s="4">
        <f>SUM(C4:C39)</f>
        <v>3087</v>
      </c>
      <c r="D2" s="4">
        <f>6344-(B2+C2)</f>
        <v>14</v>
      </c>
      <c r="E2" s="13">
        <v>7.84921369</v>
      </c>
      <c r="F2" s="13">
        <v>7.2429543199999999</v>
      </c>
      <c r="G2" s="5">
        <v>2.0218779900000001</v>
      </c>
      <c r="H2" s="5">
        <v>2.42300651</v>
      </c>
      <c r="I2" s="15">
        <v>10.827999999999999</v>
      </c>
      <c r="J2" s="15">
        <v>10.781000000000001</v>
      </c>
      <c r="K2" s="3">
        <v>6328</v>
      </c>
      <c r="L2" s="15">
        <v>6016.5950000000003</v>
      </c>
      <c r="M2" s="15">
        <f>(2*J2)/SQRT(L2)</f>
        <v>0.27798006521693253</v>
      </c>
      <c r="N2" s="15">
        <v>0.27168562000000002</v>
      </c>
      <c r="O2" t="s">
        <v>134</v>
      </c>
      <c r="P2" t="s">
        <v>135</v>
      </c>
    </row>
    <row r="3" spans="1:16" ht="12.75" customHeight="1" x14ac:dyDescent="0.2">
      <c r="A3" s="6" t="s">
        <v>136</v>
      </c>
      <c r="B3" s="15">
        <f>AVERAGE(B4:B39)</f>
        <v>90.083333333333329</v>
      </c>
      <c r="C3" s="15">
        <f>AVERAGE(C4:C39)</f>
        <v>85.75</v>
      </c>
      <c r="D3" s="15"/>
      <c r="E3" s="13">
        <f t="shared" ref="E3:N3" si="0">AVERAGE(E4:E39)</f>
        <v>8.0689309757243812</v>
      </c>
      <c r="F3" s="13">
        <f t="shared" si="0"/>
        <v>7.4739553641702479</v>
      </c>
      <c r="G3" s="5">
        <f t="shared" si="0"/>
        <v>1.6777557591050221</v>
      </c>
      <c r="H3" s="5">
        <f t="shared" si="0"/>
        <v>2.1452944517536676</v>
      </c>
      <c r="I3" s="15">
        <f t="shared" si="0"/>
        <v>1.7998945030555558</v>
      </c>
      <c r="J3" s="15">
        <f t="shared" si="0"/>
        <v>1.8081540355555556</v>
      </c>
      <c r="K3" s="15">
        <f t="shared" si="0"/>
        <v>173.83333333333334</v>
      </c>
      <c r="L3" s="15">
        <f t="shared" si="0"/>
        <v>157.59227233694446</v>
      </c>
      <c r="M3" s="15">
        <f t="shared" si="0"/>
        <v>0.33419817749130631</v>
      </c>
      <c r="N3" s="15">
        <f t="shared" si="0"/>
        <v>0.30629575930127673</v>
      </c>
    </row>
    <row r="4" spans="1:16" ht="12.75" customHeight="1" x14ac:dyDescent="0.2">
      <c r="A4" t="s">
        <v>137</v>
      </c>
      <c r="B4" s="4">
        <v>36</v>
      </c>
      <c r="C4" s="4">
        <v>48</v>
      </c>
      <c r="D4" s="4">
        <f>84-(B4+C4)</f>
        <v>0</v>
      </c>
      <c r="E4" s="13">
        <v>8.2777777777777803</v>
      </c>
      <c r="F4" s="13">
        <v>7</v>
      </c>
      <c r="G4" s="5">
        <v>1.3225756497101999</v>
      </c>
      <c r="H4" s="5">
        <v>2.86579237863576</v>
      </c>
      <c r="I4" s="15">
        <v>2.4816058000000001</v>
      </c>
      <c r="J4" s="15">
        <v>2.7261629510000001</v>
      </c>
      <c r="K4" s="3">
        <v>82</v>
      </c>
      <c r="L4" s="15">
        <v>69.913322260000001</v>
      </c>
      <c r="M4" s="15">
        <f t="shared" ref="M4:M39" si="1">(2*J4)/SQRT(L4)</f>
        <v>0.65208143664052565</v>
      </c>
      <c r="N4" s="15">
        <v>0.57252922944294604</v>
      </c>
    </row>
    <row r="5" spans="1:16" ht="12.75" customHeight="1" x14ac:dyDescent="0.2">
      <c r="A5" t="s">
        <v>138</v>
      </c>
      <c r="B5" s="4">
        <v>65</v>
      </c>
      <c r="C5" s="4">
        <v>55</v>
      </c>
      <c r="D5" s="4">
        <f>120-(B5+C5)</f>
        <v>0</v>
      </c>
      <c r="E5" s="13">
        <v>7.8307692307692296</v>
      </c>
      <c r="F5" s="13">
        <v>7.2545454545454504</v>
      </c>
      <c r="G5" s="5">
        <v>2.2119648418405</v>
      </c>
      <c r="H5" s="5">
        <v>2.6542640872976202</v>
      </c>
      <c r="I5" s="15">
        <v>1.297277595</v>
      </c>
      <c r="J5" s="15">
        <v>1.2777657170000001</v>
      </c>
      <c r="K5" s="3">
        <v>118</v>
      </c>
      <c r="L5" s="15">
        <v>105.40247170000001</v>
      </c>
      <c r="M5" s="15">
        <f t="shared" si="1"/>
        <v>0.24891772879252308</v>
      </c>
      <c r="N5" s="15">
        <v>0.235853371616288</v>
      </c>
    </row>
    <row r="6" spans="1:16" ht="12.75" customHeight="1" x14ac:dyDescent="0.2">
      <c r="A6" t="s">
        <v>139</v>
      </c>
      <c r="B6" s="4">
        <v>35</v>
      </c>
      <c r="C6" s="4">
        <v>49</v>
      </c>
      <c r="D6" s="4">
        <f>84-(B6+C6)</f>
        <v>0</v>
      </c>
      <c r="E6" s="13">
        <v>7.8</v>
      </c>
      <c r="F6" s="13">
        <v>6.7959183673469399</v>
      </c>
      <c r="G6" s="5">
        <v>1.7115524428733899</v>
      </c>
      <c r="H6" s="5">
        <v>2.4064115039890002</v>
      </c>
      <c r="I6" s="15">
        <v>2.1143449799999998</v>
      </c>
      <c r="J6" s="15">
        <v>2.2347305550000001</v>
      </c>
      <c r="K6" s="3">
        <v>82</v>
      </c>
      <c r="L6" s="15">
        <v>81.999999500000001</v>
      </c>
      <c r="M6" s="15">
        <f t="shared" si="1"/>
        <v>0.4935694126142624</v>
      </c>
      <c r="N6" s="15">
        <v>0.48086160116354698</v>
      </c>
    </row>
    <row r="7" spans="1:16" ht="12.75" customHeight="1" x14ac:dyDescent="0.2">
      <c r="A7" t="s">
        <v>140</v>
      </c>
      <c r="B7" s="4">
        <v>50</v>
      </c>
      <c r="C7" s="4">
        <v>45</v>
      </c>
      <c r="D7" s="4">
        <f>95-(B7+C7)</f>
        <v>0</v>
      </c>
      <c r="E7" s="13">
        <v>8.2200000000000006</v>
      </c>
      <c r="F7" s="13">
        <v>7.5333333333333297</v>
      </c>
      <c r="G7" s="5">
        <v>1.26636229783887</v>
      </c>
      <c r="H7" s="5">
        <v>2.06265495285699</v>
      </c>
      <c r="I7" s="15">
        <v>1.976768208</v>
      </c>
      <c r="J7" s="15">
        <v>1.9297304799999999</v>
      </c>
      <c r="K7" s="3">
        <v>93</v>
      </c>
      <c r="L7" s="15">
        <v>71.525246379999999</v>
      </c>
      <c r="M7" s="15">
        <f t="shared" si="1"/>
        <v>0.45634886107776673</v>
      </c>
      <c r="N7" s="15">
        <v>0.40121592697726899</v>
      </c>
    </row>
    <row r="8" spans="1:16" ht="12.75" customHeight="1" x14ac:dyDescent="0.2">
      <c r="A8" t="s">
        <v>141</v>
      </c>
      <c r="B8" s="4">
        <v>50</v>
      </c>
      <c r="C8" s="4">
        <v>46</v>
      </c>
      <c r="D8" s="4">
        <f>96-(B8+C8)</f>
        <v>0</v>
      </c>
      <c r="E8" s="13">
        <v>8.34</v>
      </c>
      <c r="F8" s="13">
        <v>7.4565217391304301</v>
      </c>
      <c r="G8" s="5">
        <v>1.3032142367771999</v>
      </c>
      <c r="H8" s="5">
        <v>2.0078348951503902</v>
      </c>
      <c r="I8" s="15">
        <v>2.5773064469999998</v>
      </c>
      <c r="J8" s="15">
        <v>2.5334799750000001</v>
      </c>
      <c r="K8" s="3">
        <v>94</v>
      </c>
      <c r="L8" s="15">
        <v>76.138435240000007</v>
      </c>
      <c r="M8" s="15">
        <f t="shared" si="1"/>
        <v>0.58069153877187785</v>
      </c>
      <c r="N8" s="15">
        <v>0.52196614428811605</v>
      </c>
    </row>
    <row r="9" spans="1:16" ht="12.75" customHeight="1" x14ac:dyDescent="0.2">
      <c r="A9" t="s">
        <v>142</v>
      </c>
      <c r="B9" s="4">
        <v>58</v>
      </c>
      <c r="C9" s="4">
        <v>44</v>
      </c>
      <c r="D9" s="4">
        <f>102-(B9+C9)</f>
        <v>0</v>
      </c>
      <c r="E9" s="13">
        <v>7.7413793103448301</v>
      </c>
      <c r="F9" s="13">
        <v>7.8636363636363598</v>
      </c>
      <c r="G9" s="5">
        <v>2.23654138400599</v>
      </c>
      <c r="H9" s="5">
        <v>1.6223856836627699</v>
      </c>
      <c r="I9" s="15">
        <v>-0.30641332900000001</v>
      </c>
      <c r="J9" s="15">
        <v>-0.31989050400000002</v>
      </c>
      <c r="K9" s="3">
        <v>100</v>
      </c>
      <c r="L9" s="15">
        <v>99.829719519999998</v>
      </c>
      <c r="M9" s="15">
        <f t="shared" si="1"/>
        <v>-6.4032641572678087E-2</v>
      </c>
      <c r="N9" s="15">
        <v>-6.2575691425059005E-2</v>
      </c>
    </row>
    <row r="10" spans="1:16" ht="12.75" customHeight="1" x14ac:dyDescent="0.2">
      <c r="A10" t="s">
        <v>143</v>
      </c>
      <c r="B10" s="4">
        <v>35</v>
      </c>
      <c r="C10" s="4">
        <v>55</v>
      </c>
      <c r="D10" s="4">
        <f>90-(B10+C10)</f>
        <v>0</v>
      </c>
      <c r="E10" s="13">
        <v>8.3428571428571399</v>
      </c>
      <c r="F10" s="13">
        <v>7.9818181818181797</v>
      </c>
      <c r="G10" s="5">
        <v>1.4130246478608199</v>
      </c>
      <c r="H10" s="5">
        <v>1.62720971230246</v>
      </c>
      <c r="I10" s="15">
        <v>1.0786602160000001</v>
      </c>
      <c r="J10" s="15">
        <v>1.1131898229999999</v>
      </c>
      <c r="K10" s="3">
        <v>88</v>
      </c>
      <c r="L10" s="15">
        <v>79.811456030000002</v>
      </c>
      <c r="M10" s="15">
        <f t="shared" si="1"/>
        <v>0.24921065463199879</v>
      </c>
      <c r="N10" s="15">
        <v>0.236920105759994</v>
      </c>
    </row>
    <row r="11" spans="1:16" ht="12.75" customHeight="1" x14ac:dyDescent="0.2">
      <c r="A11" t="s">
        <v>144</v>
      </c>
      <c r="B11" s="4">
        <v>81</v>
      </c>
      <c r="C11" s="4">
        <v>93</v>
      </c>
      <c r="D11" s="4">
        <f>174-(B11+C11)</f>
        <v>0</v>
      </c>
      <c r="E11" s="13">
        <v>8.5061728395061706</v>
      </c>
      <c r="F11" s="13">
        <v>7.4838709677419404</v>
      </c>
      <c r="G11" s="5">
        <v>1.16322242918244</v>
      </c>
      <c r="H11" s="5">
        <v>2.2146395487744299</v>
      </c>
      <c r="I11" s="15">
        <v>3.7296088049999998</v>
      </c>
      <c r="J11" s="15">
        <v>3.8794113010000002</v>
      </c>
      <c r="K11" s="3">
        <v>172</v>
      </c>
      <c r="L11" s="15">
        <v>143.0117674</v>
      </c>
      <c r="M11" s="15">
        <f t="shared" si="1"/>
        <v>0.64879864668612164</v>
      </c>
      <c r="N11" s="15">
        <v>0.57794468282630895</v>
      </c>
    </row>
    <row r="12" spans="1:16" ht="12.75" customHeight="1" x14ac:dyDescent="0.2">
      <c r="A12" t="s">
        <v>145</v>
      </c>
      <c r="B12" s="4">
        <v>52</v>
      </c>
      <c r="C12" s="4">
        <v>61</v>
      </c>
      <c r="D12" s="4">
        <f>113-(B12+C12)</f>
        <v>0</v>
      </c>
      <c r="E12" s="13">
        <v>7.7115384615384599</v>
      </c>
      <c r="F12" s="13">
        <v>6.5573770491803298</v>
      </c>
      <c r="G12" s="5">
        <v>1.7859642143565699</v>
      </c>
      <c r="H12" s="5">
        <v>2.7296189609781001</v>
      </c>
      <c r="I12" s="15">
        <v>2.6090919380000002</v>
      </c>
      <c r="J12" s="15">
        <v>2.6944307589999998</v>
      </c>
      <c r="K12" s="3">
        <v>111</v>
      </c>
      <c r="L12" s="15">
        <v>104.414672</v>
      </c>
      <c r="M12" s="15">
        <f t="shared" si="1"/>
        <v>0.5273710178125206</v>
      </c>
      <c r="N12" s="15">
        <v>0.50038096237307395</v>
      </c>
    </row>
    <row r="13" spans="1:16" ht="12.75" customHeight="1" x14ac:dyDescent="0.2">
      <c r="A13" t="s">
        <v>146</v>
      </c>
      <c r="B13" s="4">
        <v>55</v>
      </c>
      <c r="C13" s="4">
        <v>57</v>
      </c>
      <c r="D13" s="4">
        <f>112-(B13+C13)</f>
        <v>0</v>
      </c>
      <c r="E13" s="13">
        <v>8.3636363636363598</v>
      </c>
      <c r="F13" s="13">
        <v>7.5789473684210504</v>
      </c>
      <c r="G13" s="5">
        <v>1.09483021453246</v>
      </c>
      <c r="H13" s="5">
        <v>2.21155543534613</v>
      </c>
      <c r="I13" s="15">
        <v>2.3661707120000002</v>
      </c>
      <c r="J13" s="15">
        <v>2.3921631049999998</v>
      </c>
      <c r="K13" s="3">
        <v>110</v>
      </c>
      <c r="L13" s="15">
        <v>82.537352810000002</v>
      </c>
      <c r="M13" s="15">
        <f t="shared" si="1"/>
        <v>0.52661777718301017</v>
      </c>
      <c r="N13" s="15">
        <v>0.44969399040269897</v>
      </c>
    </row>
    <row r="14" spans="1:16" ht="12.75" customHeight="1" x14ac:dyDescent="0.2">
      <c r="A14" t="s">
        <v>147</v>
      </c>
      <c r="B14" s="4">
        <v>155</v>
      </c>
      <c r="C14" s="4">
        <v>121</v>
      </c>
      <c r="D14" s="4">
        <f>277-(B14+C14)</f>
        <v>1</v>
      </c>
      <c r="E14" s="13">
        <v>8.2064516129032299</v>
      </c>
      <c r="F14" s="13">
        <v>7.4462809917355397</v>
      </c>
      <c r="G14" s="5">
        <v>1.6775708094430599</v>
      </c>
      <c r="H14" s="5">
        <v>2.03695202538474</v>
      </c>
      <c r="I14" s="15">
        <v>3.3989663559999999</v>
      </c>
      <c r="J14" s="15">
        <v>3.3193292429999999</v>
      </c>
      <c r="K14" s="3">
        <v>274</v>
      </c>
      <c r="L14" s="15">
        <v>230.38870789999999</v>
      </c>
      <c r="M14" s="15">
        <f t="shared" si="1"/>
        <v>0.4373707477493069</v>
      </c>
      <c r="N14" s="15">
        <v>0.40739422235516898</v>
      </c>
    </row>
    <row r="15" spans="1:16" ht="12.75" customHeight="1" x14ac:dyDescent="0.2">
      <c r="A15" t="s">
        <v>148</v>
      </c>
      <c r="B15" s="4">
        <v>74</v>
      </c>
      <c r="C15" s="4">
        <v>72</v>
      </c>
      <c r="D15" s="4">
        <f>146-(B15+C15)</f>
        <v>0</v>
      </c>
      <c r="E15" s="13">
        <v>8.1486486486486491</v>
      </c>
      <c r="F15" s="13">
        <v>7.6527777777777803</v>
      </c>
      <c r="G15" s="5">
        <v>1.6935205482851099</v>
      </c>
      <c r="H15" s="5">
        <v>1.95123451151722</v>
      </c>
      <c r="I15" s="15">
        <v>1.6412614430000001</v>
      </c>
      <c r="J15" s="15">
        <v>1.638078865</v>
      </c>
      <c r="K15" s="3">
        <v>144</v>
      </c>
      <c r="L15" s="15">
        <v>140.0464131</v>
      </c>
      <c r="M15" s="15">
        <f t="shared" si="1"/>
        <v>0.27683997897829093</v>
      </c>
      <c r="N15" s="15">
        <v>0.27142340285723499</v>
      </c>
    </row>
    <row r="16" spans="1:16" ht="12.75" customHeight="1" x14ac:dyDescent="0.2">
      <c r="A16" t="s">
        <v>149</v>
      </c>
      <c r="B16" s="4">
        <v>51</v>
      </c>
      <c r="C16" s="4">
        <v>46</v>
      </c>
      <c r="D16" s="4">
        <f>98-(B16+C16)</f>
        <v>1</v>
      </c>
      <c r="E16" s="13">
        <v>8.1176470588235308</v>
      </c>
      <c r="F16" s="13">
        <v>7.8695652173913002</v>
      </c>
      <c r="G16" s="5">
        <v>1.6204574517528001</v>
      </c>
      <c r="H16" s="5">
        <v>1.6945493750673299</v>
      </c>
      <c r="I16" s="15">
        <v>0.73675223000000001</v>
      </c>
      <c r="J16" s="15">
        <v>0.73503956299999995</v>
      </c>
      <c r="K16" s="3">
        <v>95</v>
      </c>
      <c r="L16" s="15">
        <v>92.94099713</v>
      </c>
      <c r="M16" s="15">
        <f t="shared" si="1"/>
        <v>0.15248848414006727</v>
      </c>
      <c r="N16" s="15">
        <v>0.14963462449412199</v>
      </c>
    </row>
    <row r="17" spans="1:14" ht="12.75" customHeight="1" x14ac:dyDescent="0.2">
      <c r="A17" t="s">
        <v>150</v>
      </c>
      <c r="B17" s="4">
        <v>40</v>
      </c>
      <c r="C17" s="4">
        <v>45</v>
      </c>
      <c r="D17" s="4">
        <f>85-(B17+C17)</f>
        <v>0</v>
      </c>
      <c r="E17" s="13">
        <v>8.1</v>
      </c>
      <c r="F17" s="13">
        <v>7.37777777777778</v>
      </c>
      <c r="G17" s="5">
        <v>1.93218356615859</v>
      </c>
      <c r="H17" s="5">
        <v>2.3672854504770702</v>
      </c>
      <c r="I17" s="15">
        <v>1.5289567209999999</v>
      </c>
      <c r="J17" s="15">
        <v>1.5473001150000001</v>
      </c>
      <c r="K17" s="3">
        <v>83</v>
      </c>
      <c r="L17" s="15">
        <v>82.430487970000001</v>
      </c>
      <c r="M17" s="15">
        <f t="shared" si="1"/>
        <v>0.34084789645433183</v>
      </c>
      <c r="N17" s="15">
        <v>0.33425158391844301</v>
      </c>
    </row>
    <row r="18" spans="1:14" ht="12.75" customHeight="1" x14ac:dyDescent="0.2">
      <c r="A18" t="s">
        <v>151</v>
      </c>
      <c r="B18" s="4">
        <v>522</v>
      </c>
      <c r="C18" s="4">
        <v>477</v>
      </c>
      <c r="D18" s="4">
        <f>1000-(B18+C18)</f>
        <v>1</v>
      </c>
      <c r="E18" s="13">
        <v>7.3045977011494196</v>
      </c>
      <c r="F18" s="13">
        <v>6.5199161425576504</v>
      </c>
      <c r="G18" s="5">
        <v>2.3789580476644598</v>
      </c>
      <c r="H18" s="5">
        <v>2.7505006406953898</v>
      </c>
      <c r="I18" s="15">
        <v>4.8333066139999996</v>
      </c>
      <c r="J18" s="15">
        <v>4.8020011680000003</v>
      </c>
      <c r="K18" s="3">
        <v>997</v>
      </c>
      <c r="L18" s="15">
        <v>945.53204840000001</v>
      </c>
      <c r="M18" s="15">
        <f t="shared" si="1"/>
        <v>0.31233030851910831</v>
      </c>
      <c r="N18" s="15">
        <v>0.30515157001997301</v>
      </c>
    </row>
    <row r="19" spans="1:14" ht="12.75" customHeight="1" x14ac:dyDescent="0.2">
      <c r="A19" t="s">
        <v>152</v>
      </c>
      <c r="B19" s="4">
        <v>47</v>
      </c>
      <c r="C19" s="4">
        <v>60</v>
      </c>
      <c r="D19" s="4">
        <f>107-(B19+C19)</f>
        <v>0</v>
      </c>
      <c r="E19" s="13">
        <v>7.7872340425531901</v>
      </c>
      <c r="F19" s="13">
        <v>6.81666666666667</v>
      </c>
      <c r="G19" s="5">
        <v>1.68027133177387</v>
      </c>
      <c r="H19" s="5">
        <v>2.4180932862987201</v>
      </c>
      <c r="I19" s="15">
        <v>2.342999458</v>
      </c>
      <c r="J19" s="15">
        <v>2.4454183999999999</v>
      </c>
      <c r="K19" s="3">
        <v>105</v>
      </c>
      <c r="L19" s="15">
        <v>103.6439479</v>
      </c>
      <c r="M19" s="15">
        <f t="shared" si="1"/>
        <v>0.48040906939647393</v>
      </c>
      <c r="N19" s="15">
        <v>0.466142760762426</v>
      </c>
    </row>
    <row r="20" spans="1:14" ht="12.75" customHeight="1" x14ac:dyDescent="0.2">
      <c r="A20" t="s">
        <v>153</v>
      </c>
      <c r="B20" s="4">
        <v>56</v>
      </c>
      <c r="C20" s="4">
        <v>66</v>
      </c>
      <c r="D20" s="4">
        <f>123-(B20+C20)</f>
        <v>1</v>
      </c>
      <c r="E20" s="13">
        <v>8.375</v>
      </c>
      <c r="F20" s="13">
        <v>6.8787878787878798</v>
      </c>
      <c r="G20" s="5">
        <v>1.59045448050092</v>
      </c>
      <c r="H20" s="5">
        <v>2.6048189159866002</v>
      </c>
      <c r="I20" s="15">
        <v>3.7453958470000002</v>
      </c>
      <c r="J20" s="15">
        <v>3.889550405</v>
      </c>
      <c r="K20" s="3">
        <v>120</v>
      </c>
      <c r="L20" s="15">
        <v>109.6507479</v>
      </c>
      <c r="M20" s="15">
        <f t="shared" si="1"/>
        <v>0.7428884401181709</v>
      </c>
      <c r="N20" s="15">
        <v>0.693306754706557</v>
      </c>
    </row>
    <row r="21" spans="1:14" ht="12.75" customHeight="1" x14ac:dyDescent="0.2">
      <c r="A21" t="s">
        <v>154</v>
      </c>
      <c r="B21" s="4">
        <v>683</v>
      </c>
      <c r="C21" s="4">
        <v>640</v>
      </c>
      <c r="D21" s="4">
        <f>1329-(B21+C21)</f>
        <v>6</v>
      </c>
      <c r="E21" s="13">
        <v>7.3748169838945801</v>
      </c>
      <c r="F21" s="13">
        <v>6.8953125000000002</v>
      </c>
      <c r="G21" s="5">
        <v>2.4620422977357999</v>
      </c>
      <c r="H21" s="5">
        <v>2.7515782745149102</v>
      </c>
      <c r="I21" s="15">
        <v>3.3444066029999999</v>
      </c>
      <c r="J21" s="15">
        <v>3.332383036</v>
      </c>
      <c r="K21" s="3">
        <v>1321</v>
      </c>
      <c r="L21" s="15">
        <v>1281.5897259999999</v>
      </c>
      <c r="M21" s="15">
        <f t="shared" si="1"/>
        <v>0.1861703014780762</v>
      </c>
      <c r="N21" s="15">
        <v>0.183659998685749</v>
      </c>
    </row>
    <row r="22" spans="1:14" ht="12.75" customHeight="1" x14ac:dyDescent="0.2">
      <c r="A22" t="s">
        <v>155</v>
      </c>
      <c r="B22" s="4">
        <v>48</v>
      </c>
      <c r="C22" s="4">
        <v>47</v>
      </c>
      <c r="D22" s="4">
        <f>95-(B22+C22)</f>
        <v>0</v>
      </c>
      <c r="E22" s="13">
        <v>8.3125</v>
      </c>
      <c r="F22" s="13">
        <v>8.0638297872340399</v>
      </c>
      <c r="G22" s="5">
        <v>1.4754191615021299</v>
      </c>
      <c r="H22" s="5">
        <v>1.78647400252624</v>
      </c>
      <c r="I22" s="15">
        <v>0.740402381</v>
      </c>
      <c r="J22" s="15">
        <v>0.73891498</v>
      </c>
      <c r="K22" s="3">
        <v>93</v>
      </c>
      <c r="L22" s="15">
        <v>89.075628429999995</v>
      </c>
      <c r="M22" s="15">
        <f t="shared" si="1"/>
        <v>0.15658314772526646</v>
      </c>
      <c r="N22" s="15">
        <v>0.15178131438095799</v>
      </c>
    </row>
    <row r="23" spans="1:14" ht="12.75" customHeight="1" x14ac:dyDescent="0.2">
      <c r="A23" t="s">
        <v>156</v>
      </c>
      <c r="B23" s="4">
        <v>53</v>
      </c>
      <c r="C23" s="4">
        <v>49</v>
      </c>
      <c r="D23" s="4">
        <f>103-(B23+C23)</f>
        <v>1</v>
      </c>
      <c r="E23" s="13">
        <v>7.5849056603773599</v>
      </c>
      <c r="F23" s="13">
        <v>7.7551020408163298</v>
      </c>
      <c r="G23" s="5">
        <v>2.2991132259078202</v>
      </c>
      <c r="H23" s="5">
        <v>1.85439356939245</v>
      </c>
      <c r="I23" s="15">
        <v>-0.40944430900000001</v>
      </c>
      <c r="J23" s="15">
        <v>-0.41289195899999998</v>
      </c>
      <c r="K23" s="3">
        <v>100</v>
      </c>
      <c r="L23" s="15">
        <v>98.234769200000002</v>
      </c>
      <c r="M23" s="15">
        <f t="shared" si="1"/>
        <v>-8.3317034984489655E-2</v>
      </c>
      <c r="N23" s="15">
        <v>-8.1487339290590002E-2</v>
      </c>
    </row>
    <row r="24" spans="1:14" ht="12.75" customHeight="1" x14ac:dyDescent="0.2">
      <c r="A24" t="s">
        <v>157</v>
      </c>
      <c r="B24" s="4">
        <v>41</v>
      </c>
      <c r="C24" s="4">
        <v>45</v>
      </c>
      <c r="D24" s="4">
        <f>86-(B24+C24)</f>
        <v>0</v>
      </c>
      <c r="E24" s="13">
        <v>7.7317073170731696</v>
      </c>
      <c r="F24" s="13">
        <v>7.37777777777778</v>
      </c>
      <c r="G24" s="5">
        <v>2.4189294144714402</v>
      </c>
      <c r="H24" s="5">
        <v>2.5874600470247802</v>
      </c>
      <c r="I24" s="15">
        <v>0.65347792900000001</v>
      </c>
      <c r="J24" s="15">
        <v>0.65554948800000001</v>
      </c>
      <c r="K24" s="3">
        <v>84</v>
      </c>
      <c r="L24" s="15">
        <v>83.939503930000001</v>
      </c>
      <c r="M24" s="15">
        <f t="shared" si="1"/>
        <v>0.14310416668666825</v>
      </c>
      <c r="N24" s="15">
        <v>0.141311088540304</v>
      </c>
    </row>
    <row r="25" spans="1:14" ht="12.75" customHeight="1" x14ac:dyDescent="0.2">
      <c r="A25" t="s">
        <v>158</v>
      </c>
      <c r="B25" s="4">
        <v>88</v>
      </c>
      <c r="C25" s="4">
        <v>74</v>
      </c>
      <c r="D25" s="4">
        <f>162-(B25+C25)</f>
        <v>0</v>
      </c>
      <c r="E25" s="13">
        <v>8.5340909090909101</v>
      </c>
      <c r="F25" s="13">
        <v>8.1621621621621596</v>
      </c>
      <c r="G25" s="5">
        <v>1.02776248023484</v>
      </c>
      <c r="H25" s="5">
        <v>1.63880199333025</v>
      </c>
      <c r="I25" s="15">
        <v>1.757759858</v>
      </c>
      <c r="J25" s="15">
        <v>1.6924005360000001</v>
      </c>
      <c r="K25" s="3">
        <v>160</v>
      </c>
      <c r="L25" s="15">
        <v>118.4049954</v>
      </c>
      <c r="M25" s="15">
        <f t="shared" si="1"/>
        <v>0.31106284318856969</v>
      </c>
      <c r="N25" s="15">
        <v>0.271909717192934</v>
      </c>
    </row>
    <row r="26" spans="1:14" ht="12.75" customHeight="1" x14ac:dyDescent="0.2">
      <c r="A26" t="s">
        <v>159</v>
      </c>
      <c r="B26" s="4">
        <v>40</v>
      </c>
      <c r="C26" s="4">
        <v>39</v>
      </c>
      <c r="D26" s="4">
        <f>79-(B26+C26)</f>
        <v>0</v>
      </c>
      <c r="E26" s="13">
        <v>8.15</v>
      </c>
      <c r="F26" s="13">
        <v>8.2564102564102608</v>
      </c>
      <c r="G26" s="5">
        <v>1.54504999504207</v>
      </c>
      <c r="H26" s="5">
        <v>1.6176322644686401</v>
      </c>
      <c r="I26" s="15">
        <v>-0.29903481199999998</v>
      </c>
      <c r="J26" s="15">
        <v>-0.29885895800000001</v>
      </c>
      <c r="K26" s="3">
        <v>77</v>
      </c>
      <c r="L26" s="15">
        <v>76.608442580000002</v>
      </c>
      <c r="M26" s="15">
        <f t="shared" si="1"/>
        <v>-6.8290132738860726E-2</v>
      </c>
      <c r="N26" s="15">
        <v>-6.7273432147973003E-2</v>
      </c>
    </row>
    <row r="27" spans="1:14" ht="12.75" customHeight="1" x14ac:dyDescent="0.2">
      <c r="A27" t="s">
        <v>160</v>
      </c>
      <c r="B27" s="4">
        <v>90</v>
      </c>
      <c r="C27" s="4">
        <v>78</v>
      </c>
      <c r="D27" s="4">
        <f>169-(B27+C27)</f>
        <v>1</v>
      </c>
      <c r="E27" s="13">
        <v>7.8888888888888902</v>
      </c>
      <c r="F27" s="13">
        <v>7.6410256410256396</v>
      </c>
      <c r="G27" s="5">
        <v>2.0795658819038501</v>
      </c>
      <c r="H27" s="5">
        <v>1.94050708980095</v>
      </c>
      <c r="I27" s="15">
        <v>0.79465836099999998</v>
      </c>
      <c r="J27" s="15">
        <v>0.79861389599999999</v>
      </c>
      <c r="K27" s="3">
        <v>166</v>
      </c>
      <c r="L27" s="15">
        <v>165.07576460000001</v>
      </c>
      <c r="M27" s="15">
        <f t="shared" si="1"/>
        <v>0.12431547668879363</v>
      </c>
      <c r="N27" s="15">
        <v>0.12323910177108</v>
      </c>
    </row>
    <row r="28" spans="1:14" ht="12.75" customHeight="1" x14ac:dyDescent="0.2">
      <c r="A28" t="s">
        <v>161</v>
      </c>
      <c r="B28" s="4">
        <v>94</v>
      </c>
      <c r="C28" s="4">
        <v>93</v>
      </c>
      <c r="D28" s="4">
        <f>187-(B28+C28)</f>
        <v>0</v>
      </c>
      <c r="E28" s="13">
        <v>8.4680851063829792</v>
      </c>
      <c r="F28" s="13">
        <v>7.89247311827957</v>
      </c>
      <c r="G28" s="5">
        <v>1.17959467851557</v>
      </c>
      <c r="H28" s="5">
        <v>2.0133379464882499</v>
      </c>
      <c r="I28" s="15">
        <v>2.3883951059999999</v>
      </c>
      <c r="J28" s="15">
        <v>2.3821250909999998</v>
      </c>
      <c r="K28" s="3">
        <v>185</v>
      </c>
      <c r="L28" s="15">
        <v>148.19191950000001</v>
      </c>
      <c r="M28" s="15">
        <f t="shared" si="1"/>
        <v>0.39136528267902221</v>
      </c>
      <c r="N28" s="15">
        <v>0.34885660593511902</v>
      </c>
    </row>
    <row r="29" spans="1:14" ht="12.75" customHeight="1" x14ac:dyDescent="0.2">
      <c r="A29" t="s">
        <v>162</v>
      </c>
      <c r="B29" s="4">
        <v>47</v>
      </c>
      <c r="C29" s="4">
        <v>40</v>
      </c>
      <c r="D29" s="4">
        <f>87-(B29+C29)</f>
        <v>0</v>
      </c>
      <c r="E29" s="13">
        <v>7.5319148936170199</v>
      </c>
      <c r="F29" s="13">
        <v>6.6</v>
      </c>
      <c r="G29" s="5">
        <v>2.5268218896797299</v>
      </c>
      <c r="H29" s="5">
        <v>2.3944379994757301</v>
      </c>
      <c r="I29" s="15">
        <v>1.7560338419999999</v>
      </c>
      <c r="J29" s="15">
        <v>1.7637357309999999</v>
      </c>
      <c r="K29" s="3">
        <v>85</v>
      </c>
      <c r="L29" s="15">
        <v>83.99219746</v>
      </c>
      <c r="M29" s="15">
        <f t="shared" si="1"/>
        <v>0.38489656658479293</v>
      </c>
      <c r="N29" s="15">
        <v>0.37859325287992002</v>
      </c>
    </row>
    <row r="30" spans="1:14" ht="12.75" customHeight="1" x14ac:dyDescent="0.2">
      <c r="A30" t="s">
        <v>163</v>
      </c>
      <c r="B30" s="4">
        <v>131</v>
      </c>
      <c r="C30" s="4">
        <v>94</v>
      </c>
      <c r="D30" s="4">
        <f>225-(B30+C30)</f>
        <v>0</v>
      </c>
      <c r="E30" s="13">
        <v>8.4580152671755702</v>
      </c>
      <c r="F30" s="13">
        <v>7.9680851063829801</v>
      </c>
      <c r="G30" s="5">
        <v>1.2725476686536701</v>
      </c>
      <c r="H30" s="5">
        <v>1.82840272063024</v>
      </c>
      <c r="I30" s="15">
        <v>2.3702802059999999</v>
      </c>
      <c r="J30" s="15">
        <v>2.2379386069999998</v>
      </c>
      <c r="K30" s="3">
        <v>223</v>
      </c>
      <c r="L30" s="15">
        <v>155.45107849999999</v>
      </c>
      <c r="M30" s="15">
        <f t="shared" si="1"/>
        <v>0.35898912651549442</v>
      </c>
      <c r="N30" s="15">
        <v>0.31102965499158303</v>
      </c>
    </row>
    <row r="31" spans="1:14" ht="12.75" customHeight="1" x14ac:dyDescent="0.2">
      <c r="A31" t="s">
        <v>164</v>
      </c>
      <c r="B31" s="4">
        <v>37</v>
      </c>
      <c r="C31" s="4">
        <v>43</v>
      </c>
      <c r="D31" s="4">
        <f>80-(B31+C31)</f>
        <v>0</v>
      </c>
      <c r="E31" s="13">
        <v>8.5135135135135105</v>
      </c>
      <c r="F31" s="13">
        <v>7.6279069767441898</v>
      </c>
      <c r="G31" s="5">
        <v>0.83737757385853195</v>
      </c>
      <c r="H31" s="5">
        <v>2.2575086965392099</v>
      </c>
      <c r="I31" s="15">
        <v>2.2548422239999999</v>
      </c>
      <c r="J31" s="15">
        <v>2.3885547109999998</v>
      </c>
      <c r="K31" s="3">
        <v>78</v>
      </c>
      <c r="L31" s="15">
        <v>54.868813869999997</v>
      </c>
      <c r="M31" s="15">
        <f t="shared" si="1"/>
        <v>0.64491488849326295</v>
      </c>
      <c r="N31" s="15">
        <v>0.52015608436407101</v>
      </c>
    </row>
    <row r="32" spans="1:14" ht="12.75" customHeight="1" x14ac:dyDescent="0.2">
      <c r="A32" t="s">
        <v>165</v>
      </c>
      <c r="B32" s="4">
        <v>61</v>
      </c>
      <c r="C32" s="4">
        <v>66</v>
      </c>
      <c r="D32" s="4">
        <f>127-(B32+C32)</f>
        <v>0</v>
      </c>
      <c r="E32" s="13">
        <v>8.0491803278688501</v>
      </c>
      <c r="F32" s="13">
        <v>7.7424242424242404</v>
      </c>
      <c r="G32" s="5">
        <v>1.99521285003377</v>
      </c>
      <c r="H32" s="5">
        <v>2.1362123638354098</v>
      </c>
      <c r="I32" s="15">
        <v>0.83447658999999996</v>
      </c>
      <c r="J32" s="15">
        <v>0.836737391</v>
      </c>
      <c r="K32" s="3">
        <v>125</v>
      </c>
      <c r="L32" s="15">
        <v>124.9845346</v>
      </c>
      <c r="M32" s="15">
        <f t="shared" si="1"/>
        <v>0.14968939515927096</v>
      </c>
      <c r="N32" s="15">
        <v>0.14841251010977999</v>
      </c>
    </row>
    <row r="33" spans="1:14" ht="12.75" customHeight="1" x14ac:dyDescent="0.2">
      <c r="A33" t="s">
        <v>166</v>
      </c>
      <c r="B33" s="4">
        <v>81</v>
      </c>
      <c r="C33" s="4">
        <v>63</v>
      </c>
      <c r="D33" s="4">
        <f>144-(B33+C33)</f>
        <v>0</v>
      </c>
      <c r="E33" s="13">
        <v>8.2469135802469093</v>
      </c>
      <c r="F33" s="13">
        <v>7.28571428571429</v>
      </c>
      <c r="G33" s="5">
        <v>1.3278823761682601</v>
      </c>
      <c r="H33" s="5">
        <v>2.7499476325135399</v>
      </c>
      <c r="I33" s="15">
        <v>2.7609155209999998</v>
      </c>
      <c r="J33" s="15">
        <v>2.5525212229999998</v>
      </c>
      <c r="K33" s="3">
        <v>142</v>
      </c>
      <c r="L33" s="15">
        <v>84.376284409999997</v>
      </c>
      <c r="M33" s="15">
        <f t="shared" si="1"/>
        <v>0.55576239695146301</v>
      </c>
      <c r="N33" s="15">
        <v>0.44513604232422499</v>
      </c>
    </row>
    <row r="34" spans="1:14" ht="12.75" customHeight="1" x14ac:dyDescent="0.2">
      <c r="A34" t="s">
        <v>167</v>
      </c>
      <c r="B34" s="4">
        <v>46</v>
      </c>
      <c r="C34" s="4">
        <v>35</v>
      </c>
      <c r="D34" s="4">
        <f>81-(B34+C34)</f>
        <v>0</v>
      </c>
      <c r="E34" s="13">
        <v>8.1521739130434803</v>
      </c>
      <c r="F34" s="13">
        <v>7.4285714285714297</v>
      </c>
      <c r="G34" s="5">
        <v>1.563008371405</v>
      </c>
      <c r="H34" s="5">
        <v>1.77043886692329</v>
      </c>
      <c r="I34" s="15">
        <v>1.948717313</v>
      </c>
      <c r="J34" s="15">
        <v>1.9157649459999999</v>
      </c>
      <c r="K34" s="3">
        <v>79</v>
      </c>
      <c r="L34" s="15">
        <v>68.169212340000001</v>
      </c>
      <c r="M34" s="15">
        <f t="shared" si="1"/>
        <v>0.46406421476696752</v>
      </c>
      <c r="N34" s="15">
        <v>0.43330853664265701</v>
      </c>
    </row>
    <row r="35" spans="1:14" ht="12.75" customHeight="1" x14ac:dyDescent="0.2">
      <c r="A35" t="s">
        <v>168</v>
      </c>
      <c r="B35" s="4">
        <v>54</v>
      </c>
      <c r="C35" s="4">
        <v>54</v>
      </c>
      <c r="D35" s="4">
        <f>108-(B35+C35)</f>
        <v>0</v>
      </c>
      <c r="E35" s="13">
        <v>8.4074074074074101</v>
      </c>
      <c r="F35" s="13">
        <v>7.8888888888888902</v>
      </c>
      <c r="G35" s="5">
        <v>1.5359652919442199</v>
      </c>
      <c r="H35" s="5">
        <v>1.6329931618554501</v>
      </c>
      <c r="I35" s="15">
        <v>1.6996368129999999</v>
      </c>
      <c r="J35" s="15">
        <v>1.6996368129999999</v>
      </c>
      <c r="K35" s="3">
        <v>106</v>
      </c>
      <c r="L35" s="15">
        <v>105.6047341</v>
      </c>
      <c r="M35" s="15">
        <f t="shared" si="1"/>
        <v>0.33078395157401963</v>
      </c>
      <c r="N35" s="15">
        <v>0.32709525709458998</v>
      </c>
    </row>
    <row r="36" spans="1:14" ht="12.75" customHeight="1" x14ac:dyDescent="0.2">
      <c r="A36" t="s">
        <v>169</v>
      </c>
      <c r="B36" s="4">
        <v>48</v>
      </c>
      <c r="C36" s="4">
        <v>48</v>
      </c>
      <c r="D36" s="4">
        <f>96-(B36+C36)</f>
        <v>0</v>
      </c>
      <c r="E36" s="13">
        <v>7.6041666666666696</v>
      </c>
      <c r="F36" s="13">
        <v>7.3125</v>
      </c>
      <c r="G36" s="5">
        <v>1.8304700400104601</v>
      </c>
      <c r="H36" s="5">
        <v>2.4595125792846799</v>
      </c>
      <c r="I36" s="15">
        <v>0.65909434600000005</v>
      </c>
      <c r="J36" s="15">
        <v>0.65909434600000005</v>
      </c>
      <c r="K36" s="3">
        <v>94</v>
      </c>
      <c r="L36" s="15">
        <v>86.842458370000003</v>
      </c>
      <c r="M36" s="15">
        <f t="shared" si="1"/>
        <v>0.14145279303851641</v>
      </c>
      <c r="N36" s="15">
        <v>0.13453707001146001</v>
      </c>
    </row>
    <row r="37" spans="1:14" ht="12.75" customHeight="1" x14ac:dyDescent="0.2">
      <c r="A37" t="s">
        <v>170</v>
      </c>
      <c r="B37" s="4">
        <v>44</v>
      </c>
      <c r="C37" s="4">
        <v>58</v>
      </c>
      <c r="D37" s="4">
        <f>103-(B37+C37)</f>
        <v>1</v>
      </c>
      <c r="E37" s="13">
        <v>7.7272727272727302</v>
      </c>
      <c r="F37" s="13">
        <v>7.6379310344827598</v>
      </c>
      <c r="G37" s="5">
        <v>2.0838653302427499</v>
      </c>
      <c r="H37" s="5">
        <v>1.77406536660431</v>
      </c>
      <c r="I37" s="15">
        <v>0.23355030099999999</v>
      </c>
      <c r="J37" s="15">
        <v>0.22843861100000001</v>
      </c>
      <c r="K37" s="3">
        <v>100</v>
      </c>
      <c r="L37" s="15">
        <v>84.103768779999996</v>
      </c>
      <c r="M37" s="15">
        <f t="shared" si="1"/>
        <v>4.9818629700097768E-2</v>
      </c>
      <c r="N37" s="15">
        <v>4.6167248053161997E-2</v>
      </c>
    </row>
    <row r="38" spans="1:14" ht="12.75" customHeight="1" x14ac:dyDescent="0.2">
      <c r="A38" t="s">
        <v>171</v>
      </c>
      <c r="B38" s="4">
        <v>48</v>
      </c>
      <c r="C38" s="4">
        <v>41</v>
      </c>
      <c r="D38" s="4">
        <f>90-(B38+C38)</f>
        <v>1</v>
      </c>
      <c r="E38" s="13">
        <v>8.1041666666666696</v>
      </c>
      <c r="F38" s="13">
        <v>7.6585365853658498</v>
      </c>
      <c r="G38" s="5">
        <v>1.49095975562984</v>
      </c>
      <c r="H38" s="5">
        <v>1.98254578884778</v>
      </c>
      <c r="I38" s="15">
        <v>1.2082335870000001</v>
      </c>
      <c r="J38" s="15">
        <v>1.1818420940000001</v>
      </c>
      <c r="K38" s="3">
        <v>87</v>
      </c>
      <c r="L38" s="15">
        <v>73.403075860000001</v>
      </c>
      <c r="M38" s="15">
        <f t="shared" si="1"/>
        <v>0.27588768853127837</v>
      </c>
      <c r="N38" s="15">
        <v>0.25405643608221201</v>
      </c>
    </row>
    <row r="39" spans="1:14" ht="12.75" customHeight="1" x14ac:dyDescent="0.2">
      <c r="A39" t="s">
        <v>172</v>
      </c>
      <c r="B39" s="4">
        <v>47</v>
      </c>
      <c r="C39" s="4">
        <v>40</v>
      </c>
      <c r="D39" s="4">
        <f>87-(B39+C39)</f>
        <v>0</v>
      </c>
      <c r="E39" s="13">
        <v>8.4680851063829792</v>
      </c>
      <c r="F39" s="13">
        <v>7.8</v>
      </c>
      <c r="G39" s="5">
        <v>1.3649504502837799</v>
      </c>
      <c r="H39" s="5">
        <v>1.8285485346552199</v>
      </c>
      <c r="I39" s="15">
        <v>1.947740209</v>
      </c>
      <c r="J39" s="15">
        <v>1.903152776</v>
      </c>
      <c r="K39" s="3">
        <v>85</v>
      </c>
      <c r="L39" s="15">
        <v>71.187103059999998</v>
      </c>
      <c r="M39" s="15">
        <f t="shared" si="1"/>
        <v>0.45113132965513686</v>
      </c>
      <c r="N39" s="15">
        <v>0.414062944685611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B45" sqref="B45"/>
    </sheetView>
  </sheetViews>
  <sheetFormatPr defaultColWidth="17.140625" defaultRowHeight="12.75" customHeight="1" x14ac:dyDescent="0.2"/>
  <cols>
    <col min="1" max="1" width="20.7109375" customWidth="1"/>
    <col min="2" max="2" width="9.28515625" customWidth="1"/>
    <col min="3" max="3" width="9.5703125" customWidth="1"/>
    <col min="5" max="5" width="12.7109375" customWidth="1"/>
    <col min="6" max="6" width="13.140625" customWidth="1"/>
    <col min="7" max="7" width="11.140625" customWidth="1"/>
    <col min="8" max="8" width="11" customWidth="1"/>
    <col min="9" max="9" width="10.28515625" customWidth="1"/>
    <col min="10" max="10" width="14.28515625" customWidth="1"/>
    <col min="11" max="11" width="12" customWidth="1"/>
    <col min="12" max="12" width="13.28515625" customWidth="1"/>
    <col min="13" max="13" width="10.85546875" customWidth="1"/>
    <col min="14" max="14" width="9.42578125" customWidth="1"/>
    <col min="15" max="15" width="15.85546875" customWidth="1"/>
    <col min="16" max="16" width="26.42578125" customWidth="1"/>
  </cols>
  <sheetData>
    <row r="1" spans="1:16" ht="30.75" customHeight="1" x14ac:dyDescent="0.2">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56.25" customHeight="1" x14ac:dyDescent="0.2">
      <c r="A2" s="6" t="s">
        <v>133</v>
      </c>
      <c r="B2" s="4">
        <f>SUM(B4:B39)</f>
        <v>2762</v>
      </c>
      <c r="C2" s="4">
        <f>SUM(C4:C39)</f>
        <v>2610</v>
      </c>
      <c r="D2" s="4">
        <f>6344-(B2+C2)</f>
        <v>972</v>
      </c>
      <c r="E2" s="13">
        <v>3435.8325488800001</v>
      </c>
      <c r="F2" s="13">
        <v>1880.16673077</v>
      </c>
      <c r="G2" s="5">
        <v>1356.1610439000001</v>
      </c>
      <c r="H2" s="5">
        <v>1297.7470550200001</v>
      </c>
      <c r="I2" s="15">
        <v>33.334000000000003</v>
      </c>
      <c r="J2" s="15">
        <v>33.683</v>
      </c>
      <c r="K2" s="3">
        <v>5709</v>
      </c>
      <c r="L2" s="15">
        <v>5380.2370000000001</v>
      </c>
      <c r="M2" s="15">
        <f>(2*J2)/SQRT(L2)</f>
        <v>0.91841730364850804</v>
      </c>
      <c r="N2" s="15">
        <v>1.17207459</v>
      </c>
      <c r="O2" t="s">
        <v>179</v>
      </c>
      <c r="P2" t="s">
        <v>180</v>
      </c>
    </row>
    <row r="3" spans="1:16" ht="25.5" x14ac:dyDescent="0.2">
      <c r="A3" s="6" t="s">
        <v>136</v>
      </c>
      <c r="B3" s="15">
        <f>AVERAGE(B4:B39)</f>
        <v>76.722222222222229</v>
      </c>
      <c r="C3" s="15">
        <f>AVERAGE(C4:C39)</f>
        <v>72.5</v>
      </c>
      <c r="D3" s="15"/>
      <c r="E3" s="13">
        <f>AVERAGE(E4:E39)</f>
        <v>3480.8532304464261</v>
      </c>
      <c r="F3" s="13">
        <f>AVERAGE(F4:F39)</f>
        <v>1782.7506954895284</v>
      </c>
      <c r="G3" s="5">
        <f>AVERAGE(G4:G39)</f>
        <v>1385.2897463484185</v>
      </c>
      <c r="H3" s="5">
        <f>AVERAGE(H4:H39)</f>
        <v>1316.1647761955996</v>
      </c>
      <c r="I3" s="15">
        <v>6.6401877962777798</v>
      </c>
      <c r="J3" s="15">
        <v>6.6516161146388901</v>
      </c>
      <c r="K3" s="15">
        <f>AVERAGE(K4:K39)</f>
        <v>146.94444444444446</v>
      </c>
      <c r="L3" s="15">
        <f>AVERAGE(L4:L39)</f>
        <v>140.65180391277775</v>
      </c>
      <c r="M3" s="15">
        <f>AVERAGE(M4:M39)</f>
        <v>1.3222958024496525</v>
      </c>
      <c r="N3" s="15">
        <f>AVERAGE(N4:N39)</f>
        <v>1.2665293868973864</v>
      </c>
    </row>
    <row r="4" spans="1:16" x14ac:dyDescent="0.2">
      <c r="A4" t="s">
        <v>137</v>
      </c>
      <c r="B4" s="3">
        <v>37</v>
      </c>
      <c r="C4" s="3">
        <v>31</v>
      </c>
      <c r="D4" s="4">
        <f>84-(B4+C4)</f>
        <v>16</v>
      </c>
      <c r="E4" s="13">
        <v>3485.8108108108099</v>
      </c>
      <c r="F4" s="13">
        <v>1895.9354838709701</v>
      </c>
      <c r="G4" s="5">
        <v>1337.6102776518601</v>
      </c>
      <c r="H4" s="5">
        <v>1538.2892052641701</v>
      </c>
      <c r="I4" s="15">
        <v>4.5588042480000004</v>
      </c>
      <c r="J4" s="15">
        <v>4.5024305419999999</v>
      </c>
      <c r="K4" s="3">
        <v>66</v>
      </c>
      <c r="L4" s="15">
        <v>59.987546039999998</v>
      </c>
      <c r="M4" s="15">
        <f t="shared" ref="M4:M39" si="0">(2*J4)/SQRT(L4)</f>
        <v>1.1626432359730812</v>
      </c>
      <c r="N4" s="15">
        <v>1.1029722820846899</v>
      </c>
    </row>
    <row r="5" spans="1:16" x14ac:dyDescent="0.2">
      <c r="A5" t="s">
        <v>138</v>
      </c>
      <c r="B5" s="3">
        <v>30</v>
      </c>
      <c r="C5" s="3">
        <v>43</v>
      </c>
      <c r="D5" s="4">
        <f>120-(B5+C5)</f>
        <v>47</v>
      </c>
      <c r="E5" s="13">
        <v>3206.5666666666698</v>
      </c>
      <c r="F5" s="13">
        <v>1446.6627906976701</v>
      </c>
      <c r="G5" s="5">
        <v>1545.3164151682699</v>
      </c>
      <c r="H5" s="5">
        <v>1371.73247999664</v>
      </c>
      <c r="I5" s="15">
        <v>5.1192723510000002</v>
      </c>
      <c r="J5" s="15">
        <v>5.0107510949999998</v>
      </c>
      <c r="K5" s="3">
        <v>71</v>
      </c>
      <c r="L5" s="15">
        <v>57.624499419999999</v>
      </c>
      <c r="M5" s="15">
        <f t="shared" si="0"/>
        <v>1.3201681256039133</v>
      </c>
      <c r="N5" s="15">
        <v>1.20450238528145</v>
      </c>
    </row>
    <row r="6" spans="1:16" x14ac:dyDescent="0.2">
      <c r="A6" t="s">
        <v>139</v>
      </c>
      <c r="B6" s="3">
        <v>32</v>
      </c>
      <c r="C6" s="3">
        <v>35</v>
      </c>
      <c r="D6" s="4">
        <f>84-(B6+C6)</f>
        <v>17</v>
      </c>
      <c r="E6" s="13">
        <v>2964.734375</v>
      </c>
      <c r="F6" s="13">
        <v>1551.57142857143</v>
      </c>
      <c r="G6" s="5">
        <v>1542.5449383550399</v>
      </c>
      <c r="H6" s="5">
        <v>1433.97005538745</v>
      </c>
      <c r="I6" s="15">
        <v>3.8862295750000002</v>
      </c>
      <c r="J6" s="15">
        <v>3.8733771950000002</v>
      </c>
      <c r="K6" s="3">
        <v>65</v>
      </c>
      <c r="L6" s="15">
        <v>63.306046930000001</v>
      </c>
      <c r="M6" s="15">
        <f t="shared" si="0"/>
        <v>0.97363726838515041</v>
      </c>
      <c r="N6" s="15">
        <v>0.94891087056373802</v>
      </c>
    </row>
    <row r="7" spans="1:16" x14ac:dyDescent="0.2">
      <c r="A7" t="s">
        <v>140</v>
      </c>
      <c r="B7" s="3">
        <v>49</v>
      </c>
      <c r="C7" s="3">
        <v>33</v>
      </c>
      <c r="D7" s="4">
        <f>95-(B7+C7)</f>
        <v>13</v>
      </c>
      <c r="E7" s="13">
        <v>3867.2142857142899</v>
      </c>
      <c r="F7" s="13">
        <v>1606.95454545455</v>
      </c>
      <c r="G7" s="5">
        <v>1246.3740033593399</v>
      </c>
      <c r="H7" s="5">
        <v>1006.94818451935</v>
      </c>
      <c r="I7" s="15">
        <v>8.6783210680000007</v>
      </c>
      <c r="J7" s="15">
        <v>9.0462062589999999</v>
      </c>
      <c r="K7" s="3">
        <v>80</v>
      </c>
      <c r="L7" s="15">
        <v>77.264946460000004</v>
      </c>
      <c r="M7" s="15">
        <f t="shared" si="0"/>
        <v>2.0582836648354204</v>
      </c>
      <c r="N7" s="15">
        <v>1.99492782380842</v>
      </c>
    </row>
    <row r="8" spans="1:16" x14ac:dyDescent="0.2">
      <c r="A8" t="s">
        <v>141</v>
      </c>
      <c r="B8" s="3">
        <v>50</v>
      </c>
      <c r="C8" s="3">
        <v>37</v>
      </c>
      <c r="D8" s="4">
        <f>96-(B8+C8)</f>
        <v>9</v>
      </c>
      <c r="E8" s="13">
        <v>3590.46</v>
      </c>
      <c r="F8" s="13">
        <v>1823.45945945946</v>
      </c>
      <c r="G8" s="5">
        <v>1281.66235660042</v>
      </c>
      <c r="H8" s="5">
        <v>1104.72956958793</v>
      </c>
      <c r="I8" s="15">
        <v>6.7346871569999998</v>
      </c>
      <c r="J8" s="15">
        <v>6.8865131420000001</v>
      </c>
      <c r="K8" s="3">
        <v>85</v>
      </c>
      <c r="L8" s="15">
        <v>82.960804690000003</v>
      </c>
      <c r="M8" s="15">
        <f t="shared" si="0"/>
        <v>1.5121431217206849</v>
      </c>
      <c r="N8" s="15">
        <v>1.47684357282507</v>
      </c>
    </row>
    <row r="9" spans="1:16" x14ac:dyDescent="0.2">
      <c r="A9" t="s">
        <v>142</v>
      </c>
      <c r="B9" s="3">
        <v>28</v>
      </c>
      <c r="C9" s="3">
        <v>45</v>
      </c>
      <c r="D9" s="4">
        <f>102-(B9+C9)</f>
        <v>29</v>
      </c>
      <c r="E9" s="13">
        <v>3667.1785714285702</v>
      </c>
      <c r="F9" s="13">
        <v>1119.8444444444399</v>
      </c>
      <c r="G9" s="5">
        <v>1409.2009176091501</v>
      </c>
      <c r="H9" s="5">
        <v>1262.3058438565299</v>
      </c>
      <c r="I9" s="15">
        <v>8.0168658550000007</v>
      </c>
      <c r="J9" s="15">
        <v>7.81183724</v>
      </c>
      <c r="K9" s="3">
        <v>71</v>
      </c>
      <c r="L9" s="15">
        <v>52.638805910000002</v>
      </c>
      <c r="M9" s="15">
        <f t="shared" si="0"/>
        <v>2.1534270662650896</v>
      </c>
      <c r="N9" s="15">
        <v>1.9041628589695501</v>
      </c>
    </row>
    <row r="10" spans="1:16" x14ac:dyDescent="0.2">
      <c r="A10" t="s">
        <v>143</v>
      </c>
      <c r="B10" s="3">
        <v>34</v>
      </c>
      <c r="C10" s="3">
        <v>37</v>
      </c>
      <c r="D10" s="4">
        <f>90-(B10+C10)</f>
        <v>19</v>
      </c>
      <c r="E10" s="13">
        <v>3269.3529411764698</v>
      </c>
      <c r="F10" s="13">
        <v>1824.8243243243201</v>
      </c>
      <c r="G10" s="5">
        <v>1335.3950302473299</v>
      </c>
      <c r="H10" s="5">
        <v>1154.1299646163</v>
      </c>
      <c r="I10" s="15">
        <v>4.8873626479999999</v>
      </c>
      <c r="J10" s="15">
        <v>4.8571064709999998</v>
      </c>
      <c r="K10" s="3">
        <v>69</v>
      </c>
      <c r="L10" s="15">
        <v>65.542875159999994</v>
      </c>
      <c r="M10" s="15">
        <f t="shared" si="0"/>
        <v>1.199899507194427</v>
      </c>
      <c r="N10" s="15">
        <v>1.1574213750576401</v>
      </c>
    </row>
    <row r="11" spans="1:16" x14ac:dyDescent="0.2">
      <c r="A11" t="s">
        <v>144</v>
      </c>
      <c r="B11" s="3">
        <v>97</v>
      </c>
      <c r="C11" s="3">
        <v>51</v>
      </c>
      <c r="D11" s="4">
        <f>174-(B11+C11)</f>
        <v>26</v>
      </c>
      <c r="E11" s="13">
        <v>3444.05154639175</v>
      </c>
      <c r="F11" s="13">
        <v>2132.8235294117599</v>
      </c>
      <c r="G11" s="5">
        <v>1292.34208917</v>
      </c>
      <c r="H11" s="5">
        <v>1271.98208644434</v>
      </c>
      <c r="I11" s="15">
        <v>5.8976373510000002</v>
      </c>
      <c r="J11" s="15">
        <v>5.9270148279999999</v>
      </c>
      <c r="K11" s="3">
        <v>146</v>
      </c>
      <c r="L11" s="15">
        <v>103.1734067</v>
      </c>
      <c r="M11" s="15">
        <f t="shared" si="0"/>
        <v>1.1670302786946376</v>
      </c>
      <c r="N11" s="15">
        <v>1.02263723292412</v>
      </c>
    </row>
    <row r="12" spans="1:16" x14ac:dyDescent="0.2">
      <c r="A12" t="s">
        <v>145</v>
      </c>
      <c r="B12" s="3">
        <v>33</v>
      </c>
      <c r="C12" s="3">
        <v>33</v>
      </c>
      <c r="D12" s="4">
        <f>113-(B12+C12)</f>
        <v>47</v>
      </c>
      <c r="E12" s="13">
        <v>3307.0757575757598</v>
      </c>
      <c r="F12" s="13">
        <v>1615.84848484848</v>
      </c>
      <c r="G12" s="5">
        <v>1668.8421562625199</v>
      </c>
      <c r="H12" s="5">
        <v>1315.8993626321701</v>
      </c>
      <c r="I12" s="15">
        <v>4.5714283059999996</v>
      </c>
      <c r="J12" s="15">
        <v>4.5714283059999996</v>
      </c>
      <c r="K12" s="3">
        <v>64</v>
      </c>
      <c r="L12" s="15">
        <v>60.69806286</v>
      </c>
      <c r="M12" s="15">
        <f t="shared" si="0"/>
        <v>1.1735308022291913</v>
      </c>
      <c r="N12" s="15">
        <v>1.12540785229164</v>
      </c>
    </row>
    <row r="13" spans="1:16" x14ac:dyDescent="0.2">
      <c r="A13" t="s">
        <v>146</v>
      </c>
      <c r="B13" s="3">
        <v>37</v>
      </c>
      <c r="C13" s="3">
        <v>30</v>
      </c>
      <c r="D13" s="4">
        <f>112-(B13+C13)</f>
        <v>45</v>
      </c>
      <c r="E13" s="13">
        <v>3646.0135135135101</v>
      </c>
      <c r="F13" s="13">
        <v>1131.56666666667</v>
      </c>
      <c r="G13" s="5">
        <v>1333.83982300103</v>
      </c>
      <c r="H13" s="5">
        <v>1245.1978013021901</v>
      </c>
      <c r="I13" s="15">
        <v>7.9028329519999998</v>
      </c>
      <c r="J13" s="15">
        <v>7.9605997190000002</v>
      </c>
      <c r="K13" s="3">
        <v>65</v>
      </c>
      <c r="L13" s="15">
        <v>63.668551639999997</v>
      </c>
      <c r="M13" s="15">
        <f t="shared" si="0"/>
        <v>1.9953234075186805</v>
      </c>
      <c r="N13" s="15">
        <v>1.9487602405401401</v>
      </c>
    </row>
    <row r="14" spans="1:16" x14ac:dyDescent="0.2">
      <c r="A14" t="s">
        <v>147</v>
      </c>
      <c r="B14" s="3">
        <v>131</v>
      </c>
      <c r="C14" s="3">
        <v>102</v>
      </c>
      <c r="D14" s="4">
        <f>277-(B14+C14)</f>
        <v>44</v>
      </c>
      <c r="E14" s="13">
        <v>3479.1984732824399</v>
      </c>
      <c r="F14" s="13">
        <v>1607.5490196078399</v>
      </c>
      <c r="G14" s="5">
        <v>1465.3522281735</v>
      </c>
      <c r="H14" s="5">
        <v>1244.52366033661</v>
      </c>
      <c r="I14" s="15">
        <v>10.321818370000001</v>
      </c>
      <c r="J14" s="15">
        <v>10.53285578</v>
      </c>
      <c r="K14" s="3">
        <v>231</v>
      </c>
      <c r="L14" s="15">
        <v>229.22385629999999</v>
      </c>
      <c r="M14" s="15">
        <f t="shared" si="0"/>
        <v>1.3913815047386713</v>
      </c>
      <c r="N14" s="15">
        <v>1.37679053282643</v>
      </c>
    </row>
    <row r="15" spans="1:16" x14ac:dyDescent="0.2">
      <c r="A15" t="s">
        <v>148</v>
      </c>
      <c r="B15" s="3">
        <v>63</v>
      </c>
      <c r="C15" s="3">
        <v>62</v>
      </c>
      <c r="D15" s="4">
        <f>146-(B15+C15)</f>
        <v>21</v>
      </c>
      <c r="E15" s="13">
        <v>3601.3174603174598</v>
      </c>
      <c r="F15" s="13">
        <v>1689.8709677419399</v>
      </c>
      <c r="G15" s="5">
        <v>1445.9951598923701</v>
      </c>
      <c r="H15" s="5">
        <v>1478.5598607314701</v>
      </c>
      <c r="I15" s="15">
        <v>7.3072817060000004</v>
      </c>
      <c r="J15" s="15">
        <v>7.3059695439999999</v>
      </c>
      <c r="K15" s="3">
        <v>123</v>
      </c>
      <c r="L15" s="15">
        <v>122.81896159999999</v>
      </c>
      <c r="M15" s="15">
        <f t="shared" si="0"/>
        <v>1.3184848457443752</v>
      </c>
      <c r="N15" s="15">
        <v>1.3070897919731399</v>
      </c>
    </row>
    <row r="16" spans="1:16" x14ac:dyDescent="0.2">
      <c r="A16" t="s">
        <v>149</v>
      </c>
      <c r="B16" s="3">
        <v>45</v>
      </c>
      <c r="C16" s="3">
        <v>38</v>
      </c>
      <c r="D16" s="4">
        <f>98-(B16+C16)</f>
        <v>15</v>
      </c>
      <c r="E16" s="13">
        <v>3564.0888888888899</v>
      </c>
      <c r="F16" s="13">
        <v>2032.1710526315801</v>
      </c>
      <c r="G16" s="5">
        <v>1151.81390191578</v>
      </c>
      <c r="H16" s="5">
        <v>1217.3964647487101</v>
      </c>
      <c r="I16" s="15">
        <v>5.8815953509999996</v>
      </c>
      <c r="J16" s="15">
        <v>5.85387945</v>
      </c>
      <c r="K16" s="3">
        <v>81</v>
      </c>
      <c r="L16" s="15">
        <v>77.054764340000006</v>
      </c>
      <c r="M16" s="15">
        <f t="shared" si="0"/>
        <v>1.3337487397440031</v>
      </c>
      <c r="N16" s="15">
        <v>1.29269336329722</v>
      </c>
    </row>
    <row r="17" spans="1:14" x14ac:dyDescent="0.2">
      <c r="A17" t="s">
        <v>150</v>
      </c>
      <c r="B17" s="3">
        <v>19</v>
      </c>
      <c r="C17" s="3">
        <v>26</v>
      </c>
      <c r="D17" s="4">
        <f>85-(B17+C17)</f>
        <v>40</v>
      </c>
      <c r="E17" s="13">
        <v>3762.60526315789</v>
      </c>
      <c r="F17" s="13">
        <v>1524.5384615384601</v>
      </c>
      <c r="G17" s="5">
        <v>1156.2469769203401</v>
      </c>
      <c r="H17" s="5">
        <v>1591.2428031138199</v>
      </c>
      <c r="I17" s="15">
        <v>5.2022843649999997</v>
      </c>
      <c r="J17" s="15">
        <v>5.4643877600000001</v>
      </c>
      <c r="K17" s="3">
        <v>43</v>
      </c>
      <c r="L17" s="15">
        <v>42.999872480000001</v>
      </c>
      <c r="M17" s="15">
        <f t="shared" si="0"/>
        <v>1.6666251135440151</v>
      </c>
      <c r="N17" s="15">
        <v>1.6091290753352701</v>
      </c>
    </row>
    <row r="18" spans="1:14" x14ac:dyDescent="0.2">
      <c r="A18" t="s">
        <v>151</v>
      </c>
      <c r="B18" s="3">
        <v>472</v>
      </c>
      <c r="C18" s="3">
        <v>454</v>
      </c>
      <c r="D18" s="4">
        <f>1000-(B18+C18)</f>
        <v>74</v>
      </c>
      <c r="E18" s="13">
        <v>3366.6281779660999</v>
      </c>
      <c r="F18" s="13">
        <v>2006.26101321586</v>
      </c>
      <c r="G18" s="5">
        <v>1328.3965882760999</v>
      </c>
      <c r="H18" s="5">
        <v>1201.1808288964901</v>
      </c>
      <c r="I18" s="15">
        <v>16.325221540000001</v>
      </c>
      <c r="J18" s="15">
        <v>16.357125159999999</v>
      </c>
      <c r="K18" s="3">
        <v>924</v>
      </c>
      <c r="L18" s="15">
        <v>920.50937939999994</v>
      </c>
      <c r="M18" s="15">
        <f t="shared" si="0"/>
        <v>1.0782584330147909</v>
      </c>
      <c r="N18" s="15">
        <v>1.0742111160127199</v>
      </c>
    </row>
    <row r="19" spans="1:14" x14ac:dyDescent="0.2">
      <c r="A19" t="s">
        <v>152</v>
      </c>
      <c r="B19" s="3">
        <v>43</v>
      </c>
      <c r="C19" s="3">
        <v>49</v>
      </c>
      <c r="D19" s="4">
        <f>107-(B19+C19)</f>
        <v>15</v>
      </c>
      <c r="E19" s="13">
        <v>3879.2093023255802</v>
      </c>
      <c r="F19" s="13">
        <v>1691.5816326530601</v>
      </c>
      <c r="G19" s="5">
        <v>1427.0172281494099</v>
      </c>
      <c r="H19" s="5">
        <v>1395.87067865566</v>
      </c>
      <c r="I19" s="15">
        <v>7.4223484949999996</v>
      </c>
      <c r="J19" s="15">
        <v>7.4115568310000004</v>
      </c>
      <c r="K19" s="3">
        <v>90</v>
      </c>
      <c r="L19" s="15">
        <v>87.910612610000001</v>
      </c>
      <c r="M19" s="15">
        <f t="shared" si="0"/>
        <v>1.5809523683525577</v>
      </c>
      <c r="N19" s="15">
        <v>1.5498274060892301</v>
      </c>
    </row>
    <row r="20" spans="1:14" x14ac:dyDescent="0.2">
      <c r="A20" t="s">
        <v>153</v>
      </c>
      <c r="B20" s="3">
        <v>51</v>
      </c>
      <c r="C20" s="3">
        <v>62</v>
      </c>
      <c r="D20" s="4">
        <f>123-(B20+C20)</f>
        <v>10</v>
      </c>
      <c r="E20" s="13">
        <v>3241.0784313725499</v>
      </c>
      <c r="F20" s="13">
        <v>1986.3145161290299</v>
      </c>
      <c r="G20" s="5">
        <v>1332.2636877606101</v>
      </c>
      <c r="H20" s="5">
        <v>1215.34925909761</v>
      </c>
      <c r="I20" s="15">
        <v>5.2290570949999999</v>
      </c>
      <c r="J20" s="15">
        <v>5.1822212890000001</v>
      </c>
      <c r="K20" s="3">
        <v>111</v>
      </c>
      <c r="L20" s="15">
        <v>102.510268</v>
      </c>
      <c r="M20" s="15">
        <f t="shared" si="0"/>
        <v>1.0236753963370953</v>
      </c>
      <c r="N20" s="15">
        <v>0.98401501721503304</v>
      </c>
    </row>
    <row r="21" spans="1:14" x14ac:dyDescent="0.2">
      <c r="A21" t="s">
        <v>154</v>
      </c>
      <c r="B21" s="3">
        <v>618</v>
      </c>
      <c r="C21" s="3">
        <v>578</v>
      </c>
      <c r="D21" s="4">
        <f>1329-(B21+C21)</f>
        <v>133</v>
      </c>
      <c r="E21" s="13">
        <v>3320.65048543689</v>
      </c>
      <c r="F21" s="13">
        <v>2037.4593425605501</v>
      </c>
      <c r="G21" s="5">
        <v>1274.4166584342599</v>
      </c>
      <c r="H21" s="5">
        <v>1201.5426961190899</v>
      </c>
      <c r="I21" s="15">
        <v>17.88771826</v>
      </c>
      <c r="J21" s="15">
        <v>17.922968130000001</v>
      </c>
      <c r="K21" s="3">
        <v>1194</v>
      </c>
      <c r="L21" s="15">
        <v>1193.9219390000001</v>
      </c>
      <c r="M21" s="15">
        <f t="shared" si="0"/>
        <v>1.0374136591869798</v>
      </c>
      <c r="N21" s="15">
        <v>1.03607169531965</v>
      </c>
    </row>
    <row r="22" spans="1:14" x14ac:dyDescent="0.2">
      <c r="A22" t="s">
        <v>155</v>
      </c>
      <c r="B22" s="3">
        <v>39</v>
      </c>
      <c r="C22" s="3">
        <v>41</v>
      </c>
      <c r="D22" s="4">
        <f>95-(B22+C22)</f>
        <v>15</v>
      </c>
      <c r="E22" s="13">
        <v>3629.3461538461502</v>
      </c>
      <c r="F22" s="13">
        <v>1454.0243902438999</v>
      </c>
      <c r="G22" s="5">
        <v>1432.35606952986</v>
      </c>
      <c r="H22" s="5">
        <v>986.93006940220596</v>
      </c>
      <c r="I22" s="15">
        <v>7.9432596039999996</v>
      </c>
      <c r="J22" s="15">
        <v>7.8719388209999996</v>
      </c>
      <c r="K22" s="3">
        <v>78</v>
      </c>
      <c r="L22" s="15">
        <v>67.075678870000004</v>
      </c>
      <c r="M22" s="15">
        <f t="shared" si="0"/>
        <v>1.9223354170139946</v>
      </c>
      <c r="N22" s="15">
        <v>1.76859084866549</v>
      </c>
    </row>
    <row r="23" spans="1:14" x14ac:dyDescent="0.2">
      <c r="A23" t="s">
        <v>156</v>
      </c>
      <c r="B23" s="3">
        <v>47</v>
      </c>
      <c r="C23" s="3">
        <v>43</v>
      </c>
      <c r="D23" s="4">
        <f>103-(B23+C23)</f>
        <v>13</v>
      </c>
      <c r="E23" s="13">
        <v>3556.41489361702</v>
      </c>
      <c r="F23" s="13">
        <v>2062.0348837209299</v>
      </c>
      <c r="G23" s="5">
        <v>1440.2260666417001</v>
      </c>
      <c r="H23" s="5">
        <v>1532.0296932164899</v>
      </c>
      <c r="I23" s="15">
        <v>4.7694655069999996</v>
      </c>
      <c r="J23" s="15">
        <v>4.7562526580000002</v>
      </c>
      <c r="K23" s="3">
        <v>88</v>
      </c>
      <c r="L23" s="15">
        <v>86.026030259999999</v>
      </c>
      <c r="M23" s="15">
        <f t="shared" si="0"/>
        <v>1.0256046263875365</v>
      </c>
      <c r="N23" s="15">
        <v>1.00507346786805</v>
      </c>
    </row>
    <row r="24" spans="1:14" x14ac:dyDescent="0.2">
      <c r="A24" t="s">
        <v>157</v>
      </c>
      <c r="B24" s="3">
        <v>42</v>
      </c>
      <c r="C24" s="3">
        <v>33</v>
      </c>
      <c r="D24" s="4">
        <f>86-(B24+C24)</f>
        <v>11</v>
      </c>
      <c r="E24" s="13">
        <v>3745.75</v>
      </c>
      <c r="F24" s="13">
        <v>1676.57575757576</v>
      </c>
      <c r="G24" s="5">
        <v>1157.7354749156</v>
      </c>
      <c r="H24" s="5">
        <v>1113.6681305572799</v>
      </c>
      <c r="I24" s="15">
        <v>7.8120693960000001</v>
      </c>
      <c r="J24" s="15">
        <v>7.8490135529999998</v>
      </c>
      <c r="K24" s="3">
        <v>73</v>
      </c>
      <c r="L24" s="15">
        <v>70.015668770000005</v>
      </c>
      <c r="M24" s="15">
        <f t="shared" si="0"/>
        <v>1.8760631538821353</v>
      </c>
      <c r="N24" s="15">
        <v>1.82159166495849</v>
      </c>
    </row>
    <row r="25" spans="1:14" x14ac:dyDescent="0.2">
      <c r="A25" t="s">
        <v>158</v>
      </c>
      <c r="B25" s="3">
        <v>76</v>
      </c>
      <c r="C25" s="3">
        <v>66</v>
      </c>
      <c r="D25" s="4">
        <f>162-(B25+C25)</f>
        <v>20</v>
      </c>
      <c r="E25" s="13">
        <v>3599.0526315789498</v>
      </c>
      <c r="F25" s="13">
        <v>2359.1818181818198</v>
      </c>
      <c r="G25" s="5">
        <v>1367.9497080885899</v>
      </c>
      <c r="H25" s="5">
        <v>1307.3407525800801</v>
      </c>
      <c r="I25" s="15">
        <v>5.4986663729999998</v>
      </c>
      <c r="J25" s="15">
        <v>5.51635615</v>
      </c>
      <c r="K25" s="3">
        <v>140</v>
      </c>
      <c r="L25" s="15">
        <v>138.6978939</v>
      </c>
      <c r="M25" s="15">
        <f t="shared" si="0"/>
        <v>0.93680103095183298</v>
      </c>
      <c r="N25" s="15">
        <v>0.92666779191326698</v>
      </c>
    </row>
    <row r="26" spans="1:14" x14ac:dyDescent="0.2">
      <c r="A26" t="s">
        <v>159</v>
      </c>
      <c r="B26" s="3">
        <v>19</v>
      </c>
      <c r="C26" s="3">
        <v>31</v>
      </c>
      <c r="D26" s="4">
        <f>79-(B26+C26)</f>
        <v>29</v>
      </c>
      <c r="E26" s="13">
        <v>3687</v>
      </c>
      <c r="F26" s="13">
        <v>1445.1774193548399</v>
      </c>
      <c r="G26" s="5">
        <v>1496.5899572027099</v>
      </c>
      <c r="H26" s="5">
        <v>1622.2821093980899</v>
      </c>
      <c r="I26" s="15">
        <v>4.881224843</v>
      </c>
      <c r="J26" s="15">
        <v>4.9783874619999997</v>
      </c>
      <c r="K26" s="3">
        <v>48</v>
      </c>
      <c r="L26" s="15">
        <v>40.621138209999998</v>
      </c>
      <c r="M26" s="15">
        <f t="shared" si="0"/>
        <v>1.5622216269545182</v>
      </c>
      <c r="N26" s="15">
        <v>1.4364194747188399</v>
      </c>
    </row>
    <row r="27" spans="1:14" x14ac:dyDescent="0.2">
      <c r="A27" t="s">
        <v>160</v>
      </c>
      <c r="B27" s="3">
        <v>50</v>
      </c>
      <c r="C27" s="3">
        <v>60</v>
      </c>
      <c r="D27" s="4">
        <f>169-(B27+C27)</f>
        <v>59</v>
      </c>
      <c r="E27" s="13">
        <v>2929.97</v>
      </c>
      <c r="F27" s="13">
        <v>1569.36666666667</v>
      </c>
      <c r="G27" s="5">
        <v>1813.4817324637099</v>
      </c>
      <c r="H27" s="5">
        <v>1501.4882359175699</v>
      </c>
      <c r="I27" s="15">
        <v>4.305418951</v>
      </c>
      <c r="J27" s="15">
        <v>4.2323237100000002</v>
      </c>
      <c r="K27" s="3">
        <v>108</v>
      </c>
      <c r="L27" s="15">
        <v>95.178384390000005</v>
      </c>
      <c r="M27" s="15">
        <f t="shared" si="0"/>
        <v>0.86764028585562747</v>
      </c>
      <c r="N27" s="15">
        <v>0.81727257092195205</v>
      </c>
    </row>
    <row r="28" spans="1:14" x14ac:dyDescent="0.2">
      <c r="A28" t="s">
        <v>161</v>
      </c>
      <c r="B28" s="3">
        <v>81</v>
      </c>
      <c r="C28" s="3">
        <v>82</v>
      </c>
      <c r="D28" s="4">
        <f>187-(B28+C28)</f>
        <v>24</v>
      </c>
      <c r="E28" s="13">
        <v>3762.4506172839501</v>
      </c>
      <c r="F28" s="13">
        <v>1983.62195121951</v>
      </c>
      <c r="G28" s="5">
        <v>1274.4707102483201</v>
      </c>
      <c r="H28" s="5">
        <v>1486.19395316553</v>
      </c>
      <c r="I28" s="15">
        <v>8.1983611960000005</v>
      </c>
      <c r="J28" s="15">
        <v>8.2060821060000002</v>
      </c>
      <c r="K28" s="3">
        <v>161</v>
      </c>
      <c r="L28" s="15">
        <v>157.8928038</v>
      </c>
      <c r="M28" s="15">
        <f t="shared" si="0"/>
        <v>1.3061248287134306</v>
      </c>
      <c r="N28" s="15">
        <v>1.2849226514326599</v>
      </c>
    </row>
    <row r="29" spans="1:14" x14ac:dyDescent="0.2">
      <c r="A29" t="s">
        <v>162</v>
      </c>
      <c r="B29" s="3">
        <v>39</v>
      </c>
      <c r="C29" s="3">
        <v>41</v>
      </c>
      <c r="D29" s="4">
        <f>87-(B29+C29)</f>
        <v>7</v>
      </c>
      <c r="E29" s="13">
        <v>3574.23076923077</v>
      </c>
      <c r="F29" s="13">
        <v>1856.2073170731701</v>
      </c>
      <c r="G29" s="5">
        <v>1461.7459992751001</v>
      </c>
      <c r="H29" s="5">
        <v>1275.55406576716</v>
      </c>
      <c r="I29" s="15">
        <v>5.6087854070000001</v>
      </c>
      <c r="J29" s="15">
        <v>5.5895862919999999</v>
      </c>
      <c r="K29" s="3">
        <v>78</v>
      </c>
      <c r="L29" s="15">
        <v>75.403260410000001</v>
      </c>
      <c r="M29" s="15">
        <f t="shared" si="0"/>
        <v>1.2874032416380956</v>
      </c>
      <c r="N29" s="15">
        <v>1.25237475581388</v>
      </c>
    </row>
    <row r="30" spans="1:14" x14ac:dyDescent="0.2">
      <c r="A30" t="s">
        <v>163</v>
      </c>
      <c r="B30" s="3">
        <v>101</v>
      </c>
      <c r="C30" s="3">
        <v>85</v>
      </c>
      <c r="D30" s="4">
        <f>225-(B30+C30)</f>
        <v>39</v>
      </c>
      <c r="E30" s="13">
        <v>3367.2722772277202</v>
      </c>
      <c r="F30" s="13">
        <v>1842.2941176470599</v>
      </c>
      <c r="G30" s="5">
        <v>1289.67300220783</v>
      </c>
      <c r="H30" s="5">
        <v>1362.75306364175</v>
      </c>
      <c r="I30" s="15">
        <v>7.827830971</v>
      </c>
      <c r="J30" s="15">
        <v>7.7906398599999998</v>
      </c>
      <c r="K30" s="3">
        <v>184</v>
      </c>
      <c r="L30" s="15">
        <v>174.88940030000001</v>
      </c>
      <c r="M30" s="15">
        <f t="shared" si="0"/>
        <v>1.1782064066942224</v>
      </c>
      <c r="N30" s="15">
        <v>1.1494380082975799</v>
      </c>
    </row>
    <row r="31" spans="1:14" x14ac:dyDescent="0.2">
      <c r="A31" t="s">
        <v>164</v>
      </c>
      <c r="B31" s="3">
        <v>25</v>
      </c>
      <c r="C31" s="3">
        <v>42</v>
      </c>
      <c r="D31" s="4">
        <f>80-(B31+C31)</f>
        <v>13</v>
      </c>
      <c r="E31" s="13">
        <v>3054.42</v>
      </c>
      <c r="F31" s="13">
        <v>1624.296875</v>
      </c>
      <c r="G31" s="5">
        <v>1631.12564455757</v>
      </c>
      <c r="H31" s="5">
        <v>1281.94228179778</v>
      </c>
      <c r="I31" s="15">
        <v>3.7084677180000001</v>
      </c>
      <c r="J31" s="15">
        <v>3.6003916399999998</v>
      </c>
      <c r="K31" s="3">
        <v>55</v>
      </c>
      <c r="L31" s="15">
        <v>44.694113399999999</v>
      </c>
      <c r="M31" s="15">
        <f t="shared" si="0"/>
        <v>1.0770964065667497</v>
      </c>
      <c r="N31" s="15">
        <v>0.97488856346442598</v>
      </c>
    </row>
    <row r="32" spans="1:14" x14ac:dyDescent="0.2">
      <c r="A32" t="s">
        <v>165</v>
      </c>
      <c r="B32" s="3">
        <v>65</v>
      </c>
      <c r="C32" s="3">
        <v>50</v>
      </c>
      <c r="D32" s="4">
        <f>127-(B32+C32)</f>
        <v>12</v>
      </c>
      <c r="E32" s="13">
        <v>3663.5153846153798</v>
      </c>
      <c r="F32" s="13">
        <v>1896.36</v>
      </c>
      <c r="G32" s="5">
        <v>1290.27894564397</v>
      </c>
      <c r="H32" s="5">
        <v>1212.9314298299801</v>
      </c>
      <c r="I32" s="15">
        <v>7.4717190369999997</v>
      </c>
      <c r="J32" s="15">
        <v>7.5326655410000001</v>
      </c>
      <c r="K32" s="3">
        <v>113</v>
      </c>
      <c r="L32" s="15">
        <v>108.493786</v>
      </c>
      <c r="M32" s="15">
        <f t="shared" si="0"/>
        <v>1.4463594852539494</v>
      </c>
      <c r="N32" s="15">
        <v>1.41123765982039</v>
      </c>
    </row>
    <row r="33" spans="1:14" x14ac:dyDescent="0.2">
      <c r="A33" t="s">
        <v>166</v>
      </c>
      <c r="B33" s="3">
        <v>47</v>
      </c>
      <c r="C33" s="3">
        <v>52</v>
      </c>
      <c r="D33" s="4">
        <f>144-(B33+C33)</f>
        <v>45</v>
      </c>
      <c r="E33" s="13">
        <v>3129.8085106383</v>
      </c>
      <c r="F33" s="13">
        <v>1508.25961538462</v>
      </c>
      <c r="G33" s="5">
        <v>1415.13638363015</v>
      </c>
      <c r="H33" s="5">
        <v>1424.18671490972</v>
      </c>
      <c r="I33" s="15">
        <v>5.674200559</v>
      </c>
      <c r="J33" s="15">
        <v>5.6760465870000001</v>
      </c>
      <c r="K33" s="3">
        <v>97</v>
      </c>
      <c r="L33" s="15">
        <v>96.117534359999993</v>
      </c>
      <c r="M33" s="15">
        <f t="shared" si="0"/>
        <v>1.1579095509517627</v>
      </c>
      <c r="N33" s="15">
        <v>1.14220227953308</v>
      </c>
    </row>
    <row r="34" spans="1:14" x14ac:dyDescent="0.2">
      <c r="A34" t="s">
        <v>167</v>
      </c>
      <c r="B34" s="3">
        <v>37</v>
      </c>
      <c r="C34" s="3">
        <v>40</v>
      </c>
      <c r="D34" s="4">
        <f>81-(B34+C34)</f>
        <v>4</v>
      </c>
      <c r="E34" s="13">
        <v>3362.4864864864899</v>
      </c>
      <c r="F34" s="13">
        <v>2189.875</v>
      </c>
      <c r="G34" s="5">
        <v>1588.82130702154</v>
      </c>
      <c r="H34" s="5">
        <v>1385.315301285</v>
      </c>
      <c r="I34" s="15">
        <v>3.4584441940000001</v>
      </c>
      <c r="J34" s="15">
        <v>3.4398939799999999</v>
      </c>
      <c r="K34" s="3">
        <v>75</v>
      </c>
      <c r="L34" s="15">
        <v>71.703351799999993</v>
      </c>
      <c r="M34" s="15">
        <f t="shared" si="0"/>
        <v>0.81246624087542907</v>
      </c>
      <c r="N34" s="15">
        <v>0.78669957118898004</v>
      </c>
    </row>
    <row r="35" spans="1:14" x14ac:dyDescent="0.2">
      <c r="A35" t="s">
        <v>168</v>
      </c>
      <c r="B35" s="3">
        <v>51</v>
      </c>
      <c r="C35" s="3">
        <v>40</v>
      </c>
      <c r="D35" s="4">
        <f>108-(B35+C35)</f>
        <v>17</v>
      </c>
      <c r="E35" s="13">
        <v>3652.73529411765</v>
      </c>
      <c r="F35" s="13">
        <v>1975.4875</v>
      </c>
      <c r="G35" s="5">
        <v>1421.9635591425699</v>
      </c>
      <c r="H35" s="5">
        <v>1199.4699122331299</v>
      </c>
      <c r="I35" s="15">
        <v>5.9751298449999997</v>
      </c>
      <c r="J35" s="15">
        <v>6.0994911920000003</v>
      </c>
      <c r="K35" s="3">
        <v>89</v>
      </c>
      <c r="L35" s="15">
        <v>88.495192669999994</v>
      </c>
      <c r="M35" s="15">
        <f t="shared" si="0"/>
        <v>1.2967724179547502</v>
      </c>
      <c r="N35" s="15">
        <v>1.2750573572383801</v>
      </c>
    </row>
    <row r="36" spans="1:14" x14ac:dyDescent="0.2">
      <c r="A36" t="s">
        <v>169</v>
      </c>
      <c r="B36" s="3">
        <v>52</v>
      </c>
      <c r="C36" s="3">
        <v>36</v>
      </c>
      <c r="D36" s="4">
        <f>96-(B36+C36)</f>
        <v>8</v>
      </c>
      <c r="E36" s="13">
        <v>3747.0384615384601</v>
      </c>
      <c r="F36" s="13">
        <v>2156.0555555555602</v>
      </c>
      <c r="G36" s="5">
        <v>1261.5399041902101</v>
      </c>
      <c r="H36" s="5">
        <v>1496.1982526093</v>
      </c>
      <c r="I36" s="15">
        <v>5.3879419029999998</v>
      </c>
      <c r="J36" s="15">
        <v>5.2229659640000001</v>
      </c>
      <c r="K36" s="3">
        <v>86</v>
      </c>
      <c r="L36" s="15">
        <v>66.822183670000001</v>
      </c>
      <c r="M36" s="15">
        <f t="shared" si="0"/>
        <v>1.2778705443081344</v>
      </c>
      <c r="N36" s="15">
        <v>1.14967715143876</v>
      </c>
    </row>
    <row r="37" spans="1:14" x14ac:dyDescent="0.2">
      <c r="A37" t="s">
        <v>170</v>
      </c>
      <c r="B37" s="3">
        <v>37</v>
      </c>
      <c r="C37" s="3">
        <v>47</v>
      </c>
      <c r="D37" s="4">
        <f>103-(B37+C37)</f>
        <v>19</v>
      </c>
      <c r="E37" s="13">
        <v>3561</v>
      </c>
      <c r="F37" s="13">
        <v>1833.41489361702</v>
      </c>
      <c r="G37" s="5">
        <v>1491.7180344972901</v>
      </c>
      <c r="H37" s="5">
        <v>1434.9891202403401</v>
      </c>
      <c r="I37" s="15">
        <v>5.3832852239999998</v>
      </c>
      <c r="J37" s="15">
        <v>5.3582045999999997</v>
      </c>
      <c r="K37" s="3">
        <v>82</v>
      </c>
      <c r="L37" s="15">
        <v>75.994118349999994</v>
      </c>
      <c r="M37" s="15">
        <f t="shared" si="0"/>
        <v>1.2293040094575003</v>
      </c>
      <c r="N37" s="15">
        <v>1.1803440335747599</v>
      </c>
    </row>
    <row r="38" spans="1:14" x14ac:dyDescent="0.2">
      <c r="A38" t="s">
        <v>171</v>
      </c>
      <c r="B38" s="3">
        <v>48</v>
      </c>
      <c r="C38" s="3">
        <v>33</v>
      </c>
      <c r="D38" s="4">
        <f>90-(B38+C38)</f>
        <v>9</v>
      </c>
      <c r="E38" s="13">
        <v>3323.125</v>
      </c>
      <c r="F38" s="13">
        <v>2178.69696969697</v>
      </c>
      <c r="G38" s="5">
        <v>1209.61060421517</v>
      </c>
      <c r="H38" s="5">
        <v>1283.03106657751</v>
      </c>
      <c r="I38" s="15">
        <v>4.0817446500000001</v>
      </c>
      <c r="J38" s="15">
        <v>4.036931225</v>
      </c>
      <c r="K38" s="3">
        <v>79</v>
      </c>
      <c r="L38" s="15">
        <v>66.221595379999997</v>
      </c>
      <c r="M38" s="15">
        <f t="shared" si="0"/>
        <v>0.9921595719105295</v>
      </c>
      <c r="N38" s="15">
        <v>0.91784705307743997</v>
      </c>
    </row>
    <row r="39" spans="1:14" x14ac:dyDescent="0.2">
      <c r="A39" t="s">
        <v>172</v>
      </c>
      <c r="B39" s="3">
        <v>37</v>
      </c>
      <c r="C39" s="3">
        <v>42</v>
      </c>
      <c r="D39" s="4">
        <f>87-(B39+C39)</f>
        <v>8</v>
      </c>
      <c r="E39" s="13">
        <v>3301.86486486487</v>
      </c>
      <c r="F39" s="13">
        <v>1842.8571428571399</v>
      </c>
      <c r="G39" s="5">
        <v>1251.37732812383</v>
      </c>
      <c r="H39" s="5">
        <v>1224.7769846061401</v>
      </c>
      <c r="I39" s="15">
        <v>5.2299785950000004</v>
      </c>
      <c r="J39" s="15">
        <v>5.2227800450000004</v>
      </c>
      <c r="K39" s="3">
        <v>77</v>
      </c>
      <c r="L39" s="15">
        <v>75.30760678</v>
      </c>
      <c r="M39" s="15">
        <f t="shared" si="0"/>
        <v>1.2036835037345195</v>
      </c>
      <c r="N39" s="15">
        <v>1.1783785319643301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5703125" customWidth="1"/>
    <col min="5" max="5" width="12.7109375" customWidth="1"/>
    <col min="6" max="6" width="13.140625" customWidth="1"/>
    <col min="7" max="7" width="11.140625" customWidth="1"/>
    <col min="8" max="8" width="11" customWidth="1"/>
    <col min="9" max="9" width="10.28515625" customWidth="1"/>
    <col min="10" max="10" width="15.140625" customWidth="1"/>
    <col min="11" max="11" width="12" customWidth="1"/>
    <col min="12" max="12" width="13.28515625" customWidth="1"/>
    <col min="13" max="13" width="10.85546875" customWidth="1"/>
    <col min="14" max="14" width="9.42578125" customWidth="1"/>
    <col min="15" max="15" width="13.5703125" customWidth="1"/>
    <col min="16" max="16" width="24.28515625" customWidth="1"/>
  </cols>
  <sheetData>
    <row r="1" spans="1:16" ht="25.5" x14ac:dyDescent="0.2">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71.25" customHeight="1" x14ac:dyDescent="0.2">
      <c r="A2" s="6" t="s">
        <v>181</v>
      </c>
      <c r="B2" s="4">
        <f>SUM(B4:B39)</f>
        <v>2698</v>
      </c>
      <c r="C2" s="4">
        <f>SUM(C4:C39)</f>
        <v>2586</v>
      </c>
      <c r="D2" s="4">
        <f>6344-(B2+C2)</f>
        <v>1060</v>
      </c>
      <c r="E2" s="13">
        <v>3635.4712750200001</v>
      </c>
      <c r="F2" s="13">
        <v>1606.52300851</v>
      </c>
      <c r="G2" s="5">
        <v>1133.3674046399999</v>
      </c>
      <c r="H2" s="5">
        <v>1135.2245878900001</v>
      </c>
      <c r="I2" s="15">
        <v>59.332999999999998</v>
      </c>
      <c r="J2" s="15">
        <v>59.453000000000003</v>
      </c>
      <c r="K2" s="3">
        <v>5710</v>
      </c>
      <c r="L2" s="15">
        <v>5149.7510000000002</v>
      </c>
      <c r="M2" s="15">
        <f>(2*J2)/SQRT(L2)</f>
        <v>1.6569547729108329</v>
      </c>
      <c r="N2" s="15">
        <v>1.79</v>
      </c>
      <c r="O2" t="s">
        <v>179</v>
      </c>
      <c r="P2" t="s">
        <v>180</v>
      </c>
    </row>
    <row r="3" spans="1:16" ht="25.5" x14ac:dyDescent="0.2">
      <c r="A3" s="6" t="s">
        <v>136</v>
      </c>
      <c r="B3" s="15">
        <f>AVERAGE(B4:B39)</f>
        <v>74.944444444444443</v>
      </c>
      <c r="C3" s="15">
        <f>AVERAGE(C4:C39)</f>
        <v>71.833333333333329</v>
      </c>
      <c r="D3" s="15"/>
      <c r="E3" s="13">
        <f>AVERAGE(E4:E39)</f>
        <v>3627.0470127269887</v>
      </c>
      <c r="F3" s="13">
        <f>AVERAGE(F4:F39)</f>
        <v>1453.0690229832026</v>
      </c>
      <c r="G3" s="5">
        <f>AVERAGE(G4:G39)</f>
        <v>1138.7598214829031</v>
      </c>
      <c r="H3" s="5">
        <f>AVERAGE(H4:H39)</f>
        <v>984.18552751613038</v>
      </c>
      <c r="I3" s="15">
        <v>10.7572737768611</v>
      </c>
      <c r="J3" s="15">
        <v>10.6628483613333</v>
      </c>
      <c r="K3" s="15">
        <f>AVERAGE(K4:K39)</f>
        <v>144.77777777777777</v>
      </c>
      <c r="L3" s="15">
        <f>AVERAGE(L4:L39)</f>
        <v>131.86296876999998</v>
      </c>
      <c r="M3" s="15">
        <f>AVERAGE(M4:M39)</f>
        <v>2.2048009686275085</v>
      </c>
      <c r="N3" s="15">
        <f>AVERAGE(N4:N39)</f>
        <v>2.0454093989039999</v>
      </c>
    </row>
    <row r="4" spans="1:16" x14ac:dyDescent="0.2">
      <c r="A4" t="s">
        <v>137</v>
      </c>
      <c r="B4" s="3">
        <v>36</v>
      </c>
      <c r="C4" s="3">
        <v>39</v>
      </c>
      <c r="D4" s="4">
        <f>84-(B4+C4)</f>
        <v>9</v>
      </c>
      <c r="E4" s="13">
        <v>3619.9166666666702</v>
      </c>
      <c r="F4" s="13">
        <v>808.60256410256397</v>
      </c>
      <c r="G4" s="5">
        <v>1265.93055271042</v>
      </c>
      <c r="H4" s="5">
        <v>565.92471113873705</v>
      </c>
      <c r="I4" s="15">
        <v>12.57878481</v>
      </c>
      <c r="J4" s="15">
        <v>12.24300289</v>
      </c>
      <c r="K4" s="3">
        <v>73</v>
      </c>
      <c r="L4" s="15">
        <v>47.611911970000001</v>
      </c>
      <c r="M4" s="15">
        <f t="shared" ref="M4:M39" si="0">(2*J4)/SQRT(L4)</f>
        <v>3.5486252359496384</v>
      </c>
      <c r="N4" s="15">
        <v>2.86715755786545</v>
      </c>
    </row>
    <row r="5" spans="1:16" x14ac:dyDescent="0.2">
      <c r="A5" t="s">
        <v>138</v>
      </c>
      <c r="B5" s="3">
        <v>28</v>
      </c>
      <c r="C5" s="3">
        <v>30</v>
      </c>
      <c r="D5" s="4">
        <f>120-(B5+C5)</f>
        <v>62</v>
      </c>
      <c r="E5" s="13">
        <v>4072.2142857142899</v>
      </c>
      <c r="F5" s="13">
        <v>1561.9</v>
      </c>
      <c r="G5" s="5">
        <v>1070.8795833381901</v>
      </c>
      <c r="H5" s="5">
        <v>1070.7938676031699</v>
      </c>
      <c r="I5" s="15">
        <v>8.9213608680000007</v>
      </c>
      <c r="J5" s="15">
        <v>8.9213358039999999</v>
      </c>
      <c r="K5" s="3">
        <v>56</v>
      </c>
      <c r="L5" s="15">
        <v>55.724433560000001</v>
      </c>
      <c r="M5" s="15">
        <f t="shared" si="0"/>
        <v>2.390215460220368</v>
      </c>
      <c r="N5" s="15">
        <v>2.3442549400800101</v>
      </c>
    </row>
    <row r="6" spans="1:16" x14ac:dyDescent="0.2">
      <c r="A6" t="s">
        <v>139</v>
      </c>
      <c r="B6" s="3">
        <v>38</v>
      </c>
      <c r="C6" s="3">
        <v>27</v>
      </c>
      <c r="D6" s="4">
        <f>84-(B6+C6)</f>
        <v>19</v>
      </c>
      <c r="E6" s="13">
        <v>4084.6578947368398</v>
      </c>
      <c r="F6" s="13">
        <v>2600.5</v>
      </c>
      <c r="G6" s="5">
        <v>868.63130225678196</v>
      </c>
      <c r="H6" s="5">
        <v>1017.3641281423101</v>
      </c>
      <c r="I6" s="15">
        <v>6.3207130740000004</v>
      </c>
      <c r="J6" s="15">
        <v>6.1525486100000002</v>
      </c>
      <c r="K6" s="3">
        <v>63</v>
      </c>
      <c r="L6" s="15">
        <v>50.406577030000001</v>
      </c>
      <c r="M6" s="15">
        <f t="shared" si="0"/>
        <v>1.733171128917796</v>
      </c>
      <c r="N6" s="15">
        <v>1.5690008277623499</v>
      </c>
    </row>
    <row r="7" spans="1:16" x14ac:dyDescent="0.2">
      <c r="A7" t="s">
        <v>140</v>
      </c>
      <c r="B7" s="3">
        <v>39</v>
      </c>
      <c r="C7" s="3">
        <v>39</v>
      </c>
      <c r="D7" s="4">
        <f>95-(B7+C7)</f>
        <v>17</v>
      </c>
      <c r="E7" s="13">
        <v>3449.41025641026</v>
      </c>
      <c r="F7" s="13">
        <v>1380.2179487179501</v>
      </c>
      <c r="G7" s="5">
        <v>1124.8004084456099</v>
      </c>
      <c r="H7" s="5">
        <v>882.63972201566605</v>
      </c>
      <c r="I7" s="15">
        <v>9.0379181410000005</v>
      </c>
      <c r="J7" s="15">
        <v>9.0379181410000005</v>
      </c>
      <c r="K7" s="3">
        <v>76</v>
      </c>
      <c r="L7" s="15">
        <v>71.932224719999994</v>
      </c>
      <c r="M7" s="15">
        <f t="shared" si="0"/>
        <v>2.1312610741648159</v>
      </c>
      <c r="N7" s="15">
        <v>2.0466854294646102</v>
      </c>
    </row>
    <row r="8" spans="1:16" x14ac:dyDescent="0.2">
      <c r="A8" t="s">
        <v>141</v>
      </c>
      <c r="B8" s="3">
        <v>43</v>
      </c>
      <c r="C8" s="3">
        <v>43</v>
      </c>
      <c r="D8" s="4">
        <f>96-(B8+C8)</f>
        <v>10</v>
      </c>
      <c r="E8" s="13">
        <v>3594.1162790697699</v>
      </c>
      <c r="F8" s="13">
        <v>967.12790697674404</v>
      </c>
      <c r="G8" s="5">
        <v>1181.6070162787501</v>
      </c>
      <c r="H8" s="5">
        <v>900.69192379170897</v>
      </c>
      <c r="I8" s="15">
        <v>11.594387680000001</v>
      </c>
      <c r="J8" s="15">
        <v>11.594387680000001</v>
      </c>
      <c r="K8" s="3">
        <v>84</v>
      </c>
      <c r="L8" s="15">
        <v>78.488567860000003</v>
      </c>
      <c r="M8" s="15">
        <f t="shared" si="0"/>
        <v>2.6174271984640609</v>
      </c>
      <c r="N8" s="15">
        <v>2.5005099546776401</v>
      </c>
    </row>
    <row r="9" spans="1:16" x14ac:dyDescent="0.2">
      <c r="A9" t="s">
        <v>142</v>
      </c>
      <c r="B9" s="3">
        <v>37</v>
      </c>
      <c r="C9" s="3">
        <v>45</v>
      </c>
      <c r="D9" s="4">
        <f>102-(B9+C9)</f>
        <v>20</v>
      </c>
      <c r="E9" s="13">
        <v>3828.1891891891901</v>
      </c>
      <c r="F9" s="13">
        <v>979.37777777777796</v>
      </c>
      <c r="G9" s="5">
        <v>1220.70128609741</v>
      </c>
      <c r="H9" s="5">
        <v>823.79039530941395</v>
      </c>
      <c r="I9" s="15">
        <v>12.564807979999999</v>
      </c>
      <c r="J9" s="15">
        <v>12.108471460000001</v>
      </c>
      <c r="K9" s="3">
        <v>80</v>
      </c>
      <c r="L9" s="15">
        <v>61.009598240000003</v>
      </c>
      <c r="M9" s="15">
        <f t="shared" si="0"/>
        <v>3.1004179000014513</v>
      </c>
      <c r="N9" s="15">
        <v>2.7357394211626</v>
      </c>
    </row>
    <row r="10" spans="1:16" x14ac:dyDescent="0.2">
      <c r="A10" t="s">
        <v>143</v>
      </c>
      <c r="B10" s="3">
        <v>35</v>
      </c>
      <c r="C10" s="3">
        <v>45</v>
      </c>
      <c r="D10" s="4">
        <f>90-(B10+C10)</f>
        <v>10</v>
      </c>
      <c r="E10" s="13">
        <v>3653.61428571429</v>
      </c>
      <c r="F10" s="13">
        <v>1097.4000000000001</v>
      </c>
      <c r="G10" s="5">
        <v>1086.20690590558</v>
      </c>
      <c r="H10" s="5">
        <v>701.48474518500598</v>
      </c>
      <c r="I10" s="15">
        <v>12.745710300000001</v>
      </c>
      <c r="J10" s="15">
        <v>12.09792382</v>
      </c>
      <c r="K10" s="3">
        <v>78</v>
      </c>
      <c r="L10" s="15">
        <v>55.151711229999997</v>
      </c>
      <c r="M10" s="15">
        <f t="shared" si="0"/>
        <v>3.2580770076587156</v>
      </c>
      <c r="N10" s="15">
        <v>2.7957844949482</v>
      </c>
    </row>
    <row r="11" spans="1:16" x14ac:dyDescent="0.2">
      <c r="A11" t="s">
        <v>144</v>
      </c>
      <c r="B11" s="3">
        <v>75</v>
      </c>
      <c r="C11" s="3">
        <v>79</v>
      </c>
      <c r="D11" s="4">
        <f>174-(B11+C11)</f>
        <v>20</v>
      </c>
      <c r="E11" s="13">
        <v>3434.56</v>
      </c>
      <c r="F11" s="13">
        <v>1255.94936708861</v>
      </c>
      <c r="G11" s="5">
        <v>1161.5960041067401</v>
      </c>
      <c r="H11" s="5">
        <v>855.15568980957903</v>
      </c>
      <c r="I11" s="15">
        <v>13.301130540000001</v>
      </c>
      <c r="J11" s="15">
        <v>13.198226719999999</v>
      </c>
      <c r="K11" s="3">
        <v>152</v>
      </c>
      <c r="L11" s="15">
        <v>135.66693799999999</v>
      </c>
      <c r="M11" s="15">
        <f t="shared" si="0"/>
        <v>2.2662539212069759</v>
      </c>
      <c r="N11" s="15">
        <v>2.1359972133405498</v>
      </c>
    </row>
    <row r="12" spans="1:16" x14ac:dyDescent="0.2">
      <c r="A12" t="s">
        <v>145</v>
      </c>
      <c r="B12" s="3">
        <v>40</v>
      </c>
      <c r="C12" s="3">
        <v>34</v>
      </c>
      <c r="D12" s="4">
        <f>113-(B12+C12)</f>
        <v>39</v>
      </c>
      <c r="E12" s="13">
        <v>4004.35</v>
      </c>
      <c r="F12" s="13">
        <v>1840.61764705882</v>
      </c>
      <c r="G12" s="5">
        <v>903.984642199929</v>
      </c>
      <c r="H12" s="5">
        <v>1254.65883965386</v>
      </c>
      <c r="I12" s="15">
        <v>8.5971590899999999</v>
      </c>
      <c r="J12" s="15">
        <v>8.3761977040000009</v>
      </c>
      <c r="K12" s="3">
        <v>72</v>
      </c>
      <c r="L12" s="15">
        <v>58.852166240000003</v>
      </c>
      <c r="M12" s="15">
        <f t="shared" si="0"/>
        <v>2.1837136490336619</v>
      </c>
      <c r="N12" s="15">
        <v>1.9787745927617499</v>
      </c>
    </row>
    <row r="13" spans="1:16" x14ac:dyDescent="0.2">
      <c r="A13" t="s">
        <v>146</v>
      </c>
      <c r="B13" s="3">
        <v>50</v>
      </c>
      <c r="C13" s="3">
        <v>48</v>
      </c>
      <c r="D13" s="4">
        <f>112-(B13+C13)</f>
        <v>14</v>
      </c>
      <c r="E13" s="13">
        <v>3764.93</v>
      </c>
      <c r="F13" s="13">
        <v>1914.1666666666699</v>
      </c>
      <c r="G13" s="5">
        <v>1138.7414195111201</v>
      </c>
      <c r="H13" s="5">
        <v>1207.6352632637099</v>
      </c>
      <c r="I13" s="15">
        <v>7.8082587989999999</v>
      </c>
      <c r="J13" s="15">
        <v>7.7988173209999996</v>
      </c>
      <c r="K13" s="3">
        <v>96</v>
      </c>
      <c r="L13" s="15">
        <v>95.052483949999996</v>
      </c>
      <c r="M13" s="15">
        <f t="shared" si="0"/>
        <v>1.5998416832894147</v>
      </c>
      <c r="N13" s="15">
        <v>1.57687048006301</v>
      </c>
    </row>
    <row r="14" spans="1:16" x14ac:dyDescent="0.2">
      <c r="A14" t="s">
        <v>147</v>
      </c>
      <c r="B14" s="3">
        <v>134</v>
      </c>
      <c r="C14" s="3">
        <v>89</v>
      </c>
      <c r="D14" s="4">
        <f>277-(B14+C14)</f>
        <v>54</v>
      </c>
      <c r="E14" s="13">
        <v>3819.3544776119402</v>
      </c>
      <c r="F14" s="13">
        <v>1649.4269662921299</v>
      </c>
      <c r="G14" s="5">
        <v>1134.01366805727</v>
      </c>
      <c r="H14" s="5">
        <v>1087.4811846610601</v>
      </c>
      <c r="I14" s="15">
        <v>14.222828440000001</v>
      </c>
      <c r="J14" s="15">
        <v>14.34406763</v>
      </c>
      <c r="K14" s="3">
        <v>221</v>
      </c>
      <c r="L14" s="15">
        <v>194.0446949</v>
      </c>
      <c r="M14" s="15">
        <f t="shared" si="0"/>
        <v>2.0594508557995654</v>
      </c>
      <c r="N14" s="15">
        <v>1.9531457678092401</v>
      </c>
    </row>
    <row r="15" spans="1:16" x14ac:dyDescent="0.2">
      <c r="A15" t="s">
        <v>148</v>
      </c>
      <c r="B15" s="3">
        <v>61</v>
      </c>
      <c r="C15" s="3">
        <v>61</v>
      </c>
      <c r="D15" s="4">
        <f>146-(B15+C15)</f>
        <v>24</v>
      </c>
      <c r="E15" s="13">
        <v>3315.8934426229498</v>
      </c>
      <c r="F15" s="13">
        <v>1546.26229508197</v>
      </c>
      <c r="G15" s="5">
        <v>1130.9087979539399</v>
      </c>
      <c r="H15" s="5">
        <v>945.70479276286005</v>
      </c>
      <c r="I15" s="15">
        <v>9.3753309189999996</v>
      </c>
      <c r="J15" s="15">
        <v>9.3753309189999996</v>
      </c>
      <c r="K15" s="3">
        <v>120</v>
      </c>
      <c r="L15" s="15">
        <v>116.35617670000001</v>
      </c>
      <c r="M15" s="15">
        <f t="shared" si="0"/>
        <v>1.7382885931159882</v>
      </c>
      <c r="N15" s="15">
        <v>1.69760515833555</v>
      </c>
    </row>
    <row r="16" spans="1:16" x14ac:dyDescent="0.2">
      <c r="A16" t="s">
        <v>149</v>
      </c>
      <c r="B16" s="3">
        <v>39</v>
      </c>
      <c r="C16" s="3">
        <v>45</v>
      </c>
      <c r="D16" s="4">
        <f>98-(B16+C16)</f>
        <v>14</v>
      </c>
      <c r="E16" s="13">
        <v>3350.1025641025599</v>
      </c>
      <c r="F16" s="13">
        <v>1254.7777777777801</v>
      </c>
      <c r="G16" s="5">
        <v>1386.39031101163</v>
      </c>
      <c r="H16" s="5">
        <v>943.87194910810399</v>
      </c>
      <c r="I16" s="15">
        <v>8.1862805689999991</v>
      </c>
      <c r="J16" s="15">
        <v>7.9720466270000001</v>
      </c>
      <c r="K16" s="3">
        <v>82</v>
      </c>
      <c r="L16" s="15">
        <v>65.529217329999994</v>
      </c>
      <c r="M16" s="15">
        <f t="shared" si="0"/>
        <v>1.969619500409318</v>
      </c>
      <c r="N16" s="15">
        <v>1.7667846465455399</v>
      </c>
    </row>
    <row r="17" spans="1:14" x14ac:dyDescent="0.2">
      <c r="A17" t="s">
        <v>150</v>
      </c>
      <c r="B17" s="3">
        <v>35</v>
      </c>
      <c r="C17" s="3">
        <v>39</v>
      </c>
      <c r="D17" s="4">
        <f>85-(B17+C17)</f>
        <v>11</v>
      </c>
      <c r="E17" s="13">
        <v>3076.0857142857099</v>
      </c>
      <c r="F17" s="13">
        <v>1152.1282051282101</v>
      </c>
      <c r="G17" s="5">
        <v>1255.5487111085699</v>
      </c>
      <c r="H17" s="5">
        <v>782.57256026407697</v>
      </c>
      <c r="I17" s="15">
        <v>7.9971412439999998</v>
      </c>
      <c r="J17" s="15">
        <v>7.8063287680000002</v>
      </c>
      <c r="K17" s="3">
        <v>72</v>
      </c>
      <c r="L17" s="15">
        <v>55.774799639999998</v>
      </c>
      <c r="M17" s="15">
        <f t="shared" si="0"/>
        <v>2.0905368348336704</v>
      </c>
      <c r="N17" s="15">
        <v>1.8390994482310099</v>
      </c>
    </row>
    <row r="18" spans="1:14" x14ac:dyDescent="0.2">
      <c r="A18" t="s">
        <v>151</v>
      </c>
      <c r="B18" s="3">
        <v>439</v>
      </c>
      <c r="C18" s="3">
        <v>433</v>
      </c>
      <c r="D18" s="4">
        <f>1000-(B18+C18)</f>
        <v>128</v>
      </c>
      <c r="E18" s="13">
        <v>3708.7289293849699</v>
      </c>
      <c r="F18" s="13">
        <v>1829.9422632794499</v>
      </c>
      <c r="G18" s="5">
        <v>1048.3267328986899</v>
      </c>
      <c r="H18" s="5">
        <v>1191.1030655919201</v>
      </c>
      <c r="I18" s="15">
        <v>24.734172050000002</v>
      </c>
      <c r="J18" s="15">
        <v>24.712543440000001</v>
      </c>
      <c r="K18" s="3">
        <v>870</v>
      </c>
      <c r="L18" s="15">
        <v>853.1210701</v>
      </c>
      <c r="M18" s="15">
        <f t="shared" si="0"/>
        <v>1.6921626593427457</v>
      </c>
      <c r="N18" s="15">
        <v>1.6745153943406601</v>
      </c>
    </row>
    <row r="19" spans="1:14" x14ac:dyDescent="0.2">
      <c r="A19" t="s">
        <v>152</v>
      </c>
      <c r="B19" s="3">
        <v>42</v>
      </c>
      <c r="C19" s="3">
        <v>52</v>
      </c>
      <c r="D19" s="4">
        <f>107-(B19+C19)</f>
        <v>13</v>
      </c>
      <c r="E19" s="13">
        <v>3896.4285714285702</v>
      </c>
      <c r="F19" s="13">
        <v>1331.7788461538501</v>
      </c>
      <c r="G19" s="5">
        <v>1114.16396290534</v>
      </c>
      <c r="H19" s="5">
        <v>965.51536280799303</v>
      </c>
      <c r="I19" s="15">
        <v>11.95090237</v>
      </c>
      <c r="J19" s="15">
        <v>11.76946081</v>
      </c>
      <c r="K19" s="3">
        <v>92</v>
      </c>
      <c r="L19" s="15">
        <v>81.666873519999996</v>
      </c>
      <c r="M19" s="15">
        <f t="shared" si="0"/>
        <v>2.6047353132931867</v>
      </c>
      <c r="N19" s="15">
        <v>2.4601133431459998</v>
      </c>
    </row>
    <row r="20" spans="1:14" x14ac:dyDescent="0.2">
      <c r="A20" t="s">
        <v>153</v>
      </c>
      <c r="B20" s="3">
        <v>59</v>
      </c>
      <c r="C20" s="3">
        <v>50</v>
      </c>
      <c r="D20" s="4">
        <f>123-(B20+C20)</f>
        <v>14</v>
      </c>
      <c r="E20" s="13">
        <v>3361.9406779660999</v>
      </c>
      <c r="F20" s="13">
        <v>1712.3</v>
      </c>
      <c r="G20" s="5">
        <v>1201.49589264421</v>
      </c>
      <c r="H20" s="5">
        <v>1000.57494696289</v>
      </c>
      <c r="I20" s="15">
        <v>7.7037992219999998</v>
      </c>
      <c r="J20" s="15">
        <v>7.8208665369999997</v>
      </c>
      <c r="K20" s="3">
        <v>107</v>
      </c>
      <c r="L20" s="15">
        <v>106.9731429</v>
      </c>
      <c r="M20" s="15">
        <f t="shared" si="0"/>
        <v>1.5123332218922614</v>
      </c>
      <c r="N20" s="15">
        <v>1.49206514241577</v>
      </c>
    </row>
    <row r="21" spans="1:14" x14ac:dyDescent="0.2">
      <c r="A21" t="s">
        <v>154</v>
      </c>
      <c r="B21" s="3">
        <v>596</v>
      </c>
      <c r="C21" s="3">
        <v>517</v>
      </c>
      <c r="D21" s="4">
        <f>1329-(B21+C21)</f>
        <v>216</v>
      </c>
      <c r="E21" s="13">
        <v>3566.0570469798699</v>
      </c>
      <c r="F21" s="13">
        <v>1970.4284332688601</v>
      </c>
      <c r="G21" s="5">
        <v>1124.64019983865</v>
      </c>
      <c r="H21" s="5">
        <v>1233.4958964873899</v>
      </c>
      <c r="I21" s="15">
        <v>22.567254439999999</v>
      </c>
      <c r="J21" s="15">
        <v>22.420030820000001</v>
      </c>
      <c r="K21" s="3">
        <v>1111</v>
      </c>
      <c r="L21" s="15">
        <v>1053.442992</v>
      </c>
      <c r="M21" s="15">
        <f t="shared" si="0"/>
        <v>1.3815311505175221</v>
      </c>
      <c r="N21" s="15">
        <v>1.3518568838610201</v>
      </c>
    </row>
    <row r="22" spans="1:14" x14ac:dyDescent="0.2">
      <c r="A22" t="s">
        <v>155</v>
      </c>
      <c r="B22" s="3">
        <v>40</v>
      </c>
      <c r="C22" s="3">
        <v>45</v>
      </c>
      <c r="D22" s="4">
        <f>95-(B22+C22)</f>
        <v>10</v>
      </c>
      <c r="E22" s="13">
        <v>3528.1125000000002</v>
      </c>
      <c r="F22" s="13">
        <v>1160.2777777777801</v>
      </c>
      <c r="G22" s="5">
        <v>1224.0185366426699</v>
      </c>
      <c r="H22" s="5">
        <v>831.45468468027002</v>
      </c>
      <c r="I22" s="15">
        <v>10.531542440000001</v>
      </c>
      <c r="J22" s="15">
        <v>10.302909039999999</v>
      </c>
      <c r="K22" s="3">
        <v>83</v>
      </c>
      <c r="L22" s="15">
        <v>67.489585590000004</v>
      </c>
      <c r="M22" s="15">
        <f t="shared" si="0"/>
        <v>2.508253809919454</v>
      </c>
      <c r="N22" s="15">
        <v>2.2630289636418501</v>
      </c>
    </row>
    <row r="23" spans="1:14" x14ac:dyDescent="0.2">
      <c r="A23" t="s">
        <v>156</v>
      </c>
      <c r="B23" s="3">
        <v>49</v>
      </c>
      <c r="C23" s="3">
        <v>35</v>
      </c>
      <c r="D23" s="4">
        <f>103-(B23+C23)</f>
        <v>19</v>
      </c>
      <c r="E23" s="13">
        <v>3674.8163265306098</v>
      </c>
      <c r="F23" s="13">
        <v>1396.3571428571399</v>
      </c>
      <c r="G23" s="5">
        <v>1100.01510261355</v>
      </c>
      <c r="H23" s="5">
        <v>1183.6355607856301</v>
      </c>
      <c r="I23" s="15">
        <v>9.0671656180000006</v>
      </c>
      <c r="J23" s="15">
        <v>8.9559604010000005</v>
      </c>
      <c r="K23" s="3">
        <v>82</v>
      </c>
      <c r="L23" s="15">
        <v>70.015752809999995</v>
      </c>
      <c r="M23" s="15">
        <f t="shared" si="0"/>
        <v>2.140643167295706</v>
      </c>
      <c r="N23" s="15">
        <v>1.9941169368165701</v>
      </c>
    </row>
    <row r="24" spans="1:14" x14ac:dyDescent="0.2">
      <c r="A24" t="s">
        <v>157</v>
      </c>
      <c r="B24" s="3">
        <v>31</v>
      </c>
      <c r="C24" s="3">
        <v>37</v>
      </c>
      <c r="D24" s="4">
        <f>86-(B24+C24)</f>
        <v>18</v>
      </c>
      <c r="E24" s="13">
        <v>3245.5806451612898</v>
      </c>
      <c r="F24" s="13">
        <v>940.18918918918905</v>
      </c>
      <c r="G24" s="5">
        <v>1210.0996453238499</v>
      </c>
      <c r="H24" s="5">
        <v>955.48398404618399</v>
      </c>
      <c r="I24" s="15">
        <v>8.7775519240000008</v>
      </c>
      <c r="J24" s="15">
        <v>8.5969942180000007</v>
      </c>
      <c r="K24" s="3">
        <v>66</v>
      </c>
      <c r="L24" s="15">
        <v>56.646628909999997</v>
      </c>
      <c r="M24" s="15">
        <f t="shared" si="0"/>
        <v>2.2844917574972725</v>
      </c>
      <c r="N24" s="15">
        <v>2.1145527456260802</v>
      </c>
    </row>
    <row r="25" spans="1:14" x14ac:dyDescent="0.2">
      <c r="A25" t="s">
        <v>158</v>
      </c>
      <c r="B25" s="3">
        <v>75</v>
      </c>
      <c r="C25" s="3">
        <v>75</v>
      </c>
      <c r="D25" s="4">
        <f>162-(B25+C25)</f>
        <v>12</v>
      </c>
      <c r="E25" s="13">
        <v>3565.38666666667</v>
      </c>
      <c r="F25" s="13">
        <v>1324.36</v>
      </c>
      <c r="G25" s="5">
        <v>1276.5160397816501</v>
      </c>
      <c r="H25" s="5">
        <v>872.40966604308403</v>
      </c>
      <c r="I25" s="15">
        <v>12.552347129999999</v>
      </c>
      <c r="J25" s="15">
        <v>12.552347129999999</v>
      </c>
      <c r="K25" s="3">
        <v>148</v>
      </c>
      <c r="L25" s="15">
        <v>130.74733509999999</v>
      </c>
      <c r="M25" s="15">
        <f t="shared" si="0"/>
        <v>2.19552564226341</v>
      </c>
      <c r="N25" s="15">
        <v>2.0497897030790702</v>
      </c>
    </row>
    <row r="26" spans="1:14" x14ac:dyDescent="0.2">
      <c r="A26" t="s">
        <v>159</v>
      </c>
      <c r="B26" s="3">
        <v>38</v>
      </c>
      <c r="C26" s="3">
        <v>24</v>
      </c>
      <c r="D26" s="4">
        <f>79-(B26+C26)</f>
        <v>17</v>
      </c>
      <c r="E26" s="13">
        <v>3860.75</v>
      </c>
      <c r="F26" s="13">
        <v>640.10416666666697</v>
      </c>
      <c r="G26" s="5">
        <v>1153.6368681906099</v>
      </c>
      <c r="H26" s="5">
        <v>768.89136705370197</v>
      </c>
      <c r="I26" s="15">
        <v>12.06986083</v>
      </c>
      <c r="J26" s="15">
        <v>13.1860654</v>
      </c>
      <c r="K26" s="3">
        <v>60</v>
      </c>
      <c r="L26" s="15">
        <v>59.778671920000001</v>
      </c>
      <c r="M26" s="15">
        <f t="shared" si="0"/>
        <v>3.4109243699855645</v>
      </c>
      <c r="N26" s="15">
        <v>3.2852857176310799</v>
      </c>
    </row>
    <row r="27" spans="1:14" x14ac:dyDescent="0.2">
      <c r="A27" t="s">
        <v>160</v>
      </c>
      <c r="B27" s="3">
        <v>70</v>
      </c>
      <c r="C27" s="3">
        <v>56</v>
      </c>
      <c r="D27" s="4">
        <f>169-(B27+C27)</f>
        <v>43</v>
      </c>
      <c r="E27" s="13">
        <v>3971.3214285714298</v>
      </c>
      <c r="F27" s="13">
        <v>1843.7142857142901</v>
      </c>
      <c r="G27" s="5">
        <v>1023.82375080996</v>
      </c>
      <c r="H27" s="5">
        <v>1320.9197376247901</v>
      </c>
      <c r="I27" s="15">
        <v>10.186564730000001</v>
      </c>
      <c r="J27" s="15">
        <v>9.905799665</v>
      </c>
      <c r="K27" s="3">
        <v>124</v>
      </c>
      <c r="L27" s="15">
        <v>101.82321829999999</v>
      </c>
      <c r="M27" s="15">
        <f t="shared" si="0"/>
        <v>1.9633427653415272</v>
      </c>
      <c r="N27" s="15">
        <v>1.8003939579707799</v>
      </c>
    </row>
    <row r="28" spans="1:14" x14ac:dyDescent="0.2">
      <c r="A28" t="s">
        <v>161</v>
      </c>
      <c r="B28" s="3">
        <v>73</v>
      </c>
      <c r="C28" s="3">
        <v>88</v>
      </c>
      <c r="D28" s="4">
        <f>187-(B28+C28)</f>
        <v>26</v>
      </c>
      <c r="E28" s="13">
        <v>3977.4383561643799</v>
      </c>
      <c r="F28" s="13">
        <v>1644.5568181818201</v>
      </c>
      <c r="G28" s="5">
        <v>1055.7715548395699</v>
      </c>
      <c r="H28" s="5">
        <v>1112.1051835430501</v>
      </c>
      <c r="I28" s="15">
        <v>13.557199900000001</v>
      </c>
      <c r="J28" s="15">
        <v>13.62337219</v>
      </c>
      <c r="K28" s="3">
        <v>159</v>
      </c>
      <c r="L28" s="15">
        <v>156.09668450000001</v>
      </c>
      <c r="M28" s="15">
        <f t="shared" si="0"/>
        <v>2.18080973918069</v>
      </c>
      <c r="N28" s="15">
        <v>2.15150082397781</v>
      </c>
    </row>
    <row r="29" spans="1:14" x14ac:dyDescent="0.2">
      <c r="A29" t="s">
        <v>162</v>
      </c>
      <c r="B29" s="3">
        <v>37</v>
      </c>
      <c r="C29" s="3">
        <v>35</v>
      </c>
      <c r="D29" s="4">
        <f>87-(B29+C29)</f>
        <v>15</v>
      </c>
      <c r="E29" s="13">
        <v>3964.5810810810799</v>
      </c>
      <c r="F29" s="13">
        <v>1255.11428571429</v>
      </c>
      <c r="G29" s="5">
        <v>1088.6630467478701</v>
      </c>
      <c r="H29" s="5">
        <v>1102.2219476352</v>
      </c>
      <c r="I29" s="15">
        <v>10.49134988</v>
      </c>
      <c r="J29" s="15">
        <v>10.487691959999999</v>
      </c>
      <c r="K29" s="3">
        <v>70</v>
      </c>
      <c r="L29" s="15">
        <v>69.670787189999999</v>
      </c>
      <c r="M29" s="15">
        <f t="shared" si="0"/>
        <v>2.5129541216116231</v>
      </c>
      <c r="N29" s="15">
        <v>2.4733520163731599</v>
      </c>
    </row>
    <row r="30" spans="1:14" x14ac:dyDescent="0.2">
      <c r="A30" t="s">
        <v>163</v>
      </c>
      <c r="B30" s="3">
        <v>103</v>
      </c>
      <c r="C30" s="3">
        <v>95</v>
      </c>
      <c r="D30" s="4">
        <f>225-(B30+C30)</f>
        <v>27</v>
      </c>
      <c r="E30" s="13">
        <v>3636.5436893203901</v>
      </c>
      <c r="F30" s="13">
        <v>1721.8894736842101</v>
      </c>
      <c r="G30" s="5">
        <v>1074.9520192365601</v>
      </c>
      <c r="H30" s="5">
        <v>1294.4664558060799</v>
      </c>
      <c r="I30" s="15">
        <v>11.355466270000001</v>
      </c>
      <c r="J30" s="15">
        <v>11.271058010000001</v>
      </c>
      <c r="K30" s="3">
        <v>196</v>
      </c>
      <c r="L30" s="15">
        <v>183.27467799999999</v>
      </c>
      <c r="M30" s="15">
        <f t="shared" si="0"/>
        <v>1.6651119901984834</v>
      </c>
      <c r="N30" s="15">
        <v>1.60924712040624</v>
      </c>
    </row>
    <row r="31" spans="1:14" x14ac:dyDescent="0.2">
      <c r="A31" t="s">
        <v>164</v>
      </c>
      <c r="B31" s="3">
        <v>22</v>
      </c>
      <c r="C31" s="3">
        <v>21</v>
      </c>
      <c r="D31" s="4">
        <f>80-(B31+C31)</f>
        <v>37</v>
      </c>
      <c r="E31" s="13">
        <v>3328.54545454545</v>
      </c>
      <c r="F31" s="13">
        <v>1808.0476190476199</v>
      </c>
      <c r="G31" s="5">
        <v>1142.4493206337199</v>
      </c>
      <c r="H31" s="5">
        <v>884.14776628064101</v>
      </c>
      <c r="I31" s="15">
        <v>4.8642007239999998</v>
      </c>
      <c r="J31" s="15">
        <v>4.8933508960000003</v>
      </c>
      <c r="K31" s="3">
        <v>41</v>
      </c>
      <c r="L31" s="15">
        <v>39.35285433</v>
      </c>
      <c r="M31" s="15">
        <f t="shared" si="0"/>
        <v>1.5600849104694172</v>
      </c>
      <c r="N31" s="15">
        <v>1.48850117211317</v>
      </c>
    </row>
    <row r="32" spans="1:14" x14ac:dyDescent="0.2">
      <c r="A32" t="s">
        <v>165</v>
      </c>
      <c r="B32" s="3">
        <v>52</v>
      </c>
      <c r="C32" s="3">
        <v>66</v>
      </c>
      <c r="D32" s="4">
        <f>127-(B32+C32)</f>
        <v>9</v>
      </c>
      <c r="E32" s="13">
        <v>3570.125</v>
      </c>
      <c r="F32" s="13">
        <v>1134.3333333333301</v>
      </c>
      <c r="G32" s="5">
        <v>1105.4600137100199</v>
      </c>
      <c r="H32" s="5">
        <v>775.97340028426095</v>
      </c>
      <c r="I32" s="15">
        <v>14.045854179999999</v>
      </c>
      <c r="J32" s="15">
        <v>13.48562722</v>
      </c>
      <c r="K32" s="3">
        <v>116</v>
      </c>
      <c r="L32" s="15">
        <v>87.890686439999996</v>
      </c>
      <c r="M32" s="15">
        <f t="shared" si="0"/>
        <v>2.8769328013726128</v>
      </c>
      <c r="N32" s="15">
        <v>2.5504787105714701</v>
      </c>
    </row>
    <row r="33" spans="1:14" x14ac:dyDescent="0.2">
      <c r="A33" t="s">
        <v>166</v>
      </c>
      <c r="B33" s="3">
        <v>37</v>
      </c>
      <c r="C33" s="3">
        <v>40</v>
      </c>
      <c r="D33" s="4">
        <f>144-(B33+C33)</f>
        <v>67</v>
      </c>
      <c r="E33" s="13">
        <v>3378.2162162162199</v>
      </c>
      <c r="F33" s="13">
        <v>1777.3625</v>
      </c>
      <c r="G33" s="5">
        <v>1053.56591274941</v>
      </c>
      <c r="H33" s="5">
        <v>1247.5479282068</v>
      </c>
      <c r="I33" s="15">
        <v>6.058179268</v>
      </c>
      <c r="J33" s="15">
        <v>6.0983497880000002</v>
      </c>
      <c r="K33" s="3">
        <v>75</v>
      </c>
      <c r="L33" s="15">
        <v>74.405821090000003</v>
      </c>
      <c r="M33" s="15">
        <f t="shared" si="0"/>
        <v>1.4139656847444362</v>
      </c>
      <c r="N33" s="15">
        <v>1.3864552988065799</v>
      </c>
    </row>
    <row r="34" spans="1:14" x14ac:dyDescent="0.2">
      <c r="A34" t="s">
        <v>167</v>
      </c>
      <c r="B34" s="3">
        <v>42</v>
      </c>
      <c r="C34" s="3">
        <v>33</v>
      </c>
      <c r="D34" s="4">
        <f>81-(B34+C34)</f>
        <v>6</v>
      </c>
      <c r="E34" s="13">
        <v>3570.9880952381</v>
      </c>
      <c r="F34" s="13">
        <v>1407.80303030303</v>
      </c>
      <c r="G34" s="5">
        <v>1118.34396563158</v>
      </c>
      <c r="H34" s="5">
        <v>878.184543705382</v>
      </c>
      <c r="I34" s="15">
        <v>9.1163702539999996</v>
      </c>
      <c r="J34" s="15">
        <v>9.3831524640000001</v>
      </c>
      <c r="K34" s="3">
        <v>73</v>
      </c>
      <c r="L34" s="15">
        <v>72.999455330000004</v>
      </c>
      <c r="M34" s="15">
        <f t="shared" si="0"/>
        <v>2.1964380514887036</v>
      </c>
      <c r="N34" s="15">
        <v>2.1514373104631002</v>
      </c>
    </row>
    <row r="35" spans="1:14" x14ac:dyDescent="0.2">
      <c r="A35" t="s">
        <v>168</v>
      </c>
      <c r="B35" s="3">
        <v>50</v>
      </c>
      <c r="C35" s="3">
        <v>50</v>
      </c>
      <c r="D35" s="4">
        <f>108-(B35+C35)</f>
        <v>8</v>
      </c>
      <c r="E35" s="13">
        <v>3465.4</v>
      </c>
      <c r="F35" s="13">
        <v>1181.24</v>
      </c>
      <c r="G35" s="5">
        <v>1377.26415440917</v>
      </c>
      <c r="H35" s="5">
        <v>819.97005445569903</v>
      </c>
      <c r="I35" s="15">
        <v>10.076551719999999</v>
      </c>
      <c r="J35" s="15">
        <v>10.076551719999999</v>
      </c>
      <c r="K35" s="3">
        <v>98</v>
      </c>
      <c r="L35" s="15">
        <v>79.859480070000004</v>
      </c>
      <c r="M35" s="15">
        <f t="shared" si="0"/>
        <v>2.255166932337878</v>
      </c>
      <c r="N35" s="15">
        <v>2.0153103447827001</v>
      </c>
    </row>
    <row r="36" spans="1:14" x14ac:dyDescent="0.2">
      <c r="A36" t="s">
        <v>169</v>
      </c>
      <c r="B36" s="3">
        <v>38</v>
      </c>
      <c r="C36" s="3">
        <v>50</v>
      </c>
      <c r="D36" s="4">
        <f>96-(B36+C36)</f>
        <v>8</v>
      </c>
      <c r="E36" s="13">
        <v>3627.89473684211</v>
      </c>
      <c r="F36" s="13">
        <v>1611.05</v>
      </c>
      <c r="G36" s="5">
        <v>1100.1880991380799</v>
      </c>
      <c r="H36" s="5">
        <v>952.56525433983302</v>
      </c>
      <c r="I36" s="15">
        <v>9.1994198459999996</v>
      </c>
      <c r="J36" s="15">
        <v>9.0195490770000006</v>
      </c>
      <c r="K36" s="3">
        <v>86</v>
      </c>
      <c r="L36" s="15">
        <v>73.222969509999999</v>
      </c>
      <c r="M36" s="15">
        <f t="shared" si="0"/>
        <v>2.1080997314378793</v>
      </c>
      <c r="N36" s="15">
        <v>1.9599525819424299</v>
      </c>
    </row>
    <row r="37" spans="1:14" x14ac:dyDescent="0.2">
      <c r="A37" t="s">
        <v>170</v>
      </c>
      <c r="B37" s="3">
        <v>38</v>
      </c>
      <c r="C37" s="3">
        <v>48</v>
      </c>
      <c r="D37" s="4">
        <f>103-(B37+C37)</f>
        <v>17</v>
      </c>
      <c r="E37" s="13">
        <v>3596.8157894736801</v>
      </c>
      <c r="F37" s="13">
        <v>1054.0104166666699</v>
      </c>
      <c r="G37" s="5">
        <v>1244.7970225348099</v>
      </c>
      <c r="H37" s="5">
        <v>708.97911689065802</v>
      </c>
      <c r="I37" s="15">
        <v>11.92859179</v>
      </c>
      <c r="J37" s="15">
        <v>11.232373600000001</v>
      </c>
      <c r="K37" s="3">
        <v>84</v>
      </c>
      <c r="L37" s="15">
        <v>55.559545249999999</v>
      </c>
      <c r="M37" s="15">
        <f t="shared" si="0"/>
        <v>3.0138538929305443</v>
      </c>
      <c r="N37" s="15">
        <v>2.5102752461342099</v>
      </c>
    </row>
    <row r="38" spans="1:14" x14ac:dyDescent="0.2">
      <c r="A38" t="s">
        <v>171</v>
      </c>
      <c r="B38" s="3">
        <v>42</v>
      </c>
      <c r="C38" s="3">
        <v>31</v>
      </c>
      <c r="D38" s="4">
        <f>90-(B38+C38)</f>
        <v>17</v>
      </c>
      <c r="E38" s="13">
        <v>3415.2976190476202</v>
      </c>
      <c r="F38" s="13">
        <v>1925.96774193548</v>
      </c>
      <c r="G38" s="5">
        <v>1036.01936993101</v>
      </c>
      <c r="H38" s="5">
        <v>1160.2187360973801</v>
      </c>
      <c r="I38" s="15">
        <v>5.7692402769999998</v>
      </c>
      <c r="J38" s="15">
        <v>5.6706677320000001</v>
      </c>
      <c r="K38" s="3">
        <v>71</v>
      </c>
      <c r="L38" s="15">
        <v>60.39605761</v>
      </c>
      <c r="M38" s="15">
        <f t="shared" si="0"/>
        <v>1.4593514744064804</v>
      </c>
      <c r="N38" s="15">
        <v>1.3540919113643599</v>
      </c>
    </row>
    <row r="39" spans="1:14" x14ac:dyDescent="0.2">
      <c r="A39" t="s">
        <v>172</v>
      </c>
      <c r="B39" s="3">
        <v>35</v>
      </c>
      <c r="C39" s="3">
        <v>42</v>
      </c>
      <c r="D39" s="4">
        <f>87-(B39+C39)</f>
        <v>10</v>
      </c>
      <c r="E39" s="13">
        <v>3595.3285714285698</v>
      </c>
      <c r="F39" s="13">
        <v>1631.2023809523801</v>
      </c>
      <c r="G39" s="5">
        <v>1191.2017531915899</v>
      </c>
      <c r="H39" s="5">
        <v>1131.0445585426</v>
      </c>
      <c r="I39" s="15">
        <v>7.4064586500000003</v>
      </c>
      <c r="J39" s="15">
        <v>7.3712147960000003</v>
      </c>
      <c r="K39" s="3">
        <v>75</v>
      </c>
      <c r="L39" s="15">
        <v>71.031083879999997</v>
      </c>
      <c r="M39" s="15">
        <f t="shared" si="0"/>
        <v>1.7492216399974714</v>
      </c>
      <c r="N39" s="15">
        <v>1.69100710203237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5703125" customWidth="1"/>
    <col min="5" max="5" width="12.7109375" customWidth="1"/>
    <col min="6" max="6" width="13.140625" customWidth="1"/>
    <col min="7" max="7" width="11.140625" customWidth="1"/>
    <col min="8" max="8" width="11" customWidth="1"/>
    <col min="9" max="9" width="10.28515625" customWidth="1"/>
    <col min="10" max="10" width="13.42578125" customWidth="1"/>
    <col min="11" max="11" width="12" customWidth="1"/>
    <col min="12" max="12" width="13.28515625" customWidth="1"/>
    <col min="13" max="13" width="10.85546875" customWidth="1"/>
    <col min="14" max="14" width="9.42578125" customWidth="1"/>
    <col min="15" max="15" width="14.85546875" customWidth="1"/>
    <col min="16" max="16" width="26" customWidth="1"/>
  </cols>
  <sheetData>
    <row r="1" spans="1:16" ht="12.75" customHeight="1" x14ac:dyDescent="0.2">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64.5" customHeight="1" x14ac:dyDescent="0.2">
      <c r="A2" s="6" t="s">
        <v>133</v>
      </c>
      <c r="B2" s="4">
        <f>SUM(B4:B39)</f>
        <v>2764</v>
      </c>
      <c r="C2" s="4">
        <f>SUM(C4:C39)</f>
        <v>2863</v>
      </c>
      <c r="D2" s="4">
        <f>6344-(B2+C2)</f>
        <v>717</v>
      </c>
      <c r="E2" s="13">
        <v>4044.4607452999999</v>
      </c>
      <c r="F2" s="13">
        <v>1626.0874956299999</v>
      </c>
      <c r="G2" s="5">
        <v>1074.63012718</v>
      </c>
      <c r="H2" s="5">
        <v>1093.00369295</v>
      </c>
      <c r="I2" s="15">
        <v>79.822000000000003</v>
      </c>
      <c r="J2" s="15">
        <v>79.756</v>
      </c>
      <c r="K2" s="3">
        <v>5815</v>
      </c>
      <c r="L2" s="15">
        <v>5776.3220000000001</v>
      </c>
      <c r="M2" s="15">
        <f>(2*J2)/SQRT(L2)</f>
        <v>2.0987836046656647</v>
      </c>
      <c r="N2" s="15">
        <v>2.23</v>
      </c>
      <c r="O2" t="s">
        <v>179</v>
      </c>
      <c r="P2" t="s">
        <v>180</v>
      </c>
    </row>
    <row r="3" spans="1:16" ht="12.75" customHeight="1" x14ac:dyDescent="0.2">
      <c r="A3" s="6" t="s">
        <v>136</v>
      </c>
      <c r="B3" s="15">
        <f>AVERAGE(B4:B39)</f>
        <v>76.777777777777771</v>
      </c>
      <c r="C3" s="15">
        <f>AVERAGE(C4:C39)</f>
        <v>79.527777777777771</v>
      </c>
      <c r="D3" s="15"/>
      <c r="E3" s="13">
        <f>AVERAGE(E4:E39)</f>
        <v>4038.8225945035165</v>
      </c>
      <c r="F3" s="13">
        <f>AVERAGE(F4:F39)</f>
        <v>1557.7337368021285</v>
      </c>
      <c r="G3" s="5">
        <f>AVERAGE(G4:G39)</f>
        <v>1026.0834131603053</v>
      </c>
      <c r="H3" s="5">
        <f>AVERAGE(H4:H39)</f>
        <v>984.08370935888752</v>
      </c>
      <c r="I3" s="15">
        <v>13.4104499471111</v>
      </c>
      <c r="J3" s="15">
        <v>13.2515644873056</v>
      </c>
      <c r="K3" s="15">
        <f>AVERAGE(K4:K39)</f>
        <v>154.30555555555554</v>
      </c>
      <c r="L3" s="15">
        <f>AVERAGE(L4:L39)</f>
        <v>143.59331712638894</v>
      </c>
      <c r="M3" s="15">
        <f>AVERAGE(M4:M39)</f>
        <v>2.6333730775751927</v>
      </c>
      <c r="N3" s="15">
        <f>AVERAGE(N4:N39)</f>
        <v>2.4461266609309145</v>
      </c>
    </row>
    <row r="4" spans="1:16" ht="12.75" customHeight="1" x14ac:dyDescent="0.2">
      <c r="A4" t="s">
        <v>137</v>
      </c>
      <c r="B4" s="3">
        <v>38</v>
      </c>
      <c r="C4" s="3">
        <v>35</v>
      </c>
      <c r="D4" s="4">
        <f>84-(B4+C4)</f>
        <v>11</v>
      </c>
      <c r="E4" s="13">
        <v>4081.5657894736801</v>
      </c>
      <c r="F4" s="13">
        <v>1280.42857142857</v>
      </c>
      <c r="G4" s="5">
        <v>1133.19836274968</v>
      </c>
      <c r="H4" s="5">
        <v>1081.19561504068</v>
      </c>
      <c r="I4" s="15">
        <v>10.78509259</v>
      </c>
      <c r="J4" s="15">
        <v>10.80621152</v>
      </c>
      <c r="K4" s="3">
        <v>71</v>
      </c>
      <c r="L4" s="15">
        <v>70.905904789999994</v>
      </c>
      <c r="M4" s="15">
        <f t="shared" ref="M4:M39" si="0">(2*J4)/SQRT(L4)</f>
        <v>2.5666240428896989</v>
      </c>
      <c r="N4" s="15">
        <v>2.5292383891174999</v>
      </c>
    </row>
    <row r="5" spans="1:16" ht="12.75" customHeight="1" x14ac:dyDescent="0.2">
      <c r="A5" t="s">
        <v>138</v>
      </c>
      <c r="B5" s="3">
        <v>32</v>
      </c>
      <c r="C5" s="3">
        <v>44</v>
      </c>
      <c r="D5" s="4">
        <f>120-(B5+C5)</f>
        <v>44</v>
      </c>
      <c r="E5" s="13">
        <v>3913.1875</v>
      </c>
      <c r="F5" s="13">
        <v>1287.39772727273</v>
      </c>
      <c r="G5" s="5">
        <v>1104.46750963472</v>
      </c>
      <c r="H5" s="5">
        <v>1005.40401794355</v>
      </c>
      <c r="I5" s="15">
        <v>10.78387914</v>
      </c>
      <c r="J5" s="15">
        <v>10.623344019999999</v>
      </c>
      <c r="K5" s="3">
        <v>74</v>
      </c>
      <c r="L5" s="15">
        <v>63.101528870000003</v>
      </c>
      <c r="M5" s="15">
        <f t="shared" si="0"/>
        <v>2.6746767368181334</v>
      </c>
      <c r="N5" s="15">
        <v>2.48631274852068</v>
      </c>
    </row>
    <row r="6" spans="1:16" ht="12.75" customHeight="1" x14ac:dyDescent="0.2">
      <c r="A6" t="s">
        <v>139</v>
      </c>
      <c r="B6" s="3">
        <v>40</v>
      </c>
      <c r="C6" s="3">
        <v>43</v>
      </c>
      <c r="D6" s="4">
        <f>84-(B6+C6)</f>
        <v>1</v>
      </c>
      <c r="E6" s="13">
        <v>3218</v>
      </c>
      <c r="F6" s="13">
        <v>2697.3953488372099</v>
      </c>
      <c r="G6" s="5">
        <v>667.35908913129697</v>
      </c>
      <c r="H6" s="5">
        <v>657.69704233914695</v>
      </c>
      <c r="I6" s="15">
        <v>3.5779536410000001</v>
      </c>
      <c r="J6" s="15">
        <v>3.5760449510000001</v>
      </c>
      <c r="K6" s="3">
        <v>81</v>
      </c>
      <c r="L6" s="15">
        <v>80.380389249999993</v>
      </c>
      <c r="M6" s="15">
        <f t="shared" si="0"/>
        <v>0.79773365107122096</v>
      </c>
      <c r="N6" s="15">
        <v>0.78576416346196398</v>
      </c>
    </row>
    <row r="7" spans="1:16" ht="12.75" customHeight="1" x14ac:dyDescent="0.2">
      <c r="A7" t="s">
        <v>140</v>
      </c>
      <c r="B7" s="3">
        <v>47</v>
      </c>
      <c r="C7" s="3">
        <v>37</v>
      </c>
      <c r="D7" s="4">
        <f>95-(B7+C7)</f>
        <v>11</v>
      </c>
      <c r="E7" s="13">
        <v>4206.1170212766001</v>
      </c>
      <c r="F7" s="13">
        <v>1920.9189189189201</v>
      </c>
      <c r="G7" s="5">
        <v>871.27940791717299</v>
      </c>
      <c r="H7" s="5">
        <v>1335.5465772146999</v>
      </c>
      <c r="I7" s="15">
        <v>9.4565525600000004</v>
      </c>
      <c r="J7" s="15">
        <v>9.0077854520000002</v>
      </c>
      <c r="K7" s="3">
        <v>82</v>
      </c>
      <c r="L7" s="15">
        <v>58.982573449999997</v>
      </c>
      <c r="M7" s="15">
        <f t="shared" si="0"/>
        <v>2.345774012342976</v>
      </c>
      <c r="N7" s="15">
        <v>2.0266636895997001</v>
      </c>
    </row>
    <row r="8" spans="1:16" ht="12.75" customHeight="1" x14ac:dyDescent="0.2">
      <c r="A8" t="s">
        <v>141</v>
      </c>
      <c r="B8" s="3">
        <v>59</v>
      </c>
      <c r="C8" s="3">
        <v>29</v>
      </c>
      <c r="D8" s="4">
        <f>96-(B8+C8)</f>
        <v>8</v>
      </c>
      <c r="E8" s="13">
        <v>3962.3813559322002</v>
      </c>
      <c r="F8" s="13">
        <v>1591.01724137931</v>
      </c>
      <c r="G8" s="5">
        <v>1059.30317995378</v>
      </c>
      <c r="H8" s="5">
        <v>1315.6327136371001</v>
      </c>
      <c r="I8" s="15">
        <v>9.0999979589999995</v>
      </c>
      <c r="J8" s="15">
        <v>8.4527380769999994</v>
      </c>
      <c r="K8" s="3">
        <v>86</v>
      </c>
      <c r="L8" s="15">
        <v>46.41254077</v>
      </c>
      <c r="M8" s="15">
        <f t="shared" si="0"/>
        <v>2.4814740367285704</v>
      </c>
      <c r="N8" s="15">
        <v>1.9854611410582701</v>
      </c>
    </row>
    <row r="9" spans="1:16" ht="12.75" customHeight="1" x14ac:dyDescent="0.2">
      <c r="A9" t="s">
        <v>142</v>
      </c>
      <c r="B9" s="3">
        <v>29</v>
      </c>
      <c r="C9" s="3">
        <v>36</v>
      </c>
      <c r="D9" s="4">
        <f>102-(B9+C9)</f>
        <v>37</v>
      </c>
      <c r="E9" s="13">
        <v>4318.2931034482799</v>
      </c>
      <c r="F9" s="13">
        <v>1339.2361111111099</v>
      </c>
      <c r="G9" s="5">
        <v>1113.0964734633101</v>
      </c>
      <c r="H9" s="5">
        <v>1154.3399071461399</v>
      </c>
      <c r="I9" s="15">
        <v>10.507992700000001</v>
      </c>
      <c r="J9" s="15">
        <v>10.549880679999999</v>
      </c>
      <c r="K9" s="3">
        <v>63</v>
      </c>
      <c r="L9" s="15">
        <v>60.940054719999999</v>
      </c>
      <c r="M9" s="15">
        <f t="shared" si="0"/>
        <v>2.7028760092773849</v>
      </c>
      <c r="N9" s="15">
        <v>2.6272528042487</v>
      </c>
    </row>
    <row r="10" spans="1:16" ht="12.75" customHeight="1" x14ac:dyDescent="0.2">
      <c r="A10" t="s">
        <v>143</v>
      </c>
      <c r="B10" s="3">
        <v>43</v>
      </c>
      <c r="C10" s="3">
        <v>40</v>
      </c>
      <c r="D10" s="4">
        <f>90-(B10+C10)</f>
        <v>7</v>
      </c>
      <c r="E10" s="13">
        <v>4260.8837209302301</v>
      </c>
      <c r="F10" s="13">
        <v>1148.8125</v>
      </c>
      <c r="G10" s="5">
        <v>878.77260072006197</v>
      </c>
      <c r="H10" s="5">
        <v>837.776274274451</v>
      </c>
      <c r="I10" s="15">
        <v>16.48697967</v>
      </c>
      <c r="J10" s="15">
        <v>16.51580371</v>
      </c>
      <c r="K10" s="3">
        <v>81</v>
      </c>
      <c r="L10" s="15">
        <v>80.947610109999999</v>
      </c>
      <c r="M10" s="15">
        <f t="shared" si="0"/>
        <v>3.6713660934387868</v>
      </c>
      <c r="N10" s="15">
        <v>3.62492916700316</v>
      </c>
    </row>
    <row r="11" spans="1:16" ht="12.75" customHeight="1" x14ac:dyDescent="0.2">
      <c r="A11" t="s">
        <v>144</v>
      </c>
      <c r="B11" s="3">
        <v>70</v>
      </c>
      <c r="C11" s="3">
        <v>91</v>
      </c>
      <c r="D11" s="4">
        <f>174-(B11+C11)</f>
        <v>13</v>
      </c>
      <c r="E11" s="13">
        <v>4066.0928571428599</v>
      </c>
      <c r="F11" s="13">
        <v>1443.9835164835199</v>
      </c>
      <c r="G11" s="5">
        <v>1144.1805886805901</v>
      </c>
      <c r="H11" s="5">
        <v>908.68360662416296</v>
      </c>
      <c r="I11" s="15">
        <v>16.20809946</v>
      </c>
      <c r="J11" s="15">
        <v>15.73320968</v>
      </c>
      <c r="K11" s="3">
        <v>159</v>
      </c>
      <c r="L11" s="15">
        <v>128.92814060000001</v>
      </c>
      <c r="M11" s="15">
        <f t="shared" si="0"/>
        <v>2.7712357098431721</v>
      </c>
      <c r="N11" s="15">
        <v>2.53794141116233</v>
      </c>
    </row>
    <row r="12" spans="1:16" ht="12.75" customHeight="1" x14ac:dyDescent="0.2">
      <c r="A12" t="s">
        <v>145</v>
      </c>
      <c r="B12" s="3">
        <v>39</v>
      </c>
      <c r="C12" s="3">
        <v>36</v>
      </c>
      <c r="D12" s="4">
        <f>113-(B12+C12)</f>
        <v>38</v>
      </c>
      <c r="E12" s="13">
        <v>3551.7051282051302</v>
      </c>
      <c r="F12" s="13">
        <v>1869.0138888888901</v>
      </c>
      <c r="G12" s="5">
        <v>937.27769798011502</v>
      </c>
      <c r="H12" s="5">
        <v>964.99800507648104</v>
      </c>
      <c r="I12" s="15">
        <v>7.6582222419999999</v>
      </c>
      <c r="J12" s="15">
        <v>7.649179299</v>
      </c>
      <c r="K12" s="3">
        <v>73</v>
      </c>
      <c r="L12" s="15">
        <v>72.123387980000004</v>
      </c>
      <c r="M12" s="15">
        <f t="shared" si="0"/>
        <v>1.801385974339984</v>
      </c>
      <c r="N12" s="15">
        <v>1.7689471684879701</v>
      </c>
    </row>
    <row r="13" spans="1:16" ht="12.75" customHeight="1" x14ac:dyDescent="0.2">
      <c r="A13" t="s">
        <v>146</v>
      </c>
      <c r="B13" s="3">
        <v>37</v>
      </c>
      <c r="C13" s="3">
        <v>48</v>
      </c>
      <c r="D13" s="4">
        <f>112-(B13+C13)</f>
        <v>27</v>
      </c>
      <c r="E13" s="13">
        <v>3979.6621621621598</v>
      </c>
      <c r="F13" s="13">
        <v>989.36458333333303</v>
      </c>
      <c r="G13" s="5">
        <v>1192.07082921354</v>
      </c>
      <c r="H13" s="5">
        <v>842.017010615451</v>
      </c>
      <c r="I13" s="15">
        <v>13.548428960000001</v>
      </c>
      <c r="J13" s="15">
        <v>12.96739082</v>
      </c>
      <c r="K13" s="3">
        <v>83</v>
      </c>
      <c r="L13" s="15">
        <v>61.992006310000001</v>
      </c>
      <c r="M13" s="15">
        <f t="shared" si="0"/>
        <v>3.2939329130292174</v>
      </c>
      <c r="N13" s="15">
        <v>2.8975904716941199</v>
      </c>
    </row>
    <row r="14" spans="1:16" ht="12.75" customHeight="1" x14ac:dyDescent="0.2">
      <c r="A14" t="s">
        <v>147</v>
      </c>
      <c r="B14" s="3">
        <v>133</v>
      </c>
      <c r="C14" s="3">
        <v>127</v>
      </c>
      <c r="D14" s="4">
        <f>277-(B14+C14)</f>
        <v>17</v>
      </c>
      <c r="E14" s="13">
        <v>3954.7819548872199</v>
      </c>
      <c r="F14" s="13">
        <v>1219.7440944881901</v>
      </c>
      <c r="G14" s="5">
        <v>1126.1502593533401</v>
      </c>
      <c r="H14" s="5">
        <v>850.73872629685604</v>
      </c>
      <c r="I14" s="15">
        <v>22.019221120000001</v>
      </c>
      <c r="J14" s="15">
        <v>22.159087150000001</v>
      </c>
      <c r="K14" s="3">
        <v>258</v>
      </c>
      <c r="L14" s="15">
        <v>245.18235060000001</v>
      </c>
      <c r="M14" s="15">
        <f t="shared" si="0"/>
        <v>2.830331201294745</v>
      </c>
      <c r="N14" s="15">
        <v>2.7405444965330101</v>
      </c>
    </row>
    <row r="15" spans="1:16" ht="12.75" customHeight="1" x14ac:dyDescent="0.2">
      <c r="A15" t="s">
        <v>148</v>
      </c>
      <c r="B15" s="3">
        <v>67</v>
      </c>
      <c r="C15" s="3">
        <v>69</v>
      </c>
      <c r="D15" s="4">
        <f>146-(B15+C15)</f>
        <v>10</v>
      </c>
      <c r="E15" s="13">
        <v>4163.7164179104502</v>
      </c>
      <c r="F15" s="13">
        <v>1352.31884057971</v>
      </c>
      <c r="G15" s="5">
        <v>1217.1338887777399</v>
      </c>
      <c r="H15" s="5">
        <v>993.43718151194696</v>
      </c>
      <c r="I15" s="15">
        <v>14.776725470000001</v>
      </c>
      <c r="J15" s="15">
        <v>14.732930400000001</v>
      </c>
      <c r="K15" s="3">
        <v>134</v>
      </c>
      <c r="L15" s="15">
        <v>127.30299309999999</v>
      </c>
      <c r="M15" s="15">
        <f t="shared" si="0"/>
        <v>2.6115589018965135</v>
      </c>
      <c r="N15" s="15">
        <v>2.5306695975814901</v>
      </c>
    </row>
    <row r="16" spans="1:16" ht="12.75" customHeight="1" x14ac:dyDescent="0.2">
      <c r="A16" t="s">
        <v>149</v>
      </c>
      <c r="B16" s="3">
        <v>48</v>
      </c>
      <c r="C16" s="3">
        <v>40</v>
      </c>
      <c r="D16" s="4">
        <f>98-(B16+C16)</f>
        <v>10</v>
      </c>
      <c r="E16" s="13">
        <v>4202.1979166666697</v>
      </c>
      <c r="F16" s="13">
        <v>1707.35</v>
      </c>
      <c r="G16" s="5">
        <v>1015.04159195563</v>
      </c>
      <c r="H16" s="5">
        <v>1217.91280686599</v>
      </c>
      <c r="I16" s="15">
        <v>10.483099019999999</v>
      </c>
      <c r="J16" s="15">
        <v>10.310735340000001</v>
      </c>
      <c r="K16" s="3">
        <v>86</v>
      </c>
      <c r="L16" s="15">
        <v>76.067678860000001</v>
      </c>
      <c r="M16" s="15">
        <f t="shared" si="0"/>
        <v>2.3643923899512997</v>
      </c>
      <c r="N16" s="15">
        <v>2.2254055823309802</v>
      </c>
    </row>
    <row r="17" spans="1:14" ht="12.75" customHeight="1" x14ac:dyDescent="0.2">
      <c r="A17" t="s">
        <v>150</v>
      </c>
      <c r="B17" s="3">
        <v>18</v>
      </c>
      <c r="C17" s="3">
        <v>31</v>
      </c>
      <c r="D17" s="4">
        <f>85-(B17+C17)</f>
        <v>36</v>
      </c>
      <c r="E17" s="13">
        <v>4182.4722222222199</v>
      </c>
      <c r="F17" s="13">
        <v>928.822580645161</v>
      </c>
      <c r="G17" s="5">
        <v>997.37939669300999</v>
      </c>
      <c r="H17" s="5">
        <v>489.17455215200903</v>
      </c>
      <c r="I17" s="15">
        <v>15.33636587</v>
      </c>
      <c r="J17" s="15">
        <v>12.96451255</v>
      </c>
      <c r="K17" s="3">
        <v>47</v>
      </c>
      <c r="L17" s="15">
        <v>21.83915872</v>
      </c>
      <c r="M17" s="15">
        <f t="shared" si="0"/>
        <v>5.5484060397978272</v>
      </c>
      <c r="N17" s="15">
        <v>4.1420763748212996</v>
      </c>
    </row>
    <row r="18" spans="1:14" ht="12.75" customHeight="1" x14ac:dyDescent="0.2">
      <c r="A18" t="s">
        <v>151</v>
      </c>
      <c r="B18" s="3">
        <v>452</v>
      </c>
      <c r="C18" s="3">
        <v>489</v>
      </c>
      <c r="D18" s="4">
        <f>1000-(B18+C18)</f>
        <v>59</v>
      </c>
      <c r="E18" s="13">
        <v>4061.0453539823002</v>
      </c>
      <c r="F18" s="13">
        <v>1619.3517382413099</v>
      </c>
      <c r="G18" s="5">
        <v>1039.1138262708901</v>
      </c>
      <c r="H18" s="5">
        <v>1053.62382808508</v>
      </c>
      <c r="I18" s="15">
        <v>35.752478809999999</v>
      </c>
      <c r="J18" s="15">
        <v>35.771997939999999</v>
      </c>
      <c r="K18" s="3">
        <v>939</v>
      </c>
      <c r="L18" s="15">
        <v>935.05891750000001</v>
      </c>
      <c r="M18" s="15">
        <f t="shared" si="0"/>
        <v>2.3396651412993896</v>
      </c>
      <c r="N18" s="15">
        <v>2.3334362264165698</v>
      </c>
    </row>
    <row r="19" spans="1:14" ht="12.75" customHeight="1" x14ac:dyDescent="0.2">
      <c r="A19" t="s">
        <v>152</v>
      </c>
      <c r="B19" s="3">
        <v>47</v>
      </c>
      <c r="C19" s="3">
        <v>46</v>
      </c>
      <c r="D19" s="4">
        <f>107-(B19+C19)</f>
        <v>14</v>
      </c>
      <c r="E19" s="13">
        <v>4195.6595744680899</v>
      </c>
      <c r="F19" s="13">
        <v>1244.21739130435</v>
      </c>
      <c r="G19" s="5">
        <v>1161.33602366068</v>
      </c>
      <c r="H19" s="5">
        <v>1150.9788619169799</v>
      </c>
      <c r="I19" s="15">
        <v>12.307729419999999</v>
      </c>
      <c r="J19" s="15">
        <v>12.30892802</v>
      </c>
      <c r="K19" s="3">
        <v>91</v>
      </c>
      <c r="L19" s="15">
        <v>90.985128930000002</v>
      </c>
      <c r="M19" s="15">
        <f t="shared" si="0"/>
        <v>2.5808634087716831</v>
      </c>
      <c r="N19" s="15">
        <v>2.5527773878823599</v>
      </c>
    </row>
    <row r="20" spans="1:14" ht="12.75" customHeight="1" x14ac:dyDescent="0.2">
      <c r="A20" t="s">
        <v>153</v>
      </c>
      <c r="B20" s="3">
        <v>62</v>
      </c>
      <c r="C20" s="3">
        <v>45</v>
      </c>
      <c r="D20" s="4">
        <f>123-(B20+C20)</f>
        <v>16</v>
      </c>
      <c r="E20" s="13">
        <v>3980.52419354839</v>
      </c>
      <c r="F20" s="13">
        <v>1682.18888888889</v>
      </c>
      <c r="G20" s="5">
        <v>1083.6652643426301</v>
      </c>
      <c r="H20" s="5">
        <v>1089.1043301351799</v>
      </c>
      <c r="I20" s="15">
        <v>10.807236319999999</v>
      </c>
      <c r="J20" s="15">
        <v>10.79856144</v>
      </c>
      <c r="K20" s="3">
        <v>105</v>
      </c>
      <c r="L20" s="15">
        <v>94.687662099999997</v>
      </c>
      <c r="M20" s="15">
        <f t="shared" si="0"/>
        <v>2.2194696079321745</v>
      </c>
      <c r="N20" s="15">
        <v>2.11557461899142</v>
      </c>
    </row>
    <row r="21" spans="1:14" ht="12.75" customHeight="1" x14ac:dyDescent="0.2">
      <c r="A21" t="s">
        <v>154</v>
      </c>
      <c r="B21" s="3">
        <v>610</v>
      </c>
      <c r="C21" s="3">
        <v>594</v>
      </c>
      <c r="D21" s="4">
        <f>1329-(B21+C21)</f>
        <v>125</v>
      </c>
      <c r="E21" s="13">
        <v>3992.4655737704902</v>
      </c>
      <c r="F21" s="13">
        <v>1798.72811447811</v>
      </c>
      <c r="G21" s="5">
        <v>1112.72700957048</v>
      </c>
      <c r="H21" s="5">
        <v>1117.8669369695999</v>
      </c>
      <c r="I21" s="15">
        <v>34.123313209999999</v>
      </c>
      <c r="J21" s="15">
        <v>34.12122171</v>
      </c>
      <c r="K21" s="3">
        <v>1202</v>
      </c>
      <c r="L21" s="15">
        <v>1200.8302839999999</v>
      </c>
      <c r="M21" s="15">
        <f t="shared" si="0"/>
        <v>1.9693084861869481</v>
      </c>
      <c r="N21" s="15">
        <v>1.9669484341916199</v>
      </c>
    </row>
    <row r="22" spans="1:14" ht="12.75" customHeight="1" x14ac:dyDescent="0.2">
      <c r="A22" t="s">
        <v>155</v>
      </c>
      <c r="B22" s="3">
        <v>43</v>
      </c>
      <c r="C22" s="3">
        <v>44</v>
      </c>
      <c r="D22" s="4">
        <f>95-(B22+C22)</f>
        <v>8</v>
      </c>
      <c r="E22" s="13">
        <v>4533.5697674418598</v>
      </c>
      <c r="F22" s="13">
        <v>1268.07954545455</v>
      </c>
      <c r="G22" s="5">
        <v>942.06478256031903</v>
      </c>
      <c r="H22" s="5">
        <v>870.67407021722295</v>
      </c>
      <c r="I22" s="15">
        <v>16.79610366</v>
      </c>
      <c r="J22" s="15">
        <v>16.780749060000002</v>
      </c>
      <c r="K22" s="3">
        <v>85</v>
      </c>
      <c r="L22" s="15">
        <v>84.127681530000004</v>
      </c>
      <c r="M22" s="15">
        <f t="shared" si="0"/>
        <v>3.6590797784625941</v>
      </c>
      <c r="N22" s="15">
        <v>3.6000340199553902</v>
      </c>
    </row>
    <row r="23" spans="1:14" ht="12.75" customHeight="1" x14ac:dyDescent="0.2">
      <c r="A23" t="s">
        <v>156</v>
      </c>
      <c r="B23" s="3">
        <v>46</v>
      </c>
      <c r="C23" s="3">
        <v>47</v>
      </c>
      <c r="D23" s="4">
        <f>103-(B23+C23)</f>
        <v>10</v>
      </c>
      <c r="E23" s="13">
        <v>4118.6739130434798</v>
      </c>
      <c r="F23" s="13">
        <v>925.787234042553</v>
      </c>
      <c r="G23" s="5">
        <v>1175.54891300188</v>
      </c>
      <c r="H23" s="5">
        <v>747.70603343973596</v>
      </c>
      <c r="I23" s="15">
        <v>15.663483940000001</v>
      </c>
      <c r="J23" s="15">
        <v>15.59146007</v>
      </c>
      <c r="K23" s="3">
        <v>91</v>
      </c>
      <c r="L23" s="15">
        <v>76.029871369999995</v>
      </c>
      <c r="M23" s="15">
        <f t="shared" si="0"/>
        <v>3.5762235159081261</v>
      </c>
      <c r="N23" s="15">
        <v>3.2410670965800201</v>
      </c>
    </row>
    <row r="24" spans="1:14" ht="12.75" customHeight="1" x14ac:dyDescent="0.2">
      <c r="A24" t="s">
        <v>157</v>
      </c>
      <c r="B24" s="3">
        <v>38</v>
      </c>
      <c r="C24" s="3">
        <v>39</v>
      </c>
      <c r="D24" s="4">
        <f>86-(B24+C24)</f>
        <v>9</v>
      </c>
      <c r="E24" s="13">
        <v>4044.8157894736801</v>
      </c>
      <c r="F24" s="13">
        <v>1233.0512820512799</v>
      </c>
      <c r="G24" s="5">
        <v>1189.27412804443</v>
      </c>
      <c r="H24" s="5">
        <v>877.72064848368996</v>
      </c>
      <c r="I24" s="15">
        <v>11.825656629999999</v>
      </c>
      <c r="J24" s="15">
        <v>11.779870280000001</v>
      </c>
      <c r="K24" s="3">
        <v>75</v>
      </c>
      <c r="L24" s="15">
        <v>68.035982910000001</v>
      </c>
      <c r="M24" s="15">
        <f t="shared" si="0"/>
        <v>2.8562825852775422</v>
      </c>
      <c r="N24" s="15">
        <v>2.6902425016619702</v>
      </c>
    </row>
    <row r="25" spans="1:14" ht="12.75" customHeight="1" x14ac:dyDescent="0.2">
      <c r="A25" t="s">
        <v>158</v>
      </c>
      <c r="B25" s="3">
        <v>77</v>
      </c>
      <c r="C25" s="3">
        <v>72</v>
      </c>
      <c r="D25" s="4">
        <f>162-(B25+C25)</f>
        <v>13</v>
      </c>
      <c r="E25" s="13">
        <v>4323.7337662337704</v>
      </c>
      <c r="F25" s="13">
        <v>1540.74305555556</v>
      </c>
      <c r="G25" s="5">
        <v>879.90709955360603</v>
      </c>
      <c r="H25" s="5">
        <v>1060.4306924416201</v>
      </c>
      <c r="I25" s="15">
        <v>17.477455389999999</v>
      </c>
      <c r="J25" s="15">
        <v>17.368857590000001</v>
      </c>
      <c r="K25" s="3">
        <v>147</v>
      </c>
      <c r="L25" s="15">
        <v>138.29740190000001</v>
      </c>
      <c r="M25" s="15">
        <f t="shared" si="0"/>
        <v>2.9538894608413728</v>
      </c>
      <c r="N25" s="15">
        <v>2.85622810898187</v>
      </c>
    </row>
    <row r="26" spans="1:14" ht="12.75" customHeight="1" x14ac:dyDescent="0.2">
      <c r="A26" t="s">
        <v>159</v>
      </c>
      <c r="B26" s="3">
        <v>18</v>
      </c>
      <c r="C26" s="3">
        <v>36</v>
      </c>
      <c r="D26" s="4">
        <f>79-(B26+C26)</f>
        <v>25</v>
      </c>
      <c r="E26" s="13">
        <v>3943.3888888888901</v>
      </c>
      <c r="F26" s="13">
        <v>1817.5</v>
      </c>
      <c r="G26" s="5">
        <v>1079.86463688137</v>
      </c>
      <c r="H26" s="5">
        <v>1097.8641211786801</v>
      </c>
      <c r="I26" s="15">
        <v>6.7437839500000001</v>
      </c>
      <c r="J26" s="15">
        <v>6.7817582669999998</v>
      </c>
      <c r="K26" s="3">
        <v>52</v>
      </c>
      <c r="L26" s="15">
        <v>34.62065655</v>
      </c>
      <c r="M26" s="15">
        <f t="shared" si="0"/>
        <v>2.3051789829129161</v>
      </c>
      <c r="N26" s="15">
        <v>1.9523242004130601</v>
      </c>
    </row>
    <row r="27" spans="1:14" ht="12.75" customHeight="1" x14ac:dyDescent="0.2">
      <c r="A27" t="s">
        <v>160</v>
      </c>
      <c r="B27" s="3">
        <v>65</v>
      </c>
      <c r="C27" s="3">
        <v>73</v>
      </c>
      <c r="D27" s="4">
        <f>169-(B27+C27)</f>
        <v>31</v>
      </c>
      <c r="E27" s="13">
        <v>3197.3846153846198</v>
      </c>
      <c r="F27" s="13">
        <v>2740.7671232876701</v>
      </c>
      <c r="G27" s="5">
        <v>576.83146347925197</v>
      </c>
      <c r="H27" s="5">
        <v>779.46008772005405</v>
      </c>
      <c r="I27" s="15">
        <v>3.871800817</v>
      </c>
      <c r="J27" s="15">
        <v>3.9384501680000001</v>
      </c>
      <c r="K27" s="3">
        <v>136</v>
      </c>
      <c r="L27" s="15">
        <v>131.7397096</v>
      </c>
      <c r="M27" s="15">
        <f t="shared" si="0"/>
        <v>0.68627313719399474</v>
      </c>
      <c r="N27" s="15">
        <v>0.66594144027776903</v>
      </c>
    </row>
    <row r="28" spans="1:14" ht="12.75" customHeight="1" x14ac:dyDescent="0.2">
      <c r="A28" t="s">
        <v>161</v>
      </c>
      <c r="B28" s="3">
        <v>100</v>
      </c>
      <c r="C28" s="3">
        <v>76</v>
      </c>
      <c r="D28" s="4">
        <f>187-(B28+C28)</f>
        <v>11</v>
      </c>
      <c r="E28" s="13">
        <v>4419.3149999999996</v>
      </c>
      <c r="F28" s="13">
        <v>1783.90789473684</v>
      </c>
      <c r="G28" s="5">
        <v>1036.69290051333</v>
      </c>
      <c r="H28" s="5">
        <v>1147.3834020951799</v>
      </c>
      <c r="I28" s="15">
        <v>15.949709329999999</v>
      </c>
      <c r="J28" s="15">
        <v>15.730048310000001</v>
      </c>
      <c r="K28" s="3">
        <v>174</v>
      </c>
      <c r="L28" s="15">
        <v>152.4718125</v>
      </c>
      <c r="M28" s="15">
        <f t="shared" si="0"/>
        <v>2.5477996323132275</v>
      </c>
      <c r="N28" s="15">
        <v>2.4101988044731</v>
      </c>
    </row>
    <row r="29" spans="1:14" ht="12.75" customHeight="1" x14ac:dyDescent="0.2">
      <c r="A29" t="s">
        <v>162</v>
      </c>
      <c r="B29" s="3">
        <v>36</v>
      </c>
      <c r="C29" s="3">
        <v>43</v>
      </c>
      <c r="D29" s="4">
        <f>87-(B29+C29)</f>
        <v>8</v>
      </c>
      <c r="E29" s="13">
        <v>4589.5416666666697</v>
      </c>
      <c r="F29" s="13">
        <v>1258.0232558139501</v>
      </c>
      <c r="G29" s="5">
        <v>935.90575208496</v>
      </c>
      <c r="H29" s="5">
        <v>1136.7179517484701</v>
      </c>
      <c r="I29" s="15">
        <v>14.042284739999999</v>
      </c>
      <c r="J29" s="15">
        <v>14.28631747</v>
      </c>
      <c r="K29" s="3">
        <v>77</v>
      </c>
      <c r="L29" s="15">
        <v>76.984246479999996</v>
      </c>
      <c r="M29" s="15">
        <f t="shared" si="0"/>
        <v>3.2564870900235219</v>
      </c>
      <c r="N29" s="15">
        <v>3.1998000522175301</v>
      </c>
    </row>
    <row r="30" spans="1:14" ht="12.75" customHeight="1" x14ac:dyDescent="0.2">
      <c r="A30" t="s">
        <v>163</v>
      </c>
      <c r="B30" s="3">
        <v>101</v>
      </c>
      <c r="C30" s="3">
        <v>102</v>
      </c>
      <c r="D30" s="4">
        <f>225-(B30+C30)</f>
        <v>22</v>
      </c>
      <c r="E30" s="13">
        <v>4131.5297029702997</v>
      </c>
      <c r="F30" s="13">
        <v>2003.3137254902001</v>
      </c>
      <c r="G30" s="5">
        <v>987.544626388555</v>
      </c>
      <c r="H30" s="5">
        <v>1395.4410547334101</v>
      </c>
      <c r="I30" s="15">
        <v>12.531618460000001</v>
      </c>
      <c r="J30" s="15">
        <v>12.552269300000001</v>
      </c>
      <c r="K30" s="3">
        <v>201</v>
      </c>
      <c r="L30" s="15">
        <v>181.98580860000001</v>
      </c>
      <c r="M30" s="15">
        <f t="shared" si="0"/>
        <v>1.8609447629769327</v>
      </c>
      <c r="N30" s="15">
        <v>1.7605705294637899</v>
      </c>
    </row>
    <row r="31" spans="1:14" ht="12.75" customHeight="1" x14ac:dyDescent="0.2">
      <c r="A31" t="s">
        <v>164</v>
      </c>
      <c r="B31" s="3">
        <v>17</v>
      </c>
      <c r="C31" s="3">
        <v>48</v>
      </c>
      <c r="D31" s="4">
        <f>80-(B31+C31)</f>
        <v>15</v>
      </c>
      <c r="E31" s="13">
        <v>3374.8235294117599</v>
      </c>
      <c r="F31" s="13">
        <v>1680.5729166666699</v>
      </c>
      <c r="G31" s="5">
        <v>1355.68431683477</v>
      </c>
      <c r="H31" s="5">
        <v>807.25531823912695</v>
      </c>
      <c r="I31" s="15">
        <v>6.1494621340000002</v>
      </c>
      <c r="J31" s="15">
        <v>4.8568625000000001</v>
      </c>
      <c r="K31" s="3">
        <v>63</v>
      </c>
      <c r="L31" s="15">
        <v>20.162559739999999</v>
      </c>
      <c r="M31" s="15">
        <f t="shared" si="0"/>
        <v>2.1632811730364701</v>
      </c>
      <c r="N31" s="15">
        <v>1.5185636419111399</v>
      </c>
    </row>
    <row r="32" spans="1:14" ht="12.75" customHeight="1" x14ac:dyDescent="0.2">
      <c r="A32" t="s">
        <v>165</v>
      </c>
      <c r="B32" s="3">
        <v>59</v>
      </c>
      <c r="C32" s="3">
        <v>60</v>
      </c>
      <c r="D32" s="4">
        <f>127-(B32+C32)</f>
        <v>8</v>
      </c>
      <c r="E32" s="13">
        <v>4214.6779661016999</v>
      </c>
      <c r="F32" s="13">
        <v>1469.2</v>
      </c>
      <c r="G32" s="5">
        <v>1125.7855102975</v>
      </c>
      <c r="H32" s="5">
        <v>939.32379302112497</v>
      </c>
      <c r="I32" s="15">
        <v>14.454485529999999</v>
      </c>
      <c r="J32" s="15">
        <v>14.432558569999999</v>
      </c>
      <c r="K32" s="3">
        <v>117</v>
      </c>
      <c r="L32" s="15">
        <v>112.68018379999999</v>
      </c>
      <c r="M32" s="15">
        <f t="shared" si="0"/>
        <v>2.7192525904333982</v>
      </c>
      <c r="N32" s="15">
        <v>2.6481451711291002</v>
      </c>
    </row>
    <row r="33" spans="1:14" ht="12.75" customHeight="1" x14ac:dyDescent="0.2">
      <c r="A33" t="s">
        <v>166</v>
      </c>
      <c r="B33" s="3">
        <v>46</v>
      </c>
      <c r="C33" s="3">
        <v>56</v>
      </c>
      <c r="D33" s="4">
        <f>144-(B33+C33)</f>
        <v>42</v>
      </c>
      <c r="E33" s="13">
        <v>3382.47826086957</v>
      </c>
      <c r="F33" s="13">
        <v>2525.1071428571399</v>
      </c>
      <c r="G33" s="5">
        <v>744.12298084928102</v>
      </c>
      <c r="H33" s="5">
        <v>900.70708443314197</v>
      </c>
      <c r="I33" s="15">
        <v>5.166929283</v>
      </c>
      <c r="J33" s="15">
        <v>5.2643666529999997</v>
      </c>
      <c r="K33" s="3">
        <v>100</v>
      </c>
      <c r="L33" s="15">
        <v>99.994096260000006</v>
      </c>
      <c r="M33" s="15">
        <f t="shared" si="0"/>
        <v>1.0529044114281891</v>
      </c>
      <c r="N33" s="15">
        <v>1.0378121540656999</v>
      </c>
    </row>
    <row r="34" spans="1:14" ht="12.75" customHeight="1" x14ac:dyDescent="0.2">
      <c r="A34" t="s">
        <v>167</v>
      </c>
      <c r="B34" s="3">
        <v>35</v>
      </c>
      <c r="C34" s="3">
        <v>41</v>
      </c>
      <c r="D34" s="4">
        <f>81-(B34+C34)</f>
        <v>5</v>
      </c>
      <c r="E34" s="13">
        <v>3906.7285714285699</v>
      </c>
      <c r="F34" s="13">
        <v>1539.6707317073201</v>
      </c>
      <c r="G34" s="5">
        <v>1123.72761603603</v>
      </c>
      <c r="H34" s="5">
        <v>911.57195690847698</v>
      </c>
      <c r="I34" s="15">
        <v>10.13782443</v>
      </c>
      <c r="J34" s="15">
        <v>9.9718541359999993</v>
      </c>
      <c r="K34" s="3">
        <v>74</v>
      </c>
      <c r="L34" s="15">
        <v>65.388996509999998</v>
      </c>
      <c r="M34" s="15">
        <f t="shared" si="0"/>
        <v>2.4663435781821943</v>
      </c>
      <c r="N34" s="15">
        <v>2.3134697314782202</v>
      </c>
    </row>
    <row r="35" spans="1:14" ht="12.75" customHeight="1" x14ac:dyDescent="0.2">
      <c r="A35" t="s">
        <v>168</v>
      </c>
      <c r="B35" s="3">
        <v>49</v>
      </c>
      <c r="C35" s="3">
        <v>51</v>
      </c>
      <c r="D35" s="4">
        <f>108-(B35+C35)</f>
        <v>8</v>
      </c>
      <c r="E35" s="13">
        <v>4226.7959183673502</v>
      </c>
      <c r="F35" s="13">
        <v>1028.7941176470599</v>
      </c>
      <c r="G35" s="5">
        <v>968.80863757142095</v>
      </c>
      <c r="H35" s="5">
        <v>672.08563573751997</v>
      </c>
      <c r="I35" s="15">
        <v>19.243399289999999</v>
      </c>
      <c r="J35" s="15">
        <v>19.10770857</v>
      </c>
      <c r="K35" s="3">
        <v>98</v>
      </c>
      <c r="L35" s="15">
        <v>85.170061110000006</v>
      </c>
      <c r="M35" s="15">
        <f t="shared" si="0"/>
        <v>4.14090364564737</v>
      </c>
      <c r="N35" s="15">
        <v>3.8356689336103802</v>
      </c>
    </row>
    <row r="36" spans="1:14" ht="12.75" customHeight="1" x14ac:dyDescent="0.2">
      <c r="A36" t="s">
        <v>169</v>
      </c>
      <c r="B36" s="3">
        <v>44</v>
      </c>
      <c r="C36" s="3">
        <v>47</v>
      </c>
      <c r="D36" s="4">
        <f>96-(B36+C36)</f>
        <v>5</v>
      </c>
      <c r="E36" s="13">
        <v>4377.0113636363603</v>
      </c>
      <c r="F36" s="13">
        <v>1529.0106382978699</v>
      </c>
      <c r="G36" s="5">
        <v>1107.3537936389</v>
      </c>
      <c r="H36" s="5">
        <v>974.73962793951796</v>
      </c>
      <c r="I36" s="15">
        <v>13.04295357</v>
      </c>
      <c r="J36" s="15">
        <v>12.98790138</v>
      </c>
      <c r="K36" s="3">
        <v>89</v>
      </c>
      <c r="L36" s="15">
        <v>85.804224450000007</v>
      </c>
      <c r="M36" s="15">
        <f t="shared" si="0"/>
        <v>2.8042365323908585</v>
      </c>
      <c r="N36" s="15">
        <v>2.73017664251035</v>
      </c>
    </row>
    <row r="37" spans="1:14" ht="12.75" customHeight="1" x14ac:dyDescent="0.2">
      <c r="A37" t="s">
        <v>170</v>
      </c>
      <c r="B37" s="3">
        <v>44</v>
      </c>
      <c r="C37" s="3">
        <v>54</v>
      </c>
      <c r="D37" s="4">
        <f>103-(B37+C37)</f>
        <v>5</v>
      </c>
      <c r="E37" s="13">
        <v>4330.6704545454504</v>
      </c>
      <c r="F37" s="13">
        <v>1335.3611111111099</v>
      </c>
      <c r="G37" s="5">
        <v>817.09030657985704</v>
      </c>
      <c r="H37" s="5">
        <v>1222.3528325843699</v>
      </c>
      <c r="I37" s="15">
        <v>13.911709829999999</v>
      </c>
      <c r="J37" s="15">
        <v>14.47111728</v>
      </c>
      <c r="K37" s="3">
        <v>96</v>
      </c>
      <c r="L37" s="15">
        <v>92.705113560000001</v>
      </c>
      <c r="M37" s="15">
        <f t="shared" si="0"/>
        <v>3.0059393506000154</v>
      </c>
      <c r="N37" s="15">
        <v>2.8810488943178401</v>
      </c>
    </row>
    <row r="38" spans="1:14" ht="12.75" customHeight="1" x14ac:dyDescent="0.2">
      <c r="A38" t="s">
        <v>171</v>
      </c>
      <c r="B38" s="3">
        <v>41</v>
      </c>
      <c r="C38" s="3">
        <v>45</v>
      </c>
      <c r="D38" s="4">
        <f>90-(B38+C38)</f>
        <v>4</v>
      </c>
      <c r="E38" s="13">
        <v>3998.6341463414601</v>
      </c>
      <c r="F38" s="13">
        <v>1595.5</v>
      </c>
      <c r="G38" s="5">
        <v>1115.75913633045</v>
      </c>
      <c r="H38" s="5">
        <v>762.703355893305</v>
      </c>
      <c r="I38" s="15">
        <v>11.74906309</v>
      </c>
      <c r="J38" s="15">
        <v>11.54993998</v>
      </c>
      <c r="K38" s="3">
        <v>84</v>
      </c>
      <c r="L38" s="15">
        <v>69.806694840000006</v>
      </c>
      <c r="M38" s="15">
        <f t="shared" si="0"/>
        <v>2.7647838576485588</v>
      </c>
      <c r="N38" s="15">
        <v>2.5145897533456698</v>
      </c>
    </row>
    <row r="39" spans="1:14" ht="12.75" customHeight="1" x14ac:dyDescent="0.2">
      <c r="A39" t="s">
        <v>172</v>
      </c>
      <c r="B39" s="3">
        <v>34</v>
      </c>
      <c r="C39" s="3">
        <v>49</v>
      </c>
      <c r="D39" s="4">
        <f>87-(B39+C39)</f>
        <v>4</v>
      </c>
      <c r="E39" s="13">
        <v>3993.0882352941198</v>
      </c>
      <c r="F39" s="13">
        <v>1683.7346938775499</v>
      </c>
      <c r="G39" s="5">
        <v>923.48327305640601</v>
      </c>
      <c r="H39" s="5">
        <v>1056.7478762598</v>
      </c>
      <c r="I39" s="15">
        <v>10.299105859999999</v>
      </c>
      <c r="J39" s="15">
        <v>10.554669199999999</v>
      </c>
      <c r="K39" s="3">
        <v>81</v>
      </c>
      <c r="L39" s="15">
        <v>76.686004179999998</v>
      </c>
      <c r="M39" s="15">
        <f t="shared" si="0"/>
        <v>2.4105523505199544</v>
      </c>
      <c r="N39" s="15">
        <v>2.3271442440168801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5703125" customWidth="1"/>
    <col min="5" max="5" width="12.7109375" customWidth="1"/>
    <col min="6" max="6" width="13.140625" customWidth="1"/>
    <col min="7" max="7" width="11.140625" customWidth="1"/>
    <col min="8" max="8" width="11" customWidth="1"/>
    <col min="9" max="9" width="10.28515625" customWidth="1"/>
    <col min="10" max="10" width="13.7109375" customWidth="1"/>
    <col min="11" max="11" width="12" customWidth="1"/>
    <col min="12" max="12" width="13.28515625" customWidth="1"/>
    <col min="13" max="13" width="10.85546875" customWidth="1"/>
    <col min="14" max="14" width="9.42578125" customWidth="1"/>
    <col min="15" max="15" width="15.42578125" customWidth="1"/>
    <col min="16" max="16" width="28.140625" customWidth="1"/>
  </cols>
  <sheetData>
    <row r="1" spans="1:16" ht="12.75" customHeight="1" x14ac:dyDescent="0.2">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84.75" customHeight="1" x14ac:dyDescent="0.2">
      <c r="A2" s="6" t="s">
        <v>133</v>
      </c>
      <c r="B2" s="4">
        <f>SUM(B4:B39)</f>
        <v>2933</v>
      </c>
      <c r="C2" s="4">
        <f>SUM(C4:C39)</f>
        <v>2676</v>
      </c>
      <c r="D2" s="4">
        <f>6344-(B2+C2)</f>
        <v>735</v>
      </c>
      <c r="E2" s="13">
        <v>3995.3066825800001</v>
      </c>
      <c r="F2" s="13">
        <v>1500.3776158400001</v>
      </c>
      <c r="G2" s="5">
        <v>1054.17707909</v>
      </c>
      <c r="H2" s="5">
        <v>1005.68249503</v>
      </c>
      <c r="I2" s="15">
        <v>78.756</v>
      </c>
      <c r="J2" s="15">
        <v>80.738</v>
      </c>
      <c r="K2" s="3">
        <v>5852</v>
      </c>
      <c r="L2" s="15">
        <v>4131.4290000000001</v>
      </c>
      <c r="M2" s="15">
        <f>(2*J2)/SQRT(L2)</f>
        <v>2.5122209670633291</v>
      </c>
      <c r="N2" s="15">
        <v>2.42</v>
      </c>
      <c r="O2" t="s">
        <v>179</v>
      </c>
      <c r="P2" t="s">
        <v>180</v>
      </c>
    </row>
    <row r="3" spans="1:16" ht="12.75" customHeight="1" x14ac:dyDescent="0.2">
      <c r="A3" s="6" t="s">
        <v>136</v>
      </c>
      <c r="B3" s="15">
        <f>AVERAGE(B4:B39)</f>
        <v>81.472222222222229</v>
      </c>
      <c r="C3" s="15">
        <f>AVERAGE(C4:C39)</f>
        <v>74.333333333333329</v>
      </c>
      <c r="D3" s="15"/>
      <c r="E3" s="13">
        <f>AVERAGE(E4:E39)</f>
        <v>4001.9269693596548</v>
      </c>
      <c r="F3" s="13">
        <f>AVERAGE(F4:F39)</f>
        <v>1411.4012770696756</v>
      </c>
      <c r="G3" s="5">
        <f>AVERAGE(G4:G39)</f>
        <v>1054.1935856684547</v>
      </c>
      <c r="H3" s="5">
        <f>AVERAGE(H4:H39)</f>
        <v>955.37580005591997</v>
      </c>
      <c r="I3" s="15">
        <v>14.2075175087222</v>
      </c>
      <c r="J3" s="15">
        <v>14.3043505201389</v>
      </c>
      <c r="K3" s="15">
        <f>AVERAGE(K4:K39)</f>
        <v>153.80555555555554</v>
      </c>
      <c r="L3" s="15">
        <f>AVERAGE(L4:L39)</f>
        <v>146.4653530825</v>
      </c>
      <c r="M3" s="15">
        <f>AVERAGE(M4:M39)</f>
        <v>2.7173875170216779</v>
      </c>
      <c r="N3" s="15">
        <f>AVERAGE(N4:N39)</f>
        <v>2.5987556550475235</v>
      </c>
    </row>
    <row r="4" spans="1:16" ht="12.75" customHeight="1" x14ac:dyDescent="0.2">
      <c r="A4" t="s">
        <v>137</v>
      </c>
      <c r="B4" s="3">
        <v>48</v>
      </c>
      <c r="C4" s="3">
        <v>27</v>
      </c>
      <c r="D4" s="4">
        <f>84-(B4+C4)</f>
        <v>9</v>
      </c>
      <c r="E4" s="13">
        <v>3469.0625</v>
      </c>
      <c r="F4" s="13">
        <v>1103.2777777777801</v>
      </c>
      <c r="G4" s="5">
        <v>1350.1299607461001</v>
      </c>
      <c r="H4" s="5">
        <v>791.54077271596998</v>
      </c>
      <c r="I4" s="15">
        <v>8.3211853819999995</v>
      </c>
      <c r="J4" s="15">
        <v>9.5645928189999996</v>
      </c>
      <c r="K4" s="3">
        <v>73</v>
      </c>
      <c r="L4" s="15">
        <v>72.830224759999993</v>
      </c>
      <c r="M4" s="15">
        <f t="shared" ref="M4:M39" si="0">(2*J4)/SQRT(L4)</f>
        <v>2.2415098758118108</v>
      </c>
      <c r="N4" s="15">
        <v>2.1377723415592</v>
      </c>
    </row>
    <row r="5" spans="1:16" ht="12.75" customHeight="1" x14ac:dyDescent="0.2">
      <c r="A5" t="s">
        <v>138</v>
      </c>
      <c r="B5" s="3">
        <v>38</v>
      </c>
      <c r="C5" s="3">
        <v>40</v>
      </c>
      <c r="D5" s="4">
        <f>120-(B5+C5)</f>
        <v>42</v>
      </c>
      <c r="E5" s="13">
        <v>3680.5789473684199</v>
      </c>
      <c r="F5" s="13">
        <v>1065.3625</v>
      </c>
      <c r="G5" s="5">
        <v>1472.3891713732601</v>
      </c>
      <c r="H5" s="5">
        <v>1129.13990404939</v>
      </c>
      <c r="I5" s="15">
        <v>8.8292328219999998</v>
      </c>
      <c r="J5" s="15">
        <v>8.7699357599999992</v>
      </c>
      <c r="K5" s="3">
        <v>76</v>
      </c>
      <c r="L5" s="15">
        <v>69.354434459999993</v>
      </c>
      <c r="M5" s="15">
        <f t="shared" si="0"/>
        <v>2.1061499615573784</v>
      </c>
      <c r="N5" s="15">
        <v>1.99324767072275</v>
      </c>
    </row>
    <row r="6" spans="1:16" ht="12.75" customHeight="1" x14ac:dyDescent="0.2">
      <c r="A6" t="s">
        <v>139</v>
      </c>
      <c r="B6" s="3">
        <v>41</v>
      </c>
      <c r="C6" s="3">
        <v>32</v>
      </c>
      <c r="D6" s="4">
        <f>84-(B6+C6)</f>
        <v>11</v>
      </c>
      <c r="E6" s="13">
        <v>3989.8414634146302</v>
      </c>
      <c r="F6" s="13">
        <v>1770.578125</v>
      </c>
      <c r="G6" s="5">
        <v>1059.46188250819</v>
      </c>
      <c r="H6" s="5">
        <v>999.076574524752</v>
      </c>
      <c r="I6" s="15">
        <v>9.1031361109999995</v>
      </c>
      <c r="J6" s="15">
        <v>9.1700890099999999</v>
      </c>
      <c r="K6" s="3">
        <v>71</v>
      </c>
      <c r="L6" s="15">
        <v>68.438517210000001</v>
      </c>
      <c r="M6" s="15">
        <f t="shared" si="0"/>
        <v>2.2169364864708654</v>
      </c>
      <c r="N6" s="15">
        <v>2.1552272898717502</v>
      </c>
    </row>
    <row r="7" spans="1:16" ht="12.75" customHeight="1" x14ac:dyDescent="0.2">
      <c r="A7" t="s">
        <v>140</v>
      </c>
      <c r="B7" s="3">
        <v>49</v>
      </c>
      <c r="C7" s="3">
        <v>35</v>
      </c>
      <c r="D7" s="4">
        <f>95-(B7+C7)</f>
        <v>11</v>
      </c>
      <c r="E7" s="13">
        <v>3952.3265306122398</v>
      </c>
      <c r="F7" s="13">
        <v>1298.6571428571399</v>
      </c>
      <c r="G7" s="5">
        <v>1038.16953070768</v>
      </c>
      <c r="H7" s="5">
        <v>880.90638291601897</v>
      </c>
      <c r="I7" s="15">
        <v>12.284865330000001</v>
      </c>
      <c r="J7" s="15">
        <v>12.626910909999999</v>
      </c>
      <c r="K7" s="3">
        <v>82</v>
      </c>
      <c r="L7" s="15">
        <v>79.500645669999997</v>
      </c>
      <c r="M7" s="15">
        <f t="shared" si="0"/>
        <v>2.8323165107142025</v>
      </c>
      <c r="N7" s="15">
        <v>2.7563306031292898</v>
      </c>
    </row>
    <row r="8" spans="1:16" ht="12.75" customHeight="1" x14ac:dyDescent="0.2">
      <c r="A8" t="s">
        <v>141</v>
      </c>
      <c r="B8" s="3">
        <v>43</v>
      </c>
      <c r="C8" s="3">
        <v>41</v>
      </c>
      <c r="D8" s="4">
        <f>96-(B8+C8)</f>
        <v>12</v>
      </c>
      <c r="E8" s="13">
        <v>4133.7441860465096</v>
      </c>
      <c r="F8" s="13">
        <v>1584.64634146341</v>
      </c>
      <c r="G8" s="5">
        <v>1125.3363696716899</v>
      </c>
      <c r="H8" s="5">
        <v>1336.0688429301799</v>
      </c>
      <c r="I8" s="15">
        <v>9.4740613190000005</v>
      </c>
      <c r="J8" s="15">
        <v>9.4353273210000008</v>
      </c>
      <c r="K8" s="3">
        <v>82</v>
      </c>
      <c r="L8" s="15">
        <v>78.297186300000007</v>
      </c>
      <c r="M8" s="15">
        <f t="shared" si="0"/>
        <v>2.1326220184495046</v>
      </c>
      <c r="N8" s="15">
        <v>2.0637045791520698</v>
      </c>
    </row>
    <row r="9" spans="1:16" ht="12.75" customHeight="1" x14ac:dyDescent="0.2">
      <c r="A9" t="s">
        <v>142</v>
      </c>
      <c r="B9" s="3">
        <v>40</v>
      </c>
      <c r="C9" s="3">
        <v>45</v>
      </c>
      <c r="D9" s="4">
        <f>102-(B9+C9)</f>
        <v>17</v>
      </c>
      <c r="E9" s="13">
        <v>3935.9124999999999</v>
      </c>
      <c r="F9" s="13">
        <v>886.47777777777799</v>
      </c>
      <c r="G9" s="5">
        <v>1275.5158025913499</v>
      </c>
      <c r="H9" s="5">
        <v>939.38753593858598</v>
      </c>
      <c r="I9" s="15">
        <v>12.64134078</v>
      </c>
      <c r="J9" s="15">
        <v>12.41995852</v>
      </c>
      <c r="K9" s="3">
        <v>83</v>
      </c>
      <c r="L9" s="15">
        <v>71.035885519999994</v>
      </c>
      <c r="M9" s="15">
        <f t="shared" si="0"/>
        <v>2.9472110832593392</v>
      </c>
      <c r="N9" s="15">
        <v>2.7223897454033401</v>
      </c>
    </row>
    <row r="10" spans="1:16" ht="12.75" customHeight="1" x14ac:dyDescent="0.2">
      <c r="A10" t="s">
        <v>143</v>
      </c>
      <c r="B10" s="3">
        <v>44</v>
      </c>
      <c r="C10" s="3">
        <v>43</v>
      </c>
      <c r="D10" s="4">
        <f>90-(B10+C10)</f>
        <v>3</v>
      </c>
      <c r="E10" s="13">
        <v>4202.7840909090901</v>
      </c>
      <c r="F10" s="13">
        <v>1521.0348837209301</v>
      </c>
      <c r="G10" s="5">
        <v>851.220255415358</v>
      </c>
      <c r="H10" s="5">
        <v>833.673878479417</v>
      </c>
      <c r="I10" s="15">
        <v>14.8422497</v>
      </c>
      <c r="J10" s="15">
        <v>14.84584478</v>
      </c>
      <c r="K10" s="3">
        <v>85</v>
      </c>
      <c r="L10" s="15">
        <v>84.999497559999995</v>
      </c>
      <c r="M10" s="15">
        <f t="shared" si="0"/>
        <v>3.2205254232017828</v>
      </c>
      <c r="N10" s="15">
        <v>3.1831125139316101</v>
      </c>
    </row>
    <row r="11" spans="1:16" ht="12.75" customHeight="1" x14ac:dyDescent="0.2">
      <c r="A11" t="s">
        <v>144</v>
      </c>
      <c r="B11" s="3">
        <v>81</v>
      </c>
      <c r="C11" s="3">
        <v>77</v>
      </c>
      <c r="D11" s="4">
        <f>174-(B11+C11)</f>
        <v>16</v>
      </c>
      <c r="E11" s="13">
        <v>3821.1481481481501</v>
      </c>
      <c r="F11" s="13">
        <v>1519.15584415584</v>
      </c>
      <c r="G11" s="5">
        <v>907.72449855546904</v>
      </c>
      <c r="H11" s="5">
        <v>1093.8530380330301</v>
      </c>
      <c r="I11" s="15">
        <v>14.42381643</v>
      </c>
      <c r="J11" s="15">
        <v>14.35621035</v>
      </c>
      <c r="K11" s="3">
        <v>156</v>
      </c>
      <c r="L11" s="15">
        <v>147.87210970000001</v>
      </c>
      <c r="M11" s="15">
        <f t="shared" si="0"/>
        <v>2.3611668336158944</v>
      </c>
      <c r="N11" s="15">
        <v>2.29029685671853</v>
      </c>
    </row>
    <row r="12" spans="1:16" ht="12.75" customHeight="1" x14ac:dyDescent="0.2">
      <c r="A12" t="s">
        <v>145</v>
      </c>
      <c r="B12" s="3">
        <v>42</v>
      </c>
      <c r="C12" s="3">
        <v>49</v>
      </c>
      <c r="D12" s="4">
        <f>113-(B12+C12)</f>
        <v>22</v>
      </c>
      <c r="E12" s="13">
        <v>3872.1666666666702</v>
      </c>
      <c r="F12" s="13">
        <v>1385.61224489796</v>
      </c>
      <c r="G12" s="5">
        <v>1313.78730443737</v>
      </c>
      <c r="H12" s="5">
        <v>847.30872512931899</v>
      </c>
      <c r="I12" s="15">
        <v>10.87498751</v>
      </c>
      <c r="J12" s="15">
        <v>10.531351730000001</v>
      </c>
      <c r="K12" s="3">
        <v>89</v>
      </c>
      <c r="L12" s="15">
        <v>68.057175529999995</v>
      </c>
      <c r="M12" s="15">
        <f t="shared" si="0"/>
        <v>2.5531548323392923</v>
      </c>
      <c r="N12" s="15">
        <v>2.2493917929751102</v>
      </c>
    </row>
    <row r="13" spans="1:16" ht="12.75" customHeight="1" x14ac:dyDescent="0.2">
      <c r="A13" t="s">
        <v>146</v>
      </c>
      <c r="B13" s="3">
        <v>52</v>
      </c>
      <c r="C13" s="3">
        <v>47</v>
      </c>
      <c r="D13" s="4">
        <f>112-(B13+C13)</f>
        <v>13</v>
      </c>
      <c r="E13" s="13">
        <v>4084.1634615384601</v>
      </c>
      <c r="F13" s="13">
        <v>1431.05319148936</v>
      </c>
      <c r="G13" s="5">
        <v>1073.6928200262901</v>
      </c>
      <c r="H13" s="5">
        <v>1122.3229657725401</v>
      </c>
      <c r="I13" s="15">
        <v>12.016346520000001</v>
      </c>
      <c r="J13" s="15">
        <v>11.989234039999999</v>
      </c>
      <c r="K13" s="3">
        <v>97</v>
      </c>
      <c r="L13" s="15">
        <v>94.967287249999998</v>
      </c>
      <c r="M13" s="15">
        <f t="shared" si="0"/>
        <v>2.4605625939898501</v>
      </c>
      <c r="N13" s="15">
        <v>2.41570210838624</v>
      </c>
    </row>
    <row r="14" spans="1:16" ht="12.75" customHeight="1" x14ac:dyDescent="0.2">
      <c r="A14" t="s">
        <v>147</v>
      </c>
      <c r="B14" s="3">
        <v>122</v>
      </c>
      <c r="C14" s="3">
        <v>125</v>
      </c>
      <c r="D14" s="4">
        <f>277-(B14+C14)</f>
        <v>30</v>
      </c>
      <c r="E14" s="13">
        <v>3882.97540983607</v>
      </c>
      <c r="F14" s="13">
        <v>1501.44</v>
      </c>
      <c r="G14" s="5">
        <v>1035.58741635411</v>
      </c>
      <c r="H14" s="5">
        <v>931.14962026657099</v>
      </c>
      <c r="I14" s="15">
        <v>19.015051719999999</v>
      </c>
      <c r="J14" s="15">
        <v>18.990508510000002</v>
      </c>
      <c r="K14" s="3">
        <v>245</v>
      </c>
      <c r="L14" s="15">
        <v>240.9188049</v>
      </c>
      <c r="M14" s="15">
        <f t="shared" si="0"/>
        <v>2.4469846195403631</v>
      </c>
      <c r="N14" s="15">
        <v>2.41840641488076</v>
      </c>
    </row>
    <row r="15" spans="1:16" ht="12.75" customHeight="1" x14ac:dyDescent="0.2">
      <c r="A15" t="s">
        <v>148</v>
      </c>
      <c r="B15" s="3">
        <v>79</v>
      </c>
      <c r="C15" s="3">
        <v>51</v>
      </c>
      <c r="D15" s="4">
        <f>146-(B15+C15)</f>
        <v>16</v>
      </c>
      <c r="E15" s="13">
        <v>4002.4240506329102</v>
      </c>
      <c r="F15" s="13">
        <v>1338.4607843137301</v>
      </c>
      <c r="G15" s="5">
        <v>1051.9333119906801</v>
      </c>
      <c r="H15" s="5">
        <v>966.17001010762704</v>
      </c>
      <c r="I15" s="15">
        <v>14.549795810000001</v>
      </c>
      <c r="J15" s="15">
        <v>14.820221480000001</v>
      </c>
      <c r="K15" s="3">
        <v>128</v>
      </c>
      <c r="L15" s="15">
        <v>113.2816746</v>
      </c>
      <c r="M15" s="15">
        <f t="shared" si="0"/>
        <v>2.7848695683279154</v>
      </c>
      <c r="N15" s="15">
        <v>2.63768553410197</v>
      </c>
    </row>
    <row r="16" spans="1:16" ht="12.75" customHeight="1" x14ac:dyDescent="0.2">
      <c r="A16" t="s">
        <v>149</v>
      </c>
      <c r="B16" s="3">
        <v>36</v>
      </c>
      <c r="C16" s="3">
        <v>48</v>
      </c>
      <c r="D16" s="4">
        <f>98-(B16+C16)</f>
        <v>14</v>
      </c>
      <c r="E16" s="13">
        <v>3787.5</v>
      </c>
      <c r="F16" s="13">
        <v>1387.53125</v>
      </c>
      <c r="G16" s="5">
        <v>1021.98936952816</v>
      </c>
      <c r="H16" s="5">
        <v>906.778224817215</v>
      </c>
      <c r="I16" s="15">
        <v>11.366602909999999</v>
      </c>
      <c r="J16" s="15">
        <v>11.17256167</v>
      </c>
      <c r="K16" s="3">
        <v>82</v>
      </c>
      <c r="L16" s="15">
        <v>70.285344100000003</v>
      </c>
      <c r="M16" s="15">
        <f t="shared" si="0"/>
        <v>2.6653262007152998</v>
      </c>
      <c r="N16" s="15">
        <v>2.4841754845986301</v>
      </c>
    </row>
    <row r="17" spans="1:14" ht="12.75" customHeight="1" x14ac:dyDescent="0.2">
      <c r="A17" t="s">
        <v>150</v>
      </c>
      <c r="B17" s="3">
        <v>48</v>
      </c>
      <c r="C17" s="3">
        <v>33</v>
      </c>
      <c r="D17" s="4">
        <f>85-(B17+C17)</f>
        <v>4</v>
      </c>
      <c r="E17" s="13">
        <v>3901.84375</v>
      </c>
      <c r="F17" s="13">
        <v>1380.5606060606101</v>
      </c>
      <c r="G17" s="5">
        <v>1109.41118730311</v>
      </c>
      <c r="H17" s="5">
        <v>954.15192839616498</v>
      </c>
      <c r="I17" s="15">
        <v>10.625756839999999</v>
      </c>
      <c r="J17" s="15">
        <v>10.92811084</v>
      </c>
      <c r="K17" s="3">
        <v>79</v>
      </c>
      <c r="L17" s="15">
        <v>75.009940850000007</v>
      </c>
      <c r="M17" s="15">
        <f t="shared" si="0"/>
        <v>2.5235718566293781</v>
      </c>
      <c r="N17" s="15">
        <v>2.4367338346134102</v>
      </c>
    </row>
    <row r="18" spans="1:14" ht="12.75" customHeight="1" x14ac:dyDescent="0.2">
      <c r="A18" t="s">
        <v>151</v>
      </c>
      <c r="B18" s="3">
        <v>476</v>
      </c>
      <c r="C18" s="3">
        <v>453</v>
      </c>
      <c r="D18" s="4">
        <f>1000-(B18+C18)</f>
        <v>71</v>
      </c>
      <c r="E18" s="13">
        <v>4005.39075630252</v>
      </c>
      <c r="F18" s="13">
        <v>1554.15673289183</v>
      </c>
      <c r="G18" s="5">
        <v>1018.44321426001</v>
      </c>
      <c r="H18" s="5">
        <v>1083.10827641264</v>
      </c>
      <c r="I18" s="15">
        <v>35.550479090000003</v>
      </c>
      <c r="J18" s="15">
        <v>35.496348259999998</v>
      </c>
      <c r="K18" s="3">
        <v>927</v>
      </c>
      <c r="L18" s="15">
        <v>915.72664010000005</v>
      </c>
      <c r="M18" s="15">
        <f t="shared" si="0"/>
        <v>2.346014802027776</v>
      </c>
      <c r="N18" s="15">
        <v>2.3316815605803201</v>
      </c>
    </row>
    <row r="19" spans="1:14" ht="12.75" customHeight="1" x14ac:dyDescent="0.2">
      <c r="A19" t="s">
        <v>152</v>
      </c>
      <c r="B19" s="3">
        <v>46</v>
      </c>
      <c r="C19" s="3">
        <v>47</v>
      </c>
      <c r="D19" s="4">
        <f>107-(B19+C19)</f>
        <v>14</v>
      </c>
      <c r="E19" s="13">
        <v>3950.4673913043498</v>
      </c>
      <c r="F19" s="13">
        <v>1341.8085106383</v>
      </c>
      <c r="G19" s="5">
        <v>1159.94035479882</v>
      </c>
      <c r="H19" s="5">
        <v>982.376286896436</v>
      </c>
      <c r="I19" s="15">
        <v>11.71268768</v>
      </c>
      <c r="J19" s="15">
        <v>11.69174325</v>
      </c>
      <c r="K19" s="3">
        <v>91</v>
      </c>
      <c r="L19" s="15">
        <v>87.954499979999994</v>
      </c>
      <c r="M19" s="15">
        <f t="shared" si="0"/>
        <v>2.4933327031409402</v>
      </c>
      <c r="N19" s="15">
        <v>2.4270402217075899</v>
      </c>
    </row>
    <row r="20" spans="1:14" ht="12.75" customHeight="1" x14ac:dyDescent="0.2">
      <c r="A20" t="s">
        <v>153</v>
      </c>
      <c r="B20" s="3">
        <v>56</v>
      </c>
      <c r="C20" s="3">
        <v>55</v>
      </c>
      <c r="D20" s="4">
        <f>123-(B20+C20)</f>
        <v>12</v>
      </c>
      <c r="E20" s="13">
        <v>3838.9553571428601</v>
      </c>
      <c r="F20" s="13">
        <v>1683.54545454545</v>
      </c>
      <c r="G20" s="5">
        <v>976.12807131397597</v>
      </c>
      <c r="H20" s="5">
        <v>894.26768753527995</v>
      </c>
      <c r="I20" s="15">
        <v>12.124133390000001</v>
      </c>
      <c r="J20" s="15">
        <v>12.13376729</v>
      </c>
      <c r="K20" s="3">
        <v>109</v>
      </c>
      <c r="L20" s="15">
        <v>108.4798285</v>
      </c>
      <c r="M20" s="15">
        <f t="shared" si="0"/>
        <v>2.3299744688143496</v>
      </c>
      <c r="N20" s="15">
        <v>2.3025592495313401</v>
      </c>
    </row>
    <row r="21" spans="1:14" ht="12.75" customHeight="1" x14ac:dyDescent="0.2">
      <c r="A21" t="s">
        <v>154</v>
      </c>
      <c r="B21" s="3">
        <v>647</v>
      </c>
      <c r="C21" s="3">
        <v>531</v>
      </c>
      <c r="D21" s="4">
        <f>1329-(B21+C21)</f>
        <v>151</v>
      </c>
      <c r="E21" s="13">
        <v>3957.1375579598098</v>
      </c>
      <c r="F21" s="13">
        <v>1701.0941619585701</v>
      </c>
      <c r="G21" s="5">
        <v>1054.0390681608999</v>
      </c>
      <c r="H21" s="5">
        <v>996.32056985151496</v>
      </c>
      <c r="I21" s="15">
        <v>37.462823729999997</v>
      </c>
      <c r="J21" s="15">
        <v>37.671109790000003</v>
      </c>
      <c r="K21" s="3">
        <v>1176</v>
      </c>
      <c r="L21" s="15">
        <v>1152.8258149999999</v>
      </c>
      <c r="M21" s="15">
        <f t="shared" si="0"/>
        <v>2.2189962273808423</v>
      </c>
      <c r="N21" s="15">
        <v>2.1997604598284002</v>
      </c>
    </row>
    <row r="22" spans="1:14" ht="12.75" customHeight="1" x14ac:dyDescent="0.2">
      <c r="A22" t="s">
        <v>155</v>
      </c>
      <c r="B22" s="3">
        <v>44</v>
      </c>
      <c r="C22" s="3">
        <v>40</v>
      </c>
      <c r="D22" s="4">
        <f>95-(B22+C22)</f>
        <v>11</v>
      </c>
      <c r="E22" s="13">
        <v>4153.8863636363603</v>
      </c>
      <c r="F22" s="13">
        <v>1181.3375000000001</v>
      </c>
      <c r="G22" s="5">
        <v>776.41983865447196</v>
      </c>
      <c r="H22" s="5">
        <v>915.53374083589904</v>
      </c>
      <c r="I22" s="15">
        <v>16.093900090000002</v>
      </c>
      <c r="J22" s="15">
        <v>15.96767846</v>
      </c>
      <c r="K22" s="3">
        <v>82</v>
      </c>
      <c r="L22" s="15">
        <v>76.866896260000004</v>
      </c>
      <c r="M22" s="15">
        <f t="shared" si="0"/>
        <v>3.6425213133606218</v>
      </c>
      <c r="N22" s="15">
        <v>3.50193047622902</v>
      </c>
    </row>
    <row r="23" spans="1:14" ht="12.75" customHeight="1" x14ac:dyDescent="0.2">
      <c r="A23" t="s">
        <v>156</v>
      </c>
      <c r="B23" s="3">
        <v>48</v>
      </c>
      <c r="C23" s="3">
        <v>43</v>
      </c>
      <c r="D23" s="4">
        <f>103-(B23+C23)</f>
        <v>12</v>
      </c>
      <c r="E23" s="13">
        <v>4306.1770833333303</v>
      </c>
      <c r="F23" s="13">
        <v>1305.0465116279099</v>
      </c>
      <c r="G23" s="5">
        <v>935.23155335982096</v>
      </c>
      <c r="H23" s="5">
        <v>1054.9989664515001</v>
      </c>
      <c r="I23" s="15">
        <v>14.38562087</v>
      </c>
      <c r="J23" s="15">
        <v>14.290078169999999</v>
      </c>
      <c r="K23" s="3">
        <v>89</v>
      </c>
      <c r="L23" s="15">
        <v>84.51865909</v>
      </c>
      <c r="M23" s="15">
        <f t="shared" si="0"/>
        <v>3.1087679151573173</v>
      </c>
      <c r="N23" s="15">
        <v>3.01041631457112</v>
      </c>
    </row>
    <row r="24" spans="1:14" ht="12.75" customHeight="1" x14ac:dyDescent="0.2">
      <c r="A24" t="s">
        <v>157</v>
      </c>
      <c r="B24" s="3">
        <v>47</v>
      </c>
      <c r="C24" s="3">
        <v>27</v>
      </c>
      <c r="D24" s="4">
        <f>86-(B24+C24)</f>
        <v>12</v>
      </c>
      <c r="E24" s="13">
        <v>3982.8191489361702</v>
      </c>
      <c r="F24" s="13">
        <v>1260.68518518519</v>
      </c>
      <c r="G24" s="5">
        <v>1251.7994327537999</v>
      </c>
      <c r="H24" s="5">
        <v>730.12140913670805</v>
      </c>
      <c r="I24" s="15">
        <v>10.317814869999999</v>
      </c>
      <c r="J24" s="15">
        <v>11.81482791</v>
      </c>
      <c r="K24" s="3">
        <v>72</v>
      </c>
      <c r="L24" s="15">
        <v>71.96348424</v>
      </c>
      <c r="M24" s="15">
        <f t="shared" si="0"/>
        <v>2.7854880828628201</v>
      </c>
      <c r="N24" s="15">
        <v>2.6564807089935698</v>
      </c>
    </row>
    <row r="25" spans="1:14" ht="12.75" customHeight="1" x14ac:dyDescent="0.2">
      <c r="A25" t="s">
        <v>158</v>
      </c>
      <c r="B25" s="3">
        <v>87</v>
      </c>
      <c r="C25" s="3">
        <v>56</v>
      </c>
      <c r="D25" s="4">
        <f>162-(B25+C25)</f>
        <v>19</v>
      </c>
      <c r="E25" s="13">
        <v>4029.1839080459799</v>
      </c>
      <c r="F25" s="13">
        <v>1430.0982142857099</v>
      </c>
      <c r="G25" s="5">
        <v>1001.57872217554</v>
      </c>
      <c r="H25" s="5">
        <v>753.693248547341</v>
      </c>
      <c r="I25" s="15">
        <v>16.617652849999999</v>
      </c>
      <c r="J25" s="15">
        <v>17.65416535</v>
      </c>
      <c r="K25" s="3">
        <v>141</v>
      </c>
      <c r="L25" s="15">
        <v>137.4896621</v>
      </c>
      <c r="M25" s="15">
        <f t="shared" si="0"/>
        <v>3.0112177603451369</v>
      </c>
      <c r="N25" s="15">
        <v>2.9323648334346402</v>
      </c>
    </row>
    <row r="26" spans="1:14" ht="12.75" customHeight="1" x14ac:dyDescent="0.2">
      <c r="A26" t="s">
        <v>159</v>
      </c>
      <c r="B26" s="3">
        <v>34</v>
      </c>
      <c r="C26" s="3">
        <v>32</v>
      </c>
      <c r="D26" s="4">
        <f>79-(B26+C26)</f>
        <v>13</v>
      </c>
      <c r="E26" s="13">
        <v>4265.9558823529396</v>
      </c>
      <c r="F26" s="13">
        <v>1027.34375</v>
      </c>
      <c r="G26" s="5">
        <v>1089.86147554331</v>
      </c>
      <c r="H26" s="5">
        <v>1080.2357152977499</v>
      </c>
      <c r="I26" s="15">
        <v>12.1167952</v>
      </c>
      <c r="J26" s="15">
        <v>12.120103780000001</v>
      </c>
      <c r="K26" s="3">
        <v>64</v>
      </c>
      <c r="L26" s="15">
        <v>63.82265554</v>
      </c>
      <c r="M26" s="15">
        <f t="shared" si="0"/>
        <v>3.0342328017804285</v>
      </c>
      <c r="N26" s="15">
        <v>2.9847329298125298</v>
      </c>
    </row>
    <row r="27" spans="1:14" ht="12.75" customHeight="1" x14ac:dyDescent="0.2">
      <c r="A27" t="s">
        <v>160</v>
      </c>
      <c r="B27" s="3">
        <v>67</v>
      </c>
      <c r="C27" s="3">
        <v>71</v>
      </c>
      <c r="D27" s="4">
        <f>169-(B27+C27)</f>
        <v>31</v>
      </c>
      <c r="E27" s="13">
        <v>4027.5</v>
      </c>
      <c r="F27" s="13">
        <v>1389.6901408450699</v>
      </c>
      <c r="G27" s="5">
        <v>988.60370618301204</v>
      </c>
      <c r="H27" s="5">
        <v>1276.33855608869</v>
      </c>
      <c r="I27" s="15">
        <v>13.5168587</v>
      </c>
      <c r="J27" s="15">
        <v>13.615901170000001</v>
      </c>
      <c r="K27" s="3">
        <v>136</v>
      </c>
      <c r="L27" s="15">
        <v>131.09936740000001</v>
      </c>
      <c r="M27" s="15">
        <f t="shared" si="0"/>
        <v>2.3783517631442552</v>
      </c>
      <c r="N27" s="15">
        <v>2.3106801555960699</v>
      </c>
    </row>
    <row r="28" spans="1:14" ht="12.75" customHeight="1" x14ac:dyDescent="0.2">
      <c r="A28" t="s">
        <v>161</v>
      </c>
      <c r="B28" s="3">
        <v>93</v>
      </c>
      <c r="C28" s="3">
        <v>70</v>
      </c>
      <c r="D28" s="4">
        <f>187-(B28+C28)</f>
        <v>24</v>
      </c>
      <c r="E28" s="13">
        <v>4088.3763440860198</v>
      </c>
      <c r="F28" s="13">
        <v>1633.1071428571399</v>
      </c>
      <c r="G28" s="5">
        <v>1020.38359063786</v>
      </c>
      <c r="H28" s="5">
        <v>961.46079186624399</v>
      </c>
      <c r="I28" s="15">
        <v>15.58580385</v>
      </c>
      <c r="J28" s="15">
        <v>15.7178237</v>
      </c>
      <c r="K28" s="3">
        <v>161</v>
      </c>
      <c r="L28" s="15">
        <v>153.07224819999999</v>
      </c>
      <c r="M28" s="15">
        <f t="shared" si="0"/>
        <v>2.5408216330572162</v>
      </c>
      <c r="N28" s="15">
        <v>2.4766674662748098</v>
      </c>
    </row>
    <row r="29" spans="1:14" ht="12.75" customHeight="1" x14ac:dyDescent="0.2">
      <c r="A29" t="s">
        <v>162</v>
      </c>
      <c r="B29" s="3">
        <v>30</v>
      </c>
      <c r="C29" s="3">
        <v>47</v>
      </c>
      <c r="D29" s="4">
        <f>87-(B29+C29)</f>
        <v>10</v>
      </c>
      <c r="E29" s="13">
        <v>4201.7666666666701</v>
      </c>
      <c r="F29" s="13">
        <v>1432.77659574468</v>
      </c>
      <c r="G29" s="5">
        <v>1036.07003435673</v>
      </c>
      <c r="H29" s="5">
        <v>1026.6233052887901</v>
      </c>
      <c r="I29" s="15">
        <v>11.500789709999999</v>
      </c>
      <c r="J29" s="15">
        <v>11.47724609</v>
      </c>
      <c r="K29" s="3">
        <v>75</v>
      </c>
      <c r="L29" s="15">
        <v>61.509001580000003</v>
      </c>
      <c r="M29" s="15">
        <f t="shared" si="0"/>
        <v>2.9268357463598527</v>
      </c>
      <c r="N29" s="15">
        <v>2.68480144763716</v>
      </c>
    </row>
    <row r="30" spans="1:14" ht="12.75" customHeight="1" x14ac:dyDescent="0.2">
      <c r="A30" t="s">
        <v>163</v>
      </c>
      <c r="B30" s="3">
        <v>110</v>
      </c>
      <c r="C30" s="3">
        <v>99</v>
      </c>
      <c r="D30" s="4">
        <f>225-(B30+C30)</f>
        <v>16</v>
      </c>
      <c r="E30" s="13">
        <v>4146.8136363636404</v>
      </c>
      <c r="F30" s="13">
        <v>1671.67171717172</v>
      </c>
      <c r="G30" s="5">
        <v>1045.4476848407801</v>
      </c>
      <c r="H30" s="5">
        <v>982.52954767226299</v>
      </c>
      <c r="I30" s="15">
        <v>17.582667399999998</v>
      </c>
      <c r="J30" s="15">
        <v>17.640404620000002</v>
      </c>
      <c r="K30" s="3">
        <v>207</v>
      </c>
      <c r="L30" s="15">
        <v>206.603418</v>
      </c>
      <c r="M30" s="15">
        <f t="shared" si="0"/>
        <v>2.4545381523172534</v>
      </c>
      <c r="N30" s="15">
        <v>2.4398218172004502</v>
      </c>
    </row>
    <row r="31" spans="1:14" ht="12.75" customHeight="1" x14ac:dyDescent="0.2">
      <c r="A31" t="s">
        <v>164</v>
      </c>
      <c r="B31" s="3">
        <v>23</v>
      </c>
      <c r="C31" s="3">
        <v>43</v>
      </c>
      <c r="D31" s="4">
        <f>80-(B31+C31)</f>
        <v>14</v>
      </c>
      <c r="E31" s="13">
        <v>3921.2608695652202</v>
      </c>
      <c r="F31" s="13">
        <v>1520.55813953488</v>
      </c>
      <c r="G31" s="5">
        <v>1120.43182492658</v>
      </c>
      <c r="H31" s="5">
        <v>864.32131515138997</v>
      </c>
      <c r="I31" s="15">
        <v>9.6794291220000002</v>
      </c>
      <c r="J31" s="15">
        <v>8.9497202960000006</v>
      </c>
      <c r="K31" s="3">
        <v>64</v>
      </c>
      <c r="L31" s="15">
        <v>36.307383399999999</v>
      </c>
      <c r="M31" s="15">
        <f t="shared" si="0"/>
        <v>2.9705849922191527</v>
      </c>
      <c r="N31" s="15">
        <v>2.3992523344620098</v>
      </c>
    </row>
    <row r="32" spans="1:14" ht="12.75" customHeight="1" x14ac:dyDescent="0.2">
      <c r="A32" t="s">
        <v>165</v>
      </c>
      <c r="B32" s="3">
        <v>54</v>
      </c>
      <c r="C32" s="3">
        <v>59</v>
      </c>
      <c r="D32" s="4">
        <f>127-(B32+C32)</f>
        <v>14</v>
      </c>
      <c r="E32" s="13">
        <v>4330.1666666666697</v>
      </c>
      <c r="F32" s="13">
        <v>1125.64406779661</v>
      </c>
      <c r="G32" s="5">
        <v>909.99794733336796</v>
      </c>
      <c r="H32" s="5">
        <v>738.71954135731903</v>
      </c>
      <c r="I32" s="15">
        <v>20.626225649999999</v>
      </c>
      <c r="J32" s="15">
        <v>20.43777957</v>
      </c>
      <c r="K32" s="3">
        <v>111</v>
      </c>
      <c r="L32" s="15">
        <v>102.2301212</v>
      </c>
      <c r="M32" s="15">
        <f t="shared" si="0"/>
        <v>4.0427256374467815</v>
      </c>
      <c r="N32" s="15">
        <v>3.8664832574577899</v>
      </c>
    </row>
    <row r="33" spans="1:14" ht="12.75" customHeight="1" x14ac:dyDescent="0.2">
      <c r="A33" t="s">
        <v>166</v>
      </c>
      <c r="B33" s="3">
        <v>41</v>
      </c>
      <c r="C33" s="3">
        <v>63</v>
      </c>
      <c r="D33" s="4">
        <f>144-(B33+C33)</f>
        <v>40</v>
      </c>
      <c r="E33" s="13">
        <v>3649.8048780487802</v>
      </c>
      <c r="F33" s="13">
        <v>1406.99206349206</v>
      </c>
      <c r="G33" s="5">
        <v>1213.9763016532099</v>
      </c>
      <c r="H33" s="5">
        <v>890.77212108944502</v>
      </c>
      <c r="I33" s="15">
        <v>10.85514059</v>
      </c>
      <c r="J33" s="15">
        <v>10.17992477</v>
      </c>
      <c r="K33" s="3">
        <v>102</v>
      </c>
      <c r="L33" s="15">
        <v>67.588796139999999</v>
      </c>
      <c r="M33" s="15">
        <f t="shared" si="0"/>
        <v>2.4764935927060132</v>
      </c>
      <c r="N33" s="15">
        <v>2.10650174707391</v>
      </c>
    </row>
    <row r="34" spans="1:14" ht="12.75" customHeight="1" x14ac:dyDescent="0.2">
      <c r="A34" t="s">
        <v>167</v>
      </c>
      <c r="B34" s="3">
        <v>33</v>
      </c>
      <c r="C34" s="3">
        <v>42</v>
      </c>
      <c r="D34" s="4">
        <f>81-(B34+C34)</f>
        <v>6</v>
      </c>
      <c r="E34" s="13">
        <v>4155.8333333333303</v>
      </c>
      <c r="F34" s="13">
        <v>1767.36904761905</v>
      </c>
      <c r="G34" s="5">
        <v>719.49035420335304</v>
      </c>
      <c r="H34" s="5">
        <v>805.63236077375905</v>
      </c>
      <c r="I34" s="15">
        <v>13.350865560000001</v>
      </c>
      <c r="J34" s="15">
        <v>13.534976950000001</v>
      </c>
      <c r="K34" s="3">
        <v>73</v>
      </c>
      <c r="L34" s="15">
        <v>71.753745260000002</v>
      </c>
      <c r="M34" s="15">
        <f t="shared" si="0"/>
        <v>3.1956943067279044</v>
      </c>
      <c r="N34" s="15">
        <v>3.1271759219420301</v>
      </c>
    </row>
    <row r="35" spans="1:14" ht="12.75" customHeight="1" x14ac:dyDescent="0.2">
      <c r="A35" t="s">
        <v>168</v>
      </c>
      <c r="B35" s="3">
        <v>54</v>
      </c>
      <c r="C35" s="3">
        <v>43</v>
      </c>
      <c r="D35" s="4">
        <f>108-(B35+C35)</f>
        <v>11</v>
      </c>
      <c r="E35" s="13">
        <v>4153.99074074074</v>
      </c>
      <c r="F35" s="13">
        <v>1311.1744186046501</v>
      </c>
      <c r="G35" s="5">
        <v>1058.1484696747</v>
      </c>
      <c r="H35" s="5">
        <v>832.96944352948503</v>
      </c>
      <c r="I35" s="15">
        <v>14.411962300000001</v>
      </c>
      <c r="J35" s="15">
        <v>14.80501963</v>
      </c>
      <c r="K35" s="3">
        <v>95</v>
      </c>
      <c r="L35" s="15">
        <v>94.992296890000006</v>
      </c>
      <c r="M35" s="15">
        <f t="shared" si="0"/>
        <v>3.0380491016774327</v>
      </c>
      <c r="N35" s="15">
        <v>2.9854037162440901</v>
      </c>
    </row>
    <row r="36" spans="1:14" ht="12.75" customHeight="1" x14ac:dyDescent="0.2">
      <c r="A36" t="s">
        <v>169</v>
      </c>
      <c r="B36" s="3">
        <v>41</v>
      </c>
      <c r="C36" s="3">
        <v>47</v>
      </c>
      <c r="D36" s="4">
        <f>96-(B36+C36)</f>
        <v>8</v>
      </c>
      <c r="E36" s="13">
        <v>4067.3658536585399</v>
      </c>
      <c r="F36" s="13">
        <v>1437.62765957447</v>
      </c>
      <c r="G36" s="5">
        <v>736.39412022698696</v>
      </c>
      <c r="H36" s="5">
        <v>885.95743756392596</v>
      </c>
      <c r="I36" s="15">
        <v>15.01091323</v>
      </c>
      <c r="J36" s="15">
        <v>15.20138569</v>
      </c>
      <c r="K36" s="3">
        <v>86</v>
      </c>
      <c r="L36" s="15">
        <v>85.814960060000004</v>
      </c>
      <c r="M36" s="15">
        <f t="shared" si="0"/>
        <v>3.2819478163541103</v>
      </c>
      <c r="N36" s="15">
        <v>3.2281955582764499</v>
      </c>
    </row>
    <row r="37" spans="1:14" ht="12.75" customHeight="1" x14ac:dyDescent="0.2">
      <c r="A37" t="s">
        <v>170</v>
      </c>
      <c r="B37" s="3">
        <v>56</v>
      </c>
      <c r="C37" s="3">
        <v>35</v>
      </c>
      <c r="D37" s="4">
        <f>103-(B37+C37)</f>
        <v>12</v>
      </c>
      <c r="E37" s="13">
        <v>4417.3839285714303</v>
      </c>
      <c r="F37" s="13">
        <v>1258.92857142857</v>
      </c>
      <c r="G37" s="5">
        <v>975.16413532693196</v>
      </c>
      <c r="H37" s="5">
        <v>987.48522061060203</v>
      </c>
      <c r="I37" s="15">
        <v>14.959085440000001</v>
      </c>
      <c r="J37" s="15">
        <v>14.91531975</v>
      </c>
      <c r="K37" s="3">
        <v>89</v>
      </c>
      <c r="L37" s="15">
        <v>71.627549810000005</v>
      </c>
      <c r="M37" s="15">
        <f t="shared" si="0"/>
        <v>3.5247029017650338</v>
      </c>
      <c r="N37" s="15">
        <v>3.2184996379472102</v>
      </c>
    </row>
    <row r="38" spans="1:14" ht="12.75" customHeight="1" x14ac:dyDescent="0.2">
      <c r="A38" t="s">
        <v>171</v>
      </c>
      <c r="B38" s="3">
        <v>47</v>
      </c>
      <c r="C38" s="3">
        <v>36</v>
      </c>
      <c r="D38" s="4">
        <f>90-(B38+C38)</f>
        <v>7</v>
      </c>
      <c r="E38" s="13">
        <v>3803.1489361702102</v>
      </c>
      <c r="F38" s="13">
        <v>1558.30555555556</v>
      </c>
      <c r="G38" s="5">
        <v>1048.4306694484601</v>
      </c>
      <c r="H38" s="5">
        <v>798.89667021620505</v>
      </c>
      <c r="I38" s="15">
        <v>10.683674460000001</v>
      </c>
      <c r="J38" s="15">
        <v>11.070820250000001</v>
      </c>
      <c r="K38" s="3">
        <v>81</v>
      </c>
      <c r="L38" s="15">
        <v>80.999725929999997</v>
      </c>
      <c r="M38" s="15">
        <f t="shared" si="0"/>
        <v>2.4601864399004199</v>
      </c>
      <c r="N38" s="15">
        <v>2.4084952354485698</v>
      </c>
    </row>
    <row r="39" spans="1:14" ht="12.75" customHeight="1" x14ac:dyDescent="0.2">
      <c r="A39" t="s">
        <v>172</v>
      </c>
      <c r="B39" s="3">
        <v>36</v>
      </c>
      <c r="C39" s="3">
        <v>44</v>
      </c>
      <c r="D39" s="4">
        <f>87-(B39+C39)</f>
        <v>7</v>
      </c>
      <c r="E39" s="13">
        <v>3899.5138888888901</v>
      </c>
      <c r="F39" s="13">
        <v>1637.6363636363601</v>
      </c>
      <c r="G39" s="5">
        <v>1128.63963302294</v>
      </c>
      <c r="H39" s="5">
        <v>1119.63818576316</v>
      </c>
      <c r="I39" s="15">
        <v>8.9568773480000008</v>
      </c>
      <c r="J39" s="15">
        <v>8.9496162389999991</v>
      </c>
      <c r="K39" s="3">
        <v>78</v>
      </c>
      <c r="L39" s="15">
        <v>74.657227879999994</v>
      </c>
      <c r="M39" s="15">
        <f t="shared" si="0"/>
        <v>2.0715645896118686</v>
      </c>
      <c r="N39" s="15">
        <v>2.01208176141711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5703125" customWidth="1"/>
    <col min="5" max="5" width="12.7109375" customWidth="1"/>
    <col min="6" max="6" width="13.140625" customWidth="1"/>
    <col min="7" max="7" width="11.140625" customWidth="1"/>
    <col min="8" max="8" width="11" customWidth="1"/>
    <col min="9" max="9" width="10.28515625" customWidth="1"/>
    <col min="10" max="10" width="13.140625" customWidth="1"/>
    <col min="11" max="11" width="12" customWidth="1"/>
    <col min="12" max="12" width="13.28515625" customWidth="1"/>
    <col min="13" max="13" width="14.42578125" customWidth="1"/>
    <col min="14" max="14" width="9.42578125" customWidth="1"/>
    <col min="15" max="15" width="17.85546875" customWidth="1"/>
    <col min="16" max="16" width="26.5703125" customWidth="1"/>
  </cols>
  <sheetData>
    <row r="1" spans="1:16" ht="12.75" customHeight="1" x14ac:dyDescent="0.2">
      <c r="A1" t="s">
        <v>117</v>
      </c>
      <c r="B1" s="14" t="s">
        <v>182</v>
      </c>
      <c r="C1" s="14" t="s">
        <v>183</v>
      </c>
      <c r="D1" s="4" t="s">
        <v>120</v>
      </c>
      <c r="E1" s="2" t="s">
        <v>184</v>
      </c>
      <c r="F1" s="2" t="s">
        <v>185</v>
      </c>
      <c r="G1" s="8" t="s">
        <v>186</v>
      </c>
      <c r="H1" s="8" t="s">
        <v>187</v>
      </c>
      <c r="I1" s="11" t="s">
        <v>125</v>
      </c>
      <c r="J1" s="11" t="s">
        <v>126</v>
      </c>
      <c r="K1" s="14" t="s">
        <v>127</v>
      </c>
      <c r="L1" s="11" t="s">
        <v>128</v>
      </c>
      <c r="M1" s="11" t="s">
        <v>188</v>
      </c>
      <c r="N1" s="15" t="s">
        <v>130</v>
      </c>
      <c r="O1" t="s">
        <v>131</v>
      </c>
      <c r="P1" t="s">
        <v>132</v>
      </c>
    </row>
    <row r="2" spans="1:16" ht="79.5" customHeight="1" x14ac:dyDescent="0.2">
      <c r="A2" s="6" t="s">
        <v>133</v>
      </c>
      <c r="B2" s="4">
        <f>SUM(B4:B39)</f>
        <v>2680</v>
      </c>
      <c r="C2" s="4">
        <f>SUM(C4:C39)</f>
        <v>3262</v>
      </c>
      <c r="D2" s="4">
        <f>6344-(B2+C2)</f>
        <v>402</v>
      </c>
      <c r="E2" s="2">
        <v>3.762</v>
      </c>
      <c r="F2" s="2">
        <v>2.0659999999999998</v>
      </c>
      <c r="G2" s="8">
        <v>3.3239999999999998</v>
      </c>
      <c r="H2" s="8">
        <v>2.073</v>
      </c>
      <c r="I2" s="11">
        <v>24.01</v>
      </c>
      <c r="J2" s="11">
        <v>22.99</v>
      </c>
      <c r="K2" s="14">
        <v>5940</v>
      </c>
      <c r="L2" s="11">
        <v>4303</v>
      </c>
      <c r="M2" s="11">
        <f>(2*J2)/SQRT(L2)</f>
        <v>0.70094395368978624</v>
      </c>
      <c r="N2" s="15">
        <v>0.61225589999999996</v>
      </c>
      <c r="O2" t="s">
        <v>189</v>
      </c>
      <c r="P2" t="s">
        <v>190</v>
      </c>
    </row>
    <row r="3" spans="1:16" ht="12.75" customHeight="1" x14ac:dyDescent="0.2">
      <c r="A3" s="6" t="s">
        <v>136</v>
      </c>
      <c r="B3" s="11">
        <f>AVERAGE(B4:B39)</f>
        <v>74.444444444444443</v>
      </c>
      <c r="C3" s="11">
        <f>AVERAGE(C4:C39)</f>
        <v>90.611111111111114</v>
      </c>
      <c r="D3" s="15"/>
      <c r="E3" s="2">
        <f>AVERAGE(E4:E39)</f>
        <v>3.740141803216519</v>
      </c>
      <c r="F3" s="2">
        <f>AVERAGE(F4:F39)</f>
        <v>2.0995792209009552</v>
      </c>
      <c r="G3" s="8">
        <f>AVERAGE(G4:G39)</f>
        <v>3.1424035447024519</v>
      </c>
      <c r="H3" s="8">
        <f>AVERAGE(H4:H39)</f>
        <v>2.0092655854701049</v>
      </c>
      <c r="I3" s="11">
        <v>3.5635188264166699</v>
      </c>
      <c r="J3" s="11">
        <v>3.3857708171388898</v>
      </c>
      <c r="K3" s="11">
        <f>AVERAGE(K4:K39)</f>
        <v>163.05555555555554</v>
      </c>
      <c r="L3" s="11">
        <f>AVERAGE(L4:L39)</f>
        <v>114.76003109055553</v>
      </c>
      <c r="M3" s="11">
        <f>AVERAGE(M4:M39)</f>
        <v>0.71404041979745891</v>
      </c>
      <c r="N3" s="15">
        <f>AVERAGE(N4:N39)</f>
        <v>0.5938864813989676</v>
      </c>
    </row>
    <row r="4" spans="1:16" ht="12.75" customHeight="1" x14ac:dyDescent="0.2">
      <c r="A4" t="s">
        <v>137</v>
      </c>
      <c r="B4" s="14">
        <v>40</v>
      </c>
      <c r="C4" s="14">
        <v>40</v>
      </c>
      <c r="D4" s="4">
        <f>84-(B4+C4)</f>
        <v>4</v>
      </c>
      <c r="E4" s="2">
        <v>3.5058782274744602</v>
      </c>
      <c r="F4" s="2">
        <v>2.1811239560621898</v>
      </c>
      <c r="G4" s="8">
        <v>2.9972325447490902</v>
      </c>
      <c r="H4" s="8">
        <v>0.94337000288877804</v>
      </c>
      <c r="I4" s="11">
        <v>2.6664476420000001</v>
      </c>
      <c r="J4" s="11">
        <v>2.6664476420000001</v>
      </c>
      <c r="K4" s="14">
        <v>78</v>
      </c>
      <c r="L4" s="11">
        <v>46.65202635</v>
      </c>
      <c r="M4" s="11">
        <f t="shared" ref="M4:M39" si="0">(2*J4)/SQRT(L4)</f>
        <v>0.78077841743032805</v>
      </c>
      <c r="N4" s="15">
        <v>0.59623581850524099</v>
      </c>
    </row>
    <row r="5" spans="1:16" ht="12.75" customHeight="1" x14ac:dyDescent="0.2">
      <c r="A5" t="s">
        <v>138</v>
      </c>
      <c r="B5" s="14">
        <v>63</v>
      </c>
      <c r="C5" s="14">
        <v>51</v>
      </c>
      <c r="D5" s="4">
        <f>120-(B5+C5)</f>
        <v>6</v>
      </c>
      <c r="E5" s="2">
        <v>3.1974662214376299</v>
      </c>
      <c r="F5" s="2">
        <v>2.1681546922345198</v>
      </c>
      <c r="G5" s="8">
        <v>3.48938763241655</v>
      </c>
      <c r="H5" s="8">
        <v>1.87218784718635</v>
      </c>
      <c r="I5" s="11">
        <v>1.896186226</v>
      </c>
      <c r="J5" s="11">
        <v>2.0109484150000001</v>
      </c>
      <c r="K5" s="14">
        <v>112</v>
      </c>
      <c r="L5" s="11">
        <v>98.491542039999999</v>
      </c>
      <c r="M5" s="11">
        <f t="shared" si="0"/>
        <v>0.4052578698417999</v>
      </c>
      <c r="N5" s="15">
        <v>0.367600553933287</v>
      </c>
    </row>
    <row r="6" spans="1:16" ht="12.75" customHeight="1" x14ac:dyDescent="0.2">
      <c r="A6" t="s">
        <v>139</v>
      </c>
      <c r="B6" s="14">
        <v>27</v>
      </c>
      <c r="C6" s="14">
        <v>45</v>
      </c>
      <c r="D6" s="4">
        <f>84-(B6+C6)</f>
        <v>12</v>
      </c>
      <c r="E6" s="2">
        <v>5.5502192936837398</v>
      </c>
      <c r="F6" s="2">
        <v>2.1526356251029499</v>
      </c>
      <c r="G6" s="8">
        <v>5.3142289996710401</v>
      </c>
      <c r="H6" s="8">
        <v>2.4885062786429302</v>
      </c>
      <c r="I6" s="11">
        <v>3.6802858559999998</v>
      </c>
      <c r="J6" s="11">
        <v>3.1229970159999998</v>
      </c>
      <c r="K6" s="14">
        <v>70</v>
      </c>
      <c r="L6" s="11">
        <v>32.954483770000003</v>
      </c>
      <c r="M6" s="11">
        <f t="shared" si="0"/>
        <v>1.0880386139045461</v>
      </c>
      <c r="N6" s="15">
        <v>0.81882926210164397</v>
      </c>
    </row>
    <row r="7" spans="1:16" ht="12.75" customHeight="1" x14ac:dyDescent="0.2">
      <c r="A7" t="s">
        <v>140</v>
      </c>
      <c r="B7" s="14">
        <v>36</v>
      </c>
      <c r="C7" s="14">
        <v>47</v>
      </c>
      <c r="D7" s="4">
        <f>95-(B7+C7)</f>
        <v>12</v>
      </c>
      <c r="E7" s="2">
        <v>4.1559802584826997</v>
      </c>
      <c r="F7" s="2">
        <v>2.3879855982952098</v>
      </c>
      <c r="G7" s="8">
        <v>3.2213653328970202</v>
      </c>
      <c r="H7" s="8">
        <v>2.4671038502741598</v>
      </c>
      <c r="I7" s="11">
        <v>2.8328036750000001</v>
      </c>
      <c r="J7" s="11">
        <v>2.735387061</v>
      </c>
      <c r="K7" s="14">
        <v>81</v>
      </c>
      <c r="L7" s="11">
        <v>63.726112329999999</v>
      </c>
      <c r="M7" s="11">
        <f t="shared" si="0"/>
        <v>0.68531473792290487</v>
      </c>
      <c r="N7" s="15">
        <v>0.61621314516233106</v>
      </c>
    </row>
    <row r="8" spans="1:16" ht="12.75" customHeight="1" x14ac:dyDescent="0.2">
      <c r="A8" t="s">
        <v>141</v>
      </c>
      <c r="B8" s="14">
        <v>36</v>
      </c>
      <c r="C8" s="14">
        <v>56</v>
      </c>
      <c r="D8" s="4">
        <f>96-(B8+C8)</f>
        <v>4</v>
      </c>
      <c r="E8" s="2">
        <v>2.8893032459171901</v>
      </c>
      <c r="F8" s="2">
        <v>2.08093843690907</v>
      </c>
      <c r="G8" s="8">
        <v>2.1278383606223898</v>
      </c>
      <c r="H8" s="8">
        <v>1.0225007883570001</v>
      </c>
      <c r="I8" s="11">
        <v>2.442761022</v>
      </c>
      <c r="J8" s="11">
        <v>2.1269877240000001</v>
      </c>
      <c r="K8" s="14">
        <v>90</v>
      </c>
      <c r="L8" s="11">
        <v>45.524004390000002</v>
      </c>
      <c r="M8" s="11">
        <f t="shared" si="0"/>
        <v>0.63048498854319845</v>
      </c>
      <c r="N8" s="15">
        <v>0.48425033355792102</v>
      </c>
    </row>
    <row r="9" spans="1:16" ht="12.75" customHeight="1" x14ac:dyDescent="0.2">
      <c r="A9" t="s">
        <v>142</v>
      </c>
      <c r="B9" s="14">
        <v>45</v>
      </c>
      <c r="C9" s="14">
        <v>51</v>
      </c>
      <c r="D9" s="4">
        <f>102-(B9+C9)</f>
        <v>6</v>
      </c>
      <c r="E9" s="2">
        <v>3.4642974395013302</v>
      </c>
      <c r="F9" s="2">
        <v>2.1868721930833499</v>
      </c>
      <c r="G9" s="8">
        <v>2.8720397656460701</v>
      </c>
      <c r="H9" s="8">
        <v>2.01542596275358</v>
      </c>
      <c r="I9" s="11">
        <v>2.5452656089999999</v>
      </c>
      <c r="J9" s="11">
        <v>2.4911519329999998</v>
      </c>
      <c r="K9" s="14">
        <v>94</v>
      </c>
      <c r="L9" s="11">
        <v>77.643752000000006</v>
      </c>
      <c r="M9" s="11">
        <f t="shared" si="0"/>
        <v>0.56542753571120152</v>
      </c>
      <c r="N9" s="15">
        <v>0.51488671947682196</v>
      </c>
    </row>
    <row r="10" spans="1:16" ht="12.75" customHeight="1" x14ac:dyDescent="0.2">
      <c r="A10" t="s">
        <v>143</v>
      </c>
      <c r="B10" s="14">
        <v>32</v>
      </c>
      <c r="C10" s="14">
        <v>53</v>
      </c>
      <c r="D10" s="4">
        <f>90-(B10+C10)</f>
        <v>5</v>
      </c>
      <c r="E10" s="2">
        <v>3.1424751349718698</v>
      </c>
      <c r="F10" s="2">
        <v>1.8043505289819399</v>
      </c>
      <c r="G10" s="8">
        <v>2.278901835383</v>
      </c>
      <c r="H10" s="8">
        <v>1.22041068067126</v>
      </c>
      <c r="I10" s="11">
        <v>3.5265151860000001</v>
      </c>
      <c r="J10" s="11">
        <v>3.0666784539999998</v>
      </c>
      <c r="K10" s="14">
        <v>83</v>
      </c>
      <c r="L10" s="11">
        <v>41.915852610000002</v>
      </c>
      <c r="M10" s="11">
        <f t="shared" si="0"/>
        <v>0.9473470024896623</v>
      </c>
      <c r="N10" s="15">
        <v>0.73203603314202803</v>
      </c>
    </row>
    <row r="11" spans="1:16" ht="12.75" customHeight="1" x14ac:dyDescent="0.2">
      <c r="A11" t="s">
        <v>144</v>
      </c>
      <c r="B11" s="14">
        <v>78</v>
      </c>
      <c r="C11" s="14">
        <v>86</v>
      </c>
      <c r="D11" s="4">
        <f>174-(B11+C11)</f>
        <v>10</v>
      </c>
      <c r="E11" s="2">
        <v>4.1524599863886902</v>
      </c>
      <c r="F11" s="2">
        <v>2.2159372633618202</v>
      </c>
      <c r="G11" s="8">
        <v>3.39413537905159</v>
      </c>
      <c r="H11" s="8">
        <v>1.84297552202515</v>
      </c>
      <c r="I11" s="11">
        <v>4.5972219589999996</v>
      </c>
      <c r="J11" s="11">
        <v>4.4759192719999996</v>
      </c>
      <c r="K11" s="14">
        <v>162</v>
      </c>
      <c r="L11" s="11">
        <v>116.1624432</v>
      </c>
      <c r="M11" s="11">
        <f t="shared" si="0"/>
        <v>0.8305759884732753</v>
      </c>
      <c r="N11" s="15">
        <v>0.709089439324877</v>
      </c>
    </row>
    <row r="12" spans="1:16" ht="12.75" customHeight="1" x14ac:dyDescent="0.2">
      <c r="A12" t="s">
        <v>145</v>
      </c>
      <c r="B12" s="14">
        <v>48</v>
      </c>
      <c r="C12" s="14">
        <v>56</v>
      </c>
      <c r="D12" s="4">
        <f>113-(B12+C12)</f>
        <v>9</v>
      </c>
      <c r="E12" s="2">
        <v>3.8640397061288998</v>
      </c>
      <c r="F12" s="2">
        <v>2.16499813010683</v>
      </c>
      <c r="G12" s="8">
        <v>4.0484340633639198</v>
      </c>
      <c r="H12" s="8">
        <v>2.2300259004264298</v>
      </c>
      <c r="I12" s="11">
        <v>2.7001360390000002</v>
      </c>
      <c r="J12" s="11">
        <v>2.5902359609999999</v>
      </c>
      <c r="K12" s="14">
        <v>102</v>
      </c>
      <c r="L12" s="11">
        <v>70.548359840000003</v>
      </c>
      <c r="M12" s="11">
        <f t="shared" si="0"/>
        <v>0.61677372399763708</v>
      </c>
      <c r="N12" s="15">
        <v>0.51986379454427301</v>
      </c>
    </row>
    <row r="13" spans="1:16" ht="12.75" customHeight="1" x14ac:dyDescent="0.2">
      <c r="A13" t="s">
        <v>146</v>
      </c>
      <c r="B13" s="14">
        <v>52</v>
      </c>
      <c r="C13" s="14">
        <v>54</v>
      </c>
      <c r="D13" s="4">
        <f>112-(B13+C13)</f>
        <v>6</v>
      </c>
      <c r="E13" s="2">
        <v>5.2448428168584504</v>
      </c>
      <c r="F13" s="2">
        <v>1.79959147960793</v>
      </c>
      <c r="G13" s="8">
        <v>4.6748480922689302</v>
      </c>
      <c r="H13" s="8">
        <v>1.96247536868195</v>
      </c>
      <c r="I13" s="11">
        <v>4.9798109479999999</v>
      </c>
      <c r="J13" s="11">
        <v>4.9138030910000001</v>
      </c>
      <c r="K13" s="14">
        <v>104</v>
      </c>
      <c r="L13" s="11">
        <v>67.896637949999999</v>
      </c>
      <c r="M13" s="11">
        <f t="shared" si="0"/>
        <v>1.1926791027985919</v>
      </c>
      <c r="N13" s="15">
        <v>0.96099860988748398</v>
      </c>
    </row>
    <row r="14" spans="1:16" ht="12.75" customHeight="1" x14ac:dyDescent="0.2">
      <c r="A14" t="s">
        <v>147</v>
      </c>
      <c r="B14" s="14">
        <v>119</v>
      </c>
      <c r="C14" s="14">
        <v>136</v>
      </c>
      <c r="D14" s="4">
        <f>277-(B14+C14)</f>
        <v>22</v>
      </c>
      <c r="E14" s="2">
        <v>4.1831613080832097</v>
      </c>
      <c r="F14" s="2">
        <v>2.10288171631003</v>
      </c>
      <c r="G14" s="8">
        <v>4.0154766428729998</v>
      </c>
      <c r="H14" s="8">
        <v>2.2926498242740601</v>
      </c>
      <c r="I14" s="11">
        <v>5.1576161860000003</v>
      </c>
      <c r="J14" s="11">
        <v>4.9850106890000001</v>
      </c>
      <c r="K14" s="14">
        <v>253</v>
      </c>
      <c r="L14" s="11">
        <v>181.97574169999999</v>
      </c>
      <c r="M14" s="11">
        <f t="shared" si="0"/>
        <v>0.73907640976799893</v>
      </c>
      <c r="N14" s="15">
        <v>0.63625301122076405</v>
      </c>
    </row>
    <row r="15" spans="1:16" ht="12.75" customHeight="1" x14ac:dyDescent="0.2">
      <c r="A15" t="s">
        <v>148</v>
      </c>
      <c r="B15" s="14">
        <v>61</v>
      </c>
      <c r="C15" s="14">
        <v>81</v>
      </c>
      <c r="D15" s="4">
        <f>146-(B15+C15)</f>
        <v>4</v>
      </c>
      <c r="E15" s="2">
        <v>4.0831884509993097</v>
      </c>
      <c r="F15" s="2">
        <v>2.2352518855555998</v>
      </c>
      <c r="G15" s="8">
        <v>3.8664839680067198</v>
      </c>
      <c r="H15" s="8">
        <v>3.1569280354043001</v>
      </c>
      <c r="I15" s="11">
        <v>3.133444914</v>
      </c>
      <c r="J15" s="11">
        <v>3.0457513129999998</v>
      </c>
      <c r="K15" s="14">
        <v>140</v>
      </c>
      <c r="L15" s="11">
        <v>113.8469755</v>
      </c>
      <c r="M15" s="11">
        <f t="shared" si="0"/>
        <v>0.57090479025160534</v>
      </c>
      <c r="N15" s="15">
        <v>0.52355682960730299</v>
      </c>
    </row>
    <row r="16" spans="1:16" ht="12.75" customHeight="1" x14ac:dyDescent="0.2">
      <c r="A16" t="s">
        <v>149</v>
      </c>
      <c r="B16" s="14">
        <v>37</v>
      </c>
      <c r="C16" s="14">
        <v>56</v>
      </c>
      <c r="D16" s="4">
        <f>98-(B16+C16)</f>
        <v>5</v>
      </c>
      <c r="E16" s="2">
        <v>3.54118854381439</v>
      </c>
      <c r="F16" s="2">
        <v>2.2962409770088801</v>
      </c>
      <c r="G16" s="8">
        <v>3.0642173044262799</v>
      </c>
      <c r="H16" s="8">
        <v>1.88644703575168</v>
      </c>
      <c r="I16" s="11">
        <v>2.4263724330000001</v>
      </c>
      <c r="J16" s="11">
        <v>2.210064391</v>
      </c>
      <c r="K16" s="14">
        <v>91</v>
      </c>
      <c r="L16" s="11">
        <v>54.068267579999997</v>
      </c>
      <c r="M16" s="11">
        <f t="shared" si="0"/>
        <v>0.60112348514725711</v>
      </c>
      <c r="N16" s="15">
        <v>0.48928608698069698</v>
      </c>
    </row>
    <row r="17" spans="1:14" ht="12.75" customHeight="1" x14ac:dyDescent="0.2">
      <c r="A17" t="s">
        <v>150</v>
      </c>
      <c r="B17" s="14">
        <v>37</v>
      </c>
      <c r="C17" s="14">
        <v>36</v>
      </c>
      <c r="D17" s="4">
        <f>85-(B17+C17)</f>
        <v>12</v>
      </c>
      <c r="E17" s="2">
        <v>2.4544885274022601</v>
      </c>
      <c r="F17" s="2">
        <v>1.7884745111073199</v>
      </c>
      <c r="G17" s="8">
        <v>1.4249072537798</v>
      </c>
      <c r="H17" s="8">
        <v>2.3534104203553499</v>
      </c>
      <c r="I17" s="11">
        <v>1.4672186789999999</v>
      </c>
      <c r="J17" s="11">
        <v>1.457801031</v>
      </c>
      <c r="K17" s="14">
        <v>71</v>
      </c>
      <c r="L17" s="11">
        <v>57.329427260000003</v>
      </c>
      <c r="M17" s="11">
        <f t="shared" si="0"/>
        <v>0.38506978916499152</v>
      </c>
      <c r="N17" s="15">
        <v>0.34235915530552202</v>
      </c>
    </row>
    <row r="18" spans="1:14" ht="12.75" customHeight="1" x14ac:dyDescent="0.2">
      <c r="A18" t="s">
        <v>151</v>
      </c>
      <c r="B18" s="14">
        <v>470</v>
      </c>
      <c r="C18" s="14">
        <v>511</v>
      </c>
      <c r="D18" s="4">
        <f>1000-(B18+C18)</f>
        <v>19</v>
      </c>
      <c r="E18" s="2">
        <v>3.7543559618063802</v>
      </c>
      <c r="F18" s="2">
        <v>2.2072600068988502</v>
      </c>
      <c r="G18" s="8">
        <v>3.0644329126349801</v>
      </c>
      <c r="H18" s="8">
        <v>1.81140702913608</v>
      </c>
      <c r="I18" s="11">
        <v>9.7154938009999992</v>
      </c>
      <c r="J18" s="11">
        <v>9.5214571279999998</v>
      </c>
      <c r="K18" s="14">
        <v>979</v>
      </c>
      <c r="L18" s="11">
        <v>747.85648760000004</v>
      </c>
      <c r="M18" s="11">
        <f t="shared" si="0"/>
        <v>0.69634470759507394</v>
      </c>
      <c r="N18" s="15">
        <v>0.61462556049375905</v>
      </c>
    </row>
    <row r="19" spans="1:14" ht="12.75" customHeight="1" x14ac:dyDescent="0.2">
      <c r="A19" t="s">
        <v>152</v>
      </c>
      <c r="B19" s="14">
        <v>51</v>
      </c>
      <c r="C19" s="14">
        <v>54</v>
      </c>
      <c r="D19" s="4">
        <f>107-(B19+C19)</f>
        <v>2</v>
      </c>
      <c r="E19" s="2">
        <v>3.3084292447066201</v>
      </c>
      <c r="F19" s="2">
        <v>2.9813207404553799</v>
      </c>
      <c r="G19" s="8">
        <v>2.6637157977955099</v>
      </c>
      <c r="H19" s="8">
        <v>3.1354131824155398</v>
      </c>
      <c r="I19" s="11">
        <v>0.57450619700000005</v>
      </c>
      <c r="J19" s="11">
        <v>0.57719083699999996</v>
      </c>
      <c r="K19" s="14">
        <v>103</v>
      </c>
      <c r="L19" s="11">
        <v>101.88581910000001</v>
      </c>
      <c r="M19" s="11">
        <f t="shared" si="0"/>
        <v>0.1143648469228403</v>
      </c>
      <c r="N19" s="15">
        <v>0.112441628972416</v>
      </c>
    </row>
    <row r="20" spans="1:14" ht="12.75" customHeight="1" x14ac:dyDescent="0.2">
      <c r="A20" t="s">
        <v>153</v>
      </c>
      <c r="B20" s="14">
        <v>39</v>
      </c>
      <c r="C20" s="14">
        <v>63</v>
      </c>
      <c r="D20" s="4">
        <f>123-(B20+C20)</f>
        <v>21</v>
      </c>
      <c r="E20" s="2">
        <v>4.98372881052713</v>
      </c>
      <c r="F20" s="2">
        <v>1.62851724790648</v>
      </c>
      <c r="G20" s="8">
        <v>3.8809095467488102</v>
      </c>
      <c r="H20" s="8">
        <v>1.85750304613166</v>
      </c>
      <c r="I20" s="11">
        <v>5.8727384139999996</v>
      </c>
      <c r="J20" s="11">
        <v>5.05267307</v>
      </c>
      <c r="K20" s="14">
        <v>100</v>
      </c>
      <c r="L20" s="11">
        <v>48.9387823</v>
      </c>
      <c r="M20" s="11">
        <f t="shared" si="0"/>
        <v>1.4445235102458081</v>
      </c>
      <c r="N20" s="15">
        <v>1.1028358079718299</v>
      </c>
    </row>
    <row r="21" spans="1:14" ht="12.75" customHeight="1" x14ac:dyDescent="0.2">
      <c r="A21" t="s">
        <v>154</v>
      </c>
      <c r="B21" s="14">
        <v>507</v>
      </c>
      <c r="C21" s="14">
        <v>697</v>
      </c>
      <c r="D21" s="4">
        <f>1329-(B21+C21)</f>
        <v>125</v>
      </c>
      <c r="E21" s="2">
        <v>3.7945880234913001</v>
      </c>
      <c r="F21" s="2">
        <v>1.85430869427833</v>
      </c>
      <c r="G21" s="8">
        <v>3.42386375893479</v>
      </c>
      <c r="H21" s="8">
        <v>1.96579692996691</v>
      </c>
      <c r="I21" s="11">
        <v>12.411833509999999</v>
      </c>
      <c r="J21" s="11">
        <v>11.45984681</v>
      </c>
      <c r="K21" s="14">
        <v>1202</v>
      </c>
      <c r="L21" s="11">
        <v>746.54810599999996</v>
      </c>
      <c r="M21" s="11">
        <f t="shared" si="0"/>
        <v>0.83884150138126201</v>
      </c>
      <c r="N21" s="15">
        <v>0.69501662367322004</v>
      </c>
    </row>
    <row r="22" spans="1:14" ht="12.75" customHeight="1" x14ac:dyDescent="0.2">
      <c r="A22" t="s">
        <v>155</v>
      </c>
      <c r="B22" s="14">
        <v>33</v>
      </c>
      <c r="C22" s="14">
        <v>60</v>
      </c>
      <c r="D22" s="4">
        <f>95-(B22+C22)</f>
        <v>2</v>
      </c>
      <c r="E22" s="2">
        <v>3.4945671005163899</v>
      </c>
      <c r="F22" s="2">
        <v>2.0641419759916202</v>
      </c>
      <c r="G22" s="8">
        <v>2.1287028454820001</v>
      </c>
      <c r="H22" s="8">
        <v>2.4541872698597702</v>
      </c>
      <c r="I22" s="11">
        <v>2.8147142340000002</v>
      </c>
      <c r="J22" s="11">
        <v>2.9339456030000002</v>
      </c>
      <c r="K22" s="14">
        <v>91</v>
      </c>
      <c r="L22" s="11">
        <v>74.340611659999993</v>
      </c>
      <c r="M22" s="11">
        <f t="shared" si="0"/>
        <v>0.68056402474277355</v>
      </c>
      <c r="N22" s="15">
        <v>0.62267743428857303</v>
      </c>
    </row>
    <row r="23" spans="1:14" ht="12.75" customHeight="1" x14ac:dyDescent="0.2">
      <c r="A23" t="s">
        <v>156</v>
      </c>
      <c r="B23" s="14">
        <v>52</v>
      </c>
      <c r="C23" s="14">
        <v>41</v>
      </c>
      <c r="D23" s="4">
        <f>103-(B23+C23)</f>
        <v>10</v>
      </c>
      <c r="E23" s="2">
        <v>2.7796141977192201</v>
      </c>
      <c r="F23" s="2">
        <v>1.9390233639118299</v>
      </c>
      <c r="G23" s="8">
        <v>2.3273090385871602</v>
      </c>
      <c r="H23" s="8">
        <v>1.45643163384319</v>
      </c>
      <c r="I23" s="11">
        <v>2.0204786979999998</v>
      </c>
      <c r="J23" s="11">
        <v>2.1289492760000002</v>
      </c>
      <c r="K23" s="14">
        <v>91</v>
      </c>
      <c r="L23" s="11">
        <v>86.908048300000004</v>
      </c>
      <c r="M23" s="11">
        <f t="shared" si="0"/>
        <v>0.45673607062768901</v>
      </c>
      <c r="N23" s="15">
        <v>0.432996357826337</v>
      </c>
    </row>
    <row r="24" spans="1:14" ht="12.75" customHeight="1" x14ac:dyDescent="0.2">
      <c r="A24" t="s">
        <v>157</v>
      </c>
      <c r="B24" s="14">
        <v>36</v>
      </c>
      <c r="C24" s="14">
        <v>44</v>
      </c>
      <c r="D24" s="4">
        <f>86-(B24+C24)</f>
        <v>6</v>
      </c>
      <c r="E24" s="2">
        <v>2.8862720142573699</v>
      </c>
      <c r="F24" s="2">
        <v>2.1853185205233698</v>
      </c>
      <c r="G24" s="8">
        <v>2.60822664960439</v>
      </c>
      <c r="H24" s="8">
        <v>1.46170377180379</v>
      </c>
      <c r="I24" s="11">
        <v>1.5164575149999999</v>
      </c>
      <c r="J24" s="11">
        <v>1.438245861</v>
      </c>
      <c r="K24" s="14">
        <v>78</v>
      </c>
      <c r="L24" s="11">
        <v>52.478282149999998</v>
      </c>
      <c r="M24" s="11">
        <f t="shared" si="0"/>
        <v>0.39707571212931347</v>
      </c>
      <c r="N24" s="15">
        <v>0.33155030374286698</v>
      </c>
    </row>
    <row r="25" spans="1:14" ht="12.75" customHeight="1" x14ac:dyDescent="0.2">
      <c r="A25" t="s">
        <v>158</v>
      </c>
      <c r="B25" s="14">
        <v>70</v>
      </c>
      <c r="C25" s="14">
        <v>89</v>
      </c>
      <c r="D25" s="4">
        <f>162-(B25+C25)</f>
        <v>3</v>
      </c>
      <c r="E25" s="2">
        <v>3.7097569731895201</v>
      </c>
      <c r="F25" s="2">
        <v>2.2853088643222299</v>
      </c>
      <c r="G25" s="8">
        <v>2.69362969381578</v>
      </c>
      <c r="H25" s="8">
        <v>1.9428930575885599</v>
      </c>
      <c r="I25" s="11">
        <v>3.8713742469999999</v>
      </c>
      <c r="J25" s="11">
        <v>3.7271103820000002</v>
      </c>
      <c r="K25" s="14">
        <v>157</v>
      </c>
      <c r="L25" s="11">
        <v>121.1205313</v>
      </c>
      <c r="M25" s="11">
        <f t="shared" si="0"/>
        <v>0.67731916929079938</v>
      </c>
      <c r="N25" s="15">
        <v>0.60654710758452801</v>
      </c>
    </row>
    <row r="26" spans="1:14" ht="12.75" customHeight="1" x14ac:dyDescent="0.2">
      <c r="A26" t="s">
        <v>159</v>
      </c>
      <c r="B26" s="14">
        <v>38</v>
      </c>
      <c r="C26" s="14">
        <v>40</v>
      </c>
      <c r="D26" s="4">
        <f>79-(B26+C26)</f>
        <v>1</v>
      </c>
      <c r="E26" s="2">
        <v>1.82292815566481</v>
      </c>
      <c r="F26" s="2">
        <v>1.6998029613677099</v>
      </c>
      <c r="G26" s="8">
        <v>1.14754086888077</v>
      </c>
      <c r="H26" s="8">
        <v>0.97962310519472795</v>
      </c>
      <c r="I26" s="11">
        <v>0.51050494499999999</v>
      </c>
      <c r="J26" s="11">
        <v>0.50842821100000002</v>
      </c>
      <c r="K26" s="14">
        <v>76</v>
      </c>
      <c r="L26" s="11">
        <v>72.842502449999998</v>
      </c>
      <c r="M26" s="11">
        <f t="shared" si="0"/>
        <v>0.1191426367229636</v>
      </c>
      <c r="N26" s="15">
        <v>0.115405632322338</v>
      </c>
    </row>
    <row r="27" spans="1:14" ht="12.75" customHeight="1" x14ac:dyDescent="0.2">
      <c r="A27" t="s">
        <v>160</v>
      </c>
      <c r="B27" s="14">
        <v>69</v>
      </c>
      <c r="C27" s="14">
        <v>85</v>
      </c>
      <c r="D27" s="4">
        <f>169-(B27+C27)</f>
        <v>15</v>
      </c>
      <c r="E27" s="2">
        <v>2.8044757338623501</v>
      </c>
      <c r="F27" s="2">
        <v>1.53283328768717</v>
      </c>
      <c r="G27" s="8">
        <v>2.88074029041104</v>
      </c>
      <c r="H27" s="8">
        <v>1.2358045361579599</v>
      </c>
      <c r="I27" s="11">
        <v>3.6763830789999998</v>
      </c>
      <c r="J27" s="11">
        <v>3.4202019290000001</v>
      </c>
      <c r="K27" s="14">
        <v>152</v>
      </c>
      <c r="L27" s="11">
        <v>88.240430239999995</v>
      </c>
      <c r="M27" s="11">
        <f t="shared" si="0"/>
        <v>0.72819540604550148</v>
      </c>
      <c r="N27" s="15">
        <v>0.57371253853191895</v>
      </c>
    </row>
    <row r="28" spans="1:14" ht="12.75" customHeight="1" x14ac:dyDescent="0.2">
      <c r="A28" t="s">
        <v>161</v>
      </c>
      <c r="B28" s="14">
        <v>77</v>
      </c>
      <c r="C28" s="14">
        <v>101</v>
      </c>
      <c r="D28" s="4">
        <f>187-(B28+C28)</f>
        <v>9</v>
      </c>
      <c r="E28" s="2">
        <v>3.7086592478404801</v>
      </c>
      <c r="F28" s="2">
        <v>1.95435940428841</v>
      </c>
      <c r="G28" s="8">
        <v>3.1096839129487299</v>
      </c>
      <c r="H28" s="8">
        <v>1.50740973595706</v>
      </c>
      <c r="I28" s="11">
        <v>4.9594426699999996</v>
      </c>
      <c r="J28" s="11">
        <v>4.5587914859999996</v>
      </c>
      <c r="K28" s="14">
        <v>176</v>
      </c>
      <c r="L28" s="11">
        <v>103.1528165</v>
      </c>
      <c r="M28" s="11">
        <f t="shared" si="0"/>
        <v>0.89771644077222046</v>
      </c>
      <c r="N28" s="15">
        <v>0.71791443506042296</v>
      </c>
    </row>
    <row r="29" spans="1:14" ht="12.75" customHeight="1" x14ac:dyDescent="0.2">
      <c r="A29" t="s">
        <v>162</v>
      </c>
      <c r="B29" s="14">
        <v>33</v>
      </c>
      <c r="C29" s="14">
        <v>48</v>
      </c>
      <c r="D29" s="4">
        <f>87-(B29+C29)</f>
        <v>6</v>
      </c>
      <c r="E29" s="2">
        <v>3.3489131244839001</v>
      </c>
      <c r="F29" s="2">
        <v>1.88315656822727</v>
      </c>
      <c r="G29" s="8">
        <v>2.6214128418288301</v>
      </c>
      <c r="H29" s="8">
        <v>1.27811883290331</v>
      </c>
      <c r="I29" s="11">
        <v>3.3447909139999998</v>
      </c>
      <c r="J29" s="11">
        <v>2.9779155839999998</v>
      </c>
      <c r="K29" s="14">
        <v>79</v>
      </c>
      <c r="L29" s="11">
        <v>42.54091571</v>
      </c>
      <c r="M29" s="11">
        <f t="shared" si="0"/>
        <v>0.91314335094399679</v>
      </c>
      <c r="N29" s="15">
        <v>0.71077091757658695</v>
      </c>
    </row>
    <row r="30" spans="1:14" ht="12.75" customHeight="1" x14ac:dyDescent="0.2">
      <c r="A30" t="s">
        <v>163</v>
      </c>
      <c r="B30" s="14">
        <v>98</v>
      </c>
      <c r="C30" s="14">
        <v>116</v>
      </c>
      <c r="D30" s="4">
        <f>225-(B30+C30)</f>
        <v>11</v>
      </c>
      <c r="E30" s="2">
        <v>3.8307988994525899</v>
      </c>
      <c r="F30" s="2">
        <v>2.2594539841358898</v>
      </c>
      <c r="G30" s="8">
        <v>3.28044505971492</v>
      </c>
      <c r="H30" s="8">
        <v>1.94892311949202</v>
      </c>
      <c r="I30" s="11">
        <v>4.3335918260000001</v>
      </c>
      <c r="J30" s="11">
        <v>4.161815196</v>
      </c>
      <c r="K30" s="14">
        <v>212</v>
      </c>
      <c r="L30" s="11">
        <v>152.06858980000001</v>
      </c>
      <c r="M30" s="11">
        <f t="shared" si="0"/>
        <v>0.67498330009229834</v>
      </c>
      <c r="N30" s="15">
        <v>0.582386749925628</v>
      </c>
    </row>
    <row r="31" spans="1:14" ht="12.75" customHeight="1" x14ac:dyDescent="0.2">
      <c r="A31" t="s">
        <v>164</v>
      </c>
      <c r="B31" s="14">
        <v>29</v>
      </c>
      <c r="C31" s="14">
        <v>45</v>
      </c>
      <c r="D31" s="4">
        <f>80-(B31+C31)</f>
        <v>6</v>
      </c>
      <c r="E31" s="2">
        <v>3.98978638530135</v>
      </c>
      <c r="F31" s="2">
        <v>2.2678939363731399</v>
      </c>
      <c r="G31" s="8">
        <v>3.2807149340080399</v>
      </c>
      <c r="H31" s="8">
        <v>1.7936096742785601</v>
      </c>
      <c r="I31" s="11">
        <v>2.9154186709999999</v>
      </c>
      <c r="J31" s="11">
        <v>2.5881249500000001</v>
      </c>
      <c r="K31" s="14">
        <v>72</v>
      </c>
      <c r="L31" s="11">
        <v>38.907043969999997</v>
      </c>
      <c r="M31" s="11">
        <f t="shared" si="0"/>
        <v>0.82985290232088349</v>
      </c>
      <c r="N31" s="15">
        <v>0.65127659973333596</v>
      </c>
    </row>
    <row r="32" spans="1:14" ht="12.75" customHeight="1" x14ac:dyDescent="0.2">
      <c r="A32" t="s">
        <v>165</v>
      </c>
      <c r="B32" s="14">
        <v>58</v>
      </c>
      <c r="C32" s="14">
        <v>59</v>
      </c>
      <c r="D32" s="4">
        <f>127-(B32+C32)</f>
        <v>10</v>
      </c>
      <c r="E32" s="2">
        <v>4.0077673316077904</v>
      </c>
      <c r="F32" s="2">
        <v>2.5973234345919698</v>
      </c>
      <c r="G32" s="8">
        <v>3.7566139543394299</v>
      </c>
      <c r="H32" s="8">
        <v>3.6553709835571802</v>
      </c>
      <c r="I32" s="11">
        <v>2.058303558</v>
      </c>
      <c r="J32" s="11">
        <v>2.0578189259999999</v>
      </c>
      <c r="K32" s="14">
        <v>115</v>
      </c>
      <c r="L32" s="11">
        <v>114.77221539999999</v>
      </c>
      <c r="M32" s="11">
        <f t="shared" si="0"/>
        <v>0.38416586269409397</v>
      </c>
      <c r="N32" s="15">
        <v>0.38054916416026502</v>
      </c>
    </row>
    <row r="33" spans="1:14" ht="12.75" customHeight="1" x14ac:dyDescent="0.2">
      <c r="A33" t="s">
        <v>166</v>
      </c>
      <c r="B33" s="14">
        <v>52</v>
      </c>
      <c r="C33" s="14">
        <v>74</v>
      </c>
      <c r="D33" s="4">
        <f>144-(B33+C33)</f>
        <v>18</v>
      </c>
      <c r="E33" s="2">
        <v>4.2979181414191503</v>
      </c>
      <c r="F33" s="2">
        <v>1.6379787292349399</v>
      </c>
      <c r="G33" s="8">
        <v>4.2736098113025403</v>
      </c>
      <c r="H33" s="8">
        <v>2.7435101516484699</v>
      </c>
      <c r="I33" s="11">
        <v>4.2535389419999996</v>
      </c>
      <c r="J33" s="11">
        <v>3.9523139220000001</v>
      </c>
      <c r="K33" s="14">
        <v>124</v>
      </c>
      <c r="L33" s="11">
        <v>80.121687179999995</v>
      </c>
      <c r="M33" s="11">
        <f t="shared" si="0"/>
        <v>0.88309288324356827</v>
      </c>
      <c r="N33" s="15">
        <v>0.74072348416390399</v>
      </c>
    </row>
    <row r="34" spans="1:14" ht="12.75" customHeight="1" x14ac:dyDescent="0.2">
      <c r="A34" t="s">
        <v>167</v>
      </c>
      <c r="B34" s="14">
        <v>40</v>
      </c>
      <c r="C34" s="14">
        <v>37</v>
      </c>
      <c r="D34" s="4">
        <f>81-(B34+C34)</f>
        <v>4</v>
      </c>
      <c r="E34" s="2">
        <v>5.2955247908981997</v>
      </c>
      <c r="F34" s="2">
        <v>1.6518460135311399</v>
      </c>
      <c r="G34" s="8">
        <v>4.2646329915718004</v>
      </c>
      <c r="H34" s="8">
        <v>1.5459802325575001</v>
      </c>
      <c r="I34" s="11">
        <v>4.9054647850000004</v>
      </c>
      <c r="J34" s="11">
        <v>5.0564070430000001</v>
      </c>
      <c r="K34" s="14">
        <v>75</v>
      </c>
      <c r="L34" s="11">
        <v>49.78015534</v>
      </c>
      <c r="M34" s="11">
        <f t="shared" si="0"/>
        <v>1.4333224376371385</v>
      </c>
      <c r="N34" s="15">
        <v>1.13595852512026</v>
      </c>
    </row>
    <row r="35" spans="1:14" ht="12.75" customHeight="1" x14ac:dyDescent="0.2">
      <c r="A35" t="s">
        <v>168</v>
      </c>
      <c r="B35" s="14">
        <v>54</v>
      </c>
      <c r="C35" s="14">
        <v>52</v>
      </c>
      <c r="D35" s="4">
        <f>108-(B35+C35)</f>
        <v>2</v>
      </c>
      <c r="E35" s="2">
        <v>3.4379486405672499</v>
      </c>
      <c r="F35" s="2">
        <v>2.1426148194411199</v>
      </c>
      <c r="G35" s="8">
        <v>1.69208754524163</v>
      </c>
      <c r="H35" s="8">
        <v>1.91627953590728</v>
      </c>
      <c r="I35" s="11">
        <v>3.6925594930000001</v>
      </c>
      <c r="J35" s="11">
        <v>3.6838624360000001</v>
      </c>
      <c r="K35" s="14">
        <v>104</v>
      </c>
      <c r="L35" s="11">
        <v>101.35382389999999</v>
      </c>
      <c r="M35" s="11">
        <f t="shared" si="0"/>
        <v>0.73183526102331287</v>
      </c>
      <c r="N35" s="15">
        <v>0.71657945658585698</v>
      </c>
    </row>
    <row r="36" spans="1:14" ht="12.75" customHeight="1" x14ac:dyDescent="0.2">
      <c r="A36" t="s">
        <v>169</v>
      </c>
      <c r="B36" s="14">
        <v>46</v>
      </c>
      <c r="C36" s="14">
        <v>48</v>
      </c>
      <c r="D36" s="4">
        <f>96-(B36+C36)</f>
        <v>2</v>
      </c>
      <c r="E36" s="2">
        <v>4.5800923137398399</v>
      </c>
      <c r="F36" s="2">
        <v>2.2210480346782502</v>
      </c>
      <c r="G36" s="8">
        <v>3.69097006908776</v>
      </c>
      <c r="H36" s="8">
        <v>2.0844581423931601</v>
      </c>
      <c r="I36" s="11">
        <v>3.8360606750000001</v>
      </c>
      <c r="J36" s="11">
        <v>3.7936860760000002</v>
      </c>
      <c r="K36" s="14">
        <v>92</v>
      </c>
      <c r="L36" s="11">
        <v>70.414059800000004</v>
      </c>
      <c r="M36" s="11">
        <f t="shared" si="0"/>
        <v>0.90419415201537012</v>
      </c>
      <c r="N36" s="15">
        <v>0.787043057206539</v>
      </c>
    </row>
    <row r="37" spans="1:14" ht="12.75" customHeight="1" x14ac:dyDescent="0.2">
      <c r="A37" t="s">
        <v>170</v>
      </c>
      <c r="B37" s="14">
        <v>37</v>
      </c>
      <c r="C37" s="14">
        <v>60</v>
      </c>
      <c r="D37" s="4">
        <f>103-(B37+C37)</f>
        <v>6</v>
      </c>
      <c r="E37" s="2">
        <v>3.3216518438156499</v>
      </c>
      <c r="F37" s="2">
        <v>2.3697003018057501</v>
      </c>
      <c r="G37" s="8">
        <v>2.4651193009986301</v>
      </c>
      <c r="H37" s="8">
        <v>1.9181171416539899</v>
      </c>
      <c r="I37" s="11">
        <v>2.1262066100000001</v>
      </c>
      <c r="J37" s="11">
        <v>2.0044072499999999</v>
      </c>
      <c r="K37" s="14">
        <v>95</v>
      </c>
      <c r="L37" s="11">
        <v>62.577456869999999</v>
      </c>
      <c r="M37" s="11">
        <f t="shared" si="0"/>
        <v>0.50676545898584646</v>
      </c>
      <c r="N37" s="15">
        <v>0.43101684476502999</v>
      </c>
    </row>
    <row r="38" spans="1:14" ht="12.75" customHeight="1" x14ac:dyDescent="0.2">
      <c r="A38" t="s">
        <v>171</v>
      </c>
      <c r="B38" s="14">
        <v>43</v>
      </c>
      <c r="C38" s="14">
        <v>43</v>
      </c>
      <c r="D38" s="4">
        <f>90-(B38+C38)</f>
        <v>4</v>
      </c>
      <c r="E38" s="2">
        <v>3.2376054521156199</v>
      </c>
      <c r="F38" s="2">
        <v>2.9702229812482401</v>
      </c>
      <c r="G38" s="8">
        <v>2.5178891871421101</v>
      </c>
      <c r="H38" s="8">
        <v>4.5894401152253996</v>
      </c>
      <c r="I38" s="11">
        <v>0.334942511</v>
      </c>
      <c r="J38" s="11">
        <v>0.334942511</v>
      </c>
      <c r="K38" s="14">
        <v>84</v>
      </c>
      <c r="L38" s="11">
        <v>65.182982789999997</v>
      </c>
      <c r="M38" s="11">
        <f t="shared" si="0"/>
        <v>8.2972304496431962E-2</v>
      </c>
      <c r="N38" s="15">
        <v>7.2235559637458993E-2</v>
      </c>
    </row>
    <row r="39" spans="1:14" ht="12.75" customHeight="1" x14ac:dyDescent="0.2">
      <c r="A39" t="s">
        <v>172</v>
      </c>
      <c r="B39" s="14">
        <v>37</v>
      </c>
      <c r="C39" s="14">
        <v>47</v>
      </c>
      <c r="D39" s="4">
        <f>87-(B39+C39)</f>
        <v>3</v>
      </c>
      <c r="E39" s="2">
        <v>4.8207333676676196</v>
      </c>
      <c r="F39" s="2">
        <v>1.68598108780768</v>
      </c>
      <c r="G39" s="8">
        <v>4.5647794230531904</v>
      </c>
      <c r="H39" s="8">
        <v>1.29716233155867</v>
      </c>
      <c r="I39" s="11">
        <v>4.4897860820000002</v>
      </c>
      <c r="J39" s="11">
        <v>4.0504309369999998</v>
      </c>
      <c r="K39" s="14">
        <v>82</v>
      </c>
      <c r="L39" s="11">
        <v>40.594144380000003</v>
      </c>
      <c r="M39" s="11">
        <f t="shared" si="0"/>
        <v>1.2714507173343368</v>
      </c>
      <c r="N39" s="15">
        <v>0.93419074826956405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5703125" customWidth="1"/>
    <col min="5" max="5" width="12.7109375" customWidth="1"/>
    <col min="6" max="6" width="13.140625" customWidth="1"/>
    <col min="7" max="7" width="11.140625" customWidth="1"/>
    <col min="8" max="8" width="11" customWidth="1"/>
    <col min="9" max="9" width="10.28515625" customWidth="1"/>
    <col min="10" max="10" width="13.85546875" customWidth="1"/>
    <col min="11" max="11" width="12" customWidth="1"/>
    <col min="12" max="12" width="13.28515625" customWidth="1"/>
    <col min="13" max="13" width="10.85546875" customWidth="1"/>
    <col min="14" max="14" width="9.42578125" customWidth="1"/>
    <col min="15" max="15" width="19.5703125" customWidth="1"/>
    <col min="16" max="16" width="26.140625" customWidth="1"/>
  </cols>
  <sheetData>
    <row r="1" spans="1:16" ht="12.75" customHeight="1" x14ac:dyDescent="0.2">
      <c r="A1" t="s">
        <v>117</v>
      </c>
      <c r="B1" s="3" t="s">
        <v>191</v>
      </c>
      <c r="C1" s="3" t="s">
        <v>192</v>
      </c>
      <c r="D1" s="4" t="s">
        <v>120</v>
      </c>
      <c r="E1" s="13" t="s">
        <v>193</v>
      </c>
      <c r="F1" s="13" t="s">
        <v>194</v>
      </c>
      <c r="G1" s="5" t="s">
        <v>195</v>
      </c>
      <c r="H1" s="5" t="s">
        <v>196</v>
      </c>
      <c r="I1" s="15" t="s">
        <v>125</v>
      </c>
      <c r="J1" s="15" t="s">
        <v>126</v>
      </c>
      <c r="K1" s="3" t="s">
        <v>127</v>
      </c>
      <c r="L1" s="15" t="s">
        <v>128</v>
      </c>
      <c r="M1" s="15" t="s">
        <v>129</v>
      </c>
      <c r="N1" s="15" t="s">
        <v>130</v>
      </c>
      <c r="O1" t="s">
        <v>131</v>
      </c>
      <c r="P1" t="s">
        <v>132</v>
      </c>
    </row>
    <row r="2" spans="1:16" ht="89.25" customHeight="1" x14ac:dyDescent="0.2">
      <c r="A2" s="6" t="s">
        <v>133</v>
      </c>
      <c r="B2" s="4">
        <f>SUM(B5:B40)</f>
        <v>3106</v>
      </c>
      <c r="C2" s="4">
        <f>SUM(C5:C40)</f>
        <v>3145</v>
      </c>
      <c r="D2" s="4">
        <f>6344-(B2+C2)</f>
        <v>93</v>
      </c>
      <c r="E2" s="13">
        <v>3.1019566599999999</v>
      </c>
      <c r="F2" s="13">
        <v>3.0734919399999998</v>
      </c>
      <c r="G2" s="5">
        <v>1.02258899</v>
      </c>
      <c r="H2" s="5">
        <v>0.99733139000000004</v>
      </c>
      <c r="I2" s="15">
        <v>1.1140000000000001</v>
      </c>
      <c r="J2" s="15">
        <v>1.1140000000000001</v>
      </c>
      <c r="K2" s="3">
        <v>6249</v>
      </c>
      <c r="L2" s="15">
        <v>6240.2340000000004</v>
      </c>
      <c r="M2" s="15">
        <f>(2*J2)/SQRT(L2)</f>
        <v>2.8204262548315023E-2</v>
      </c>
      <c r="N2" s="15">
        <v>2.81818E-2</v>
      </c>
      <c r="O2" t="s">
        <v>134</v>
      </c>
      <c r="P2" t="s">
        <v>197</v>
      </c>
    </row>
    <row r="3" spans="1:16" ht="12.75" customHeight="1" x14ac:dyDescent="0.2">
      <c r="A3" s="6" t="s">
        <v>198</v>
      </c>
      <c r="B3" s="3">
        <v>2424</v>
      </c>
      <c r="C3" s="3">
        <v>2472</v>
      </c>
      <c r="D3" s="15"/>
      <c r="E3" s="13">
        <v>3.1732999999999998</v>
      </c>
      <c r="F3" s="13">
        <v>3.1467999999999998</v>
      </c>
      <c r="G3" s="5">
        <v>1.0688</v>
      </c>
      <c r="H3" s="5">
        <v>1.04</v>
      </c>
      <c r="I3" s="15">
        <v>0.879</v>
      </c>
      <c r="J3" s="15">
        <v>0.879</v>
      </c>
      <c r="K3" s="3">
        <v>4894</v>
      </c>
      <c r="L3" s="15">
        <v>4883.2740000000003</v>
      </c>
      <c r="M3" s="15">
        <f>(2*J3)/SQRT(L3)</f>
        <v>2.5157259184844263E-2</v>
      </c>
      <c r="N3" s="15">
        <f>(E3-F3)/SQRT((((H3^2)+(G3^2))/2))</f>
        <v>2.5130433440328271E-2</v>
      </c>
    </row>
    <row r="4" spans="1:16" ht="12.75" customHeight="1" x14ac:dyDescent="0.2">
      <c r="A4" s="6" t="s">
        <v>136</v>
      </c>
      <c r="B4" s="15">
        <f>AVERAGE(B5:B40)</f>
        <v>86.277777777777771</v>
      </c>
      <c r="C4" s="15">
        <f>AVERAGE(C5:C40)</f>
        <v>87.361111111111114</v>
      </c>
      <c r="D4" s="4"/>
      <c r="E4" s="13">
        <f>AVERAGE(E5:E40)</f>
        <v>3.1094267143717738</v>
      </c>
      <c r="F4" s="13">
        <f>AVERAGE(F5:F40)</f>
        <v>3.1044181332854333</v>
      </c>
      <c r="G4" s="5">
        <f>AVERAGE(G5:G40)</f>
        <v>0.82721266111700287</v>
      </c>
      <c r="H4" s="5">
        <f>AVERAGE(H5:H40)</f>
        <v>0.82196584600501843</v>
      </c>
      <c r="I4" s="15">
        <v>5.2998425666667001E-2</v>
      </c>
      <c r="J4" s="15">
        <v>5.4737794472221997E-2</v>
      </c>
      <c r="K4" s="15">
        <f>AVERAGE(K5:K40)</f>
        <v>171.63888888888889</v>
      </c>
      <c r="L4" s="15">
        <f>AVERAGE(L5:L40)</f>
        <v>164.16928237111108</v>
      </c>
      <c r="M4" s="15">
        <f>AVERAGE(M5:M40)</f>
        <v>7.1505375659697739E-3</v>
      </c>
      <c r="N4" s="15">
        <f>AVERAGE(N5:N40)</f>
        <v>6.4661208777690264E-3</v>
      </c>
      <c r="O4" s="15"/>
    </row>
    <row r="5" spans="1:16" ht="12.75" customHeight="1" x14ac:dyDescent="0.2">
      <c r="A5" t="s">
        <v>137</v>
      </c>
      <c r="B5" s="3">
        <v>39</v>
      </c>
      <c r="C5" s="3">
        <v>44</v>
      </c>
      <c r="D5" s="4">
        <f>84-(B5+C5)</f>
        <v>1</v>
      </c>
      <c r="E5" s="13">
        <v>3.1039377289377299</v>
      </c>
      <c r="F5" s="13">
        <v>3.0515422077922101</v>
      </c>
      <c r="G5" s="5">
        <v>0.60961008808942696</v>
      </c>
      <c r="H5" s="5">
        <v>0.89676235586925301</v>
      </c>
      <c r="I5" s="15">
        <v>0.307244923</v>
      </c>
      <c r="J5" s="15">
        <v>0.31421517199999999</v>
      </c>
      <c r="K5" s="3">
        <v>81</v>
      </c>
      <c r="L5" s="15">
        <v>76.113841469999997</v>
      </c>
      <c r="M5" s="15">
        <f t="shared" ref="M5:M40" si="0">(2*J5)/SQRT(L5)</f>
        <v>7.2031975610015106E-2</v>
      </c>
      <c r="N5" s="15">
        <v>6.9565161465418995E-2</v>
      </c>
    </row>
    <row r="6" spans="1:16" ht="12.75" customHeight="1" x14ac:dyDescent="0.2">
      <c r="A6" t="s">
        <v>138</v>
      </c>
      <c r="B6" s="3">
        <v>62</v>
      </c>
      <c r="C6" s="3">
        <v>58</v>
      </c>
      <c r="D6" s="4">
        <f>120-(B6+C6)</f>
        <v>0</v>
      </c>
      <c r="E6" s="13">
        <v>2.82258064516129</v>
      </c>
      <c r="F6" s="13">
        <v>2.82481527093596</v>
      </c>
      <c r="G6" s="5">
        <v>0.80487385323369098</v>
      </c>
      <c r="H6" s="5">
        <v>0.94685972172409505</v>
      </c>
      <c r="I6" s="15">
        <v>-1.3958949999999999E-2</v>
      </c>
      <c r="J6" s="15">
        <v>-1.3883578000000001E-2</v>
      </c>
      <c r="K6" s="3">
        <v>118</v>
      </c>
      <c r="L6" s="15">
        <v>112.1993488</v>
      </c>
      <c r="M6" s="15">
        <f t="shared" si="0"/>
        <v>-2.6214177275925938E-3</v>
      </c>
      <c r="N6" s="15">
        <v>-2.551330643673E-3</v>
      </c>
    </row>
    <row r="7" spans="1:16" ht="12.75" customHeight="1" x14ac:dyDescent="0.2">
      <c r="A7" t="s">
        <v>139</v>
      </c>
      <c r="B7" s="3">
        <v>51</v>
      </c>
      <c r="C7" s="3">
        <v>33</v>
      </c>
      <c r="D7" s="4">
        <f>84-(B7+C7)</f>
        <v>0</v>
      </c>
      <c r="E7" s="13">
        <v>3.0710784313725501</v>
      </c>
      <c r="F7" s="13">
        <v>3.0909090909090899</v>
      </c>
      <c r="G7" s="5">
        <v>0.64867889878235596</v>
      </c>
      <c r="H7" s="5">
        <v>0.67768038943684406</v>
      </c>
      <c r="I7" s="15">
        <v>-0.13446156400000001</v>
      </c>
      <c r="J7" s="15">
        <v>-0.13319262000000001</v>
      </c>
      <c r="K7" s="3">
        <v>82</v>
      </c>
      <c r="L7" s="15">
        <v>66.280784960000005</v>
      </c>
      <c r="M7" s="15">
        <f t="shared" si="0"/>
        <v>-3.2720229112860384E-2</v>
      </c>
      <c r="N7" s="15">
        <v>-2.9902394792540001E-2</v>
      </c>
    </row>
    <row r="8" spans="1:16" ht="12.75" customHeight="1" x14ac:dyDescent="0.2">
      <c r="A8" t="s">
        <v>140</v>
      </c>
      <c r="B8" s="3">
        <v>42</v>
      </c>
      <c r="C8" s="3">
        <v>52</v>
      </c>
      <c r="D8" s="4">
        <f>95-(B8+C8)</f>
        <v>1</v>
      </c>
      <c r="E8" s="13">
        <v>2.55909863945578</v>
      </c>
      <c r="F8" s="13">
        <v>2.87877747252747</v>
      </c>
      <c r="G8" s="5">
        <v>0.688306837917536</v>
      </c>
      <c r="H8" s="5">
        <v>0.72471669806052397</v>
      </c>
      <c r="I8" s="15">
        <v>-2.1742053929999998</v>
      </c>
      <c r="J8" s="15">
        <v>-2.1862796630000001</v>
      </c>
      <c r="K8" s="3">
        <v>92</v>
      </c>
      <c r="L8" s="15">
        <v>89.565788679999997</v>
      </c>
      <c r="M8" s="15">
        <f t="shared" si="0"/>
        <v>-0.4620241038851407</v>
      </c>
      <c r="N8" s="15">
        <v>-0.45247488797193502</v>
      </c>
    </row>
    <row r="9" spans="1:16" ht="12.75" customHeight="1" x14ac:dyDescent="0.2">
      <c r="A9" t="s">
        <v>141</v>
      </c>
      <c r="B9" s="3">
        <v>47</v>
      </c>
      <c r="C9" s="3">
        <v>47</v>
      </c>
      <c r="D9" s="4">
        <f>96-(B9+C9)</f>
        <v>2</v>
      </c>
      <c r="E9" s="13">
        <v>3.2642857142857098</v>
      </c>
      <c r="F9" s="13">
        <v>3.3180091185410299</v>
      </c>
      <c r="G9" s="5">
        <v>0.76653830117579702</v>
      </c>
      <c r="H9" s="5">
        <v>0.85427215885102004</v>
      </c>
      <c r="I9" s="15">
        <v>-0.32089275099999998</v>
      </c>
      <c r="J9" s="15">
        <v>-0.32089275099999998</v>
      </c>
      <c r="K9" s="3">
        <v>92</v>
      </c>
      <c r="L9" s="15">
        <v>90.940391239999997</v>
      </c>
      <c r="M9" s="15">
        <f t="shared" si="0"/>
        <v>-6.7299446587357176E-2</v>
      </c>
      <c r="N9" s="15">
        <v>-6.6292025601106003E-2</v>
      </c>
    </row>
    <row r="10" spans="1:16" ht="12.75" customHeight="1" x14ac:dyDescent="0.2">
      <c r="A10" t="s">
        <v>142</v>
      </c>
      <c r="B10" s="3">
        <v>45</v>
      </c>
      <c r="C10" s="3">
        <v>57</v>
      </c>
      <c r="D10" s="4">
        <f>102-(B10+C10)</f>
        <v>0</v>
      </c>
      <c r="E10" s="13">
        <v>3.1682539682539699</v>
      </c>
      <c r="F10" s="13">
        <v>3.24780701754386</v>
      </c>
      <c r="G10" s="5">
        <v>0.845321355877233</v>
      </c>
      <c r="H10" s="5">
        <v>0.53686176188889301</v>
      </c>
      <c r="I10" s="15">
        <v>-0.57833841900000005</v>
      </c>
      <c r="J10" s="15">
        <v>-0.54980933799999998</v>
      </c>
      <c r="K10" s="3">
        <v>100</v>
      </c>
      <c r="L10" s="15">
        <v>70.839847460000001</v>
      </c>
      <c r="M10" s="15">
        <f t="shared" si="0"/>
        <v>-0.13064816029550239</v>
      </c>
      <c r="N10" s="15">
        <v>-0.115112170402522</v>
      </c>
    </row>
    <row r="11" spans="1:16" ht="12.75" customHeight="1" x14ac:dyDescent="0.2">
      <c r="A11" t="s">
        <v>143</v>
      </c>
      <c r="B11" s="3">
        <v>43</v>
      </c>
      <c r="C11" s="3">
        <v>46</v>
      </c>
      <c r="D11" s="4">
        <f>90-(B11+C11)</f>
        <v>1</v>
      </c>
      <c r="E11" s="13">
        <v>2.8617109634551499</v>
      </c>
      <c r="F11" s="13">
        <v>2.9918478260869601</v>
      </c>
      <c r="G11" s="5">
        <v>0.77037529095239199</v>
      </c>
      <c r="H11" s="5">
        <v>0.74693920524263702</v>
      </c>
      <c r="I11" s="15">
        <v>-0.80900730099999996</v>
      </c>
      <c r="J11" s="15">
        <v>-0.80815585000000001</v>
      </c>
      <c r="K11" s="3">
        <v>87</v>
      </c>
      <c r="L11" s="15">
        <v>86.154464770000004</v>
      </c>
      <c r="M11" s="15">
        <f t="shared" si="0"/>
        <v>-0.17413506096514222</v>
      </c>
      <c r="N11" s="15">
        <v>-0.17153577977163101</v>
      </c>
    </row>
    <row r="12" spans="1:16" ht="12.75" customHeight="1" x14ac:dyDescent="0.2">
      <c r="A12" t="s">
        <v>144</v>
      </c>
      <c r="B12" s="3">
        <v>82</v>
      </c>
      <c r="C12" s="3">
        <v>90</v>
      </c>
      <c r="D12" s="4">
        <f>174-(B12+C12)</f>
        <v>2</v>
      </c>
      <c r="E12" s="13">
        <v>3.4076655052264799</v>
      </c>
      <c r="F12" s="13">
        <v>3.3686507936507901</v>
      </c>
      <c r="G12" s="5">
        <v>0.90157911387393097</v>
      </c>
      <c r="H12" s="5">
        <v>0.89087384505409795</v>
      </c>
      <c r="I12" s="15">
        <v>0.28522588199999999</v>
      </c>
      <c r="J12" s="15">
        <v>0.28506653599999998</v>
      </c>
      <c r="K12" s="3">
        <v>170</v>
      </c>
      <c r="L12" s="15">
        <v>168.1251972</v>
      </c>
      <c r="M12" s="15">
        <f t="shared" si="0"/>
        <v>4.3970340698090984E-2</v>
      </c>
      <c r="N12" s="15">
        <v>4.3532201368363999E-2</v>
      </c>
    </row>
    <row r="13" spans="1:16" ht="12.75" customHeight="1" x14ac:dyDescent="0.2">
      <c r="A13" t="s">
        <v>145</v>
      </c>
      <c r="B13" s="3">
        <v>54</v>
      </c>
      <c r="C13" s="3">
        <v>56</v>
      </c>
      <c r="D13" s="4">
        <f>113-(B13+C13)</f>
        <v>3</v>
      </c>
      <c r="E13" s="13">
        <v>2.6908068783068799</v>
      </c>
      <c r="F13" s="13">
        <v>2.59247448979592</v>
      </c>
      <c r="G13" s="5">
        <v>0.76276538519475001</v>
      </c>
      <c r="H13" s="5">
        <v>0.60180143860586099</v>
      </c>
      <c r="I13" s="15">
        <v>0.75207880900000001</v>
      </c>
      <c r="J13" s="15">
        <v>0.74887432099999995</v>
      </c>
      <c r="K13" s="3">
        <v>108</v>
      </c>
      <c r="L13" s="15">
        <v>100.7440897</v>
      </c>
      <c r="M13" s="15">
        <f t="shared" si="0"/>
        <v>0.14922072508972106</v>
      </c>
      <c r="N13" s="15">
        <v>0.144122496305579</v>
      </c>
    </row>
    <row r="14" spans="1:16" ht="12.75" customHeight="1" x14ac:dyDescent="0.2">
      <c r="A14" t="s">
        <v>146</v>
      </c>
      <c r="B14" s="3">
        <v>58</v>
      </c>
      <c r="C14" s="3">
        <v>53</v>
      </c>
      <c r="D14" s="4">
        <f>112-(B14+C14)</f>
        <v>1</v>
      </c>
      <c r="E14" s="13">
        <v>2.9014778325123101</v>
      </c>
      <c r="F14" s="13">
        <v>2.8726415094339601</v>
      </c>
      <c r="G14" s="5">
        <v>0.63293160316652597</v>
      </c>
      <c r="H14" s="5">
        <v>0.70943612750765805</v>
      </c>
      <c r="I14" s="15">
        <v>0.22631811099999999</v>
      </c>
      <c r="J14" s="15">
        <v>0.22515218000000001</v>
      </c>
      <c r="K14" s="3">
        <v>109</v>
      </c>
      <c r="L14" s="15">
        <v>104.64759669999999</v>
      </c>
      <c r="M14" s="15">
        <f t="shared" si="0"/>
        <v>4.4019136857392664E-2</v>
      </c>
      <c r="N14" s="15">
        <v>4.2963373477207002E-2</v>
      </c>
    </row>
    <row r="15" spans="1:16" ht="12.75" customHeight="1" x14ac:dyDescent="0.2">
      <c r="A15" t="s">
        <v>147</v>
      </c>
      <c r="B15" s="3">
        <v>132</v>
      </c>
      <c r="C15" s="3">
        <v>143</v>
      </c>
      <c r="D15" s="4">
        <f>277-(B15+C15)</f>
        <v>2</v>
      </c>
      <c r="E15" s="13">
        <v>2.7291666666666701</v>
      </c>
      <c r="F15" s="13">
        <v>2.6964285714285698</v>
      </c>
      <c r="G15" s="5">
        <v>0.78188246845337095</v>
      </c>
      <c r="H15" s="5">
        <v>0.70217346228772604</v>
      </c>
      <c r="I15" s="15">
        <v>0.36579305200000001</v>
      </c>
      <c r="J15" s="15">
        <v>0.36422342899999999</v>
      </c>
      <c r="K15" s="3">
        <v>273</v>
      </c>
      <c r="L15" s="15">
        <v>263.78280840000002</v>
      </c>
      <c r="M15" s="15">
        <f t="shared" si="0"/>
        <v>4.4851258184468688E-2</v>
      </c>
      <c r="N15" s="15">
        <v>4.4119759316276999E-2</v>
      </c>
    </row>
    <row r="16" spans="1:16" ht="12.75" customHeight="1" x14ac:dyDescent="0.2">
      <c r="A16" t="s">
        <v>148</v>
      </c>
      <c r="B16" s="3">
        <v>78</v>
      </c>
      <c r="C16" s="3">
        <v>67</v>
      </c>
      <c r="D16" s="4">
        <f>146-(B16+C16)</f>
        <v>1</v>
      </c>
      <c r="E16" s="13">
        <v>3.0833333333333299</v>
      </c>
      <c r="F16" s="13">
        <v>3.02691897654584</v>
      </c>
      <c r="G16" s="5">
        <v>0.96985126275190903</v>
      </c>
      <c r="H16" s="5">
        <v>0.748680639246046</v>
      </c>
      <c r="I16" s="15">
        <v>0.38717460799999998</v>
      </c>
      <c r="J16" s="15">
        <v>0.394736427</v>
      </c>
      <c r="K16" s="3">
        <v>143</v>
      </c>
      <c r="L16" s="15">
        <v>141.46409980000001</v>
      </c>
      <c r="M16" s="15">
        <f t="shared" si="0"/>
        <v>6.6376459146897174E-2</v>
      </c>
      <c r="N16" s="15">
        <v>6.5654128063499004E-2</v>
      </c>
    </row>
    <row r="17" spans="1:14" ht="12.75" customHeight="1" x14ac:dyDescent="0.2">
      <c r="A17" t="s">
        <v>149</v>
      </c>
      <c r="B17" s="3">
        <v>48</v>
      </c>
      <c r="C17" s="3">
        <v>50</v>
      </c>
      <c r="D17" s="4">
        <f>98-(B17+C17)</f>
        <v>0</v>
      </c>
      <c r="E17" s="13">
        <v>3.1964285714285698</v>
      </c>
      <c r="F17" s="13">
        <v>3.1189285714285702</v>
      </c>
      <c r="G17" s="5">
        <v>0.76101871129461196</v>
      </c>
      <c r="H17" s="5">
        <v>0.875662493890767</v>
      </c>
      <c r="I17" s="15">
        <v>0.46683950200000002</v>
      </c>
      <c r="J17" s="15">
        <v>0.46818342899999998</v>
      </c>
      <c r="K17" s="3">
        <v>96</v>
      </c>
      <c r="L17" s="15">
        <v>95.077007100000003</v>
      </c>
      <c r="M17" s="15">
        <f t="shared" si="0"/>
        <v>9.6030299345114783E-2</v>
      </c>
      <c r="N17" s="15">
        <v>9.4703843062977994E-2</v>
      </c>
    </row>
    <row r="18" spans="1:14" ht="12.75" customHeight="1" x14ac:dyDescent="0.2">
      <c r="A18" t="s">
        <v>150</v>
      </c>
      <c r="B18" s="3">
        <v>45</v>
      </c>
      <c r="C18" s="3">
        <v>40</v>
      </c>
      <c r="D18" s="4">
        <f>85-(B18+C18)</f>
        <v>0</v>
      </c>
      <c r="E18" s="13">
        <v>2.5964285714285702</v>
      </c>
      <c r="F18" s="13">
        <v>2.5387499999999998</v>
      </c>
      <c r="G18" s="5">
        <v>0.56318114809167996</v>
      </c>
      <c r="H18" s="5">
        <v>0.73093174643650405</v>
      </c>
      <c r="I18" s="15">
        <v>0.40996037699999999</v>
      </c>
      <c r="J18" s="15">
        <v>0.40378308099999999</v>
      </c>
      <c r="K18" s="3">
        <v>83</v>
      </c>
      <c r="L18" s="15">
        <v>73.002331760000004</v>
      </c>
      <c r="M18" s="15">
        <f t="shared" si="0"/>
        <v>9.451696052281805E-2</v>
      </c>
      <c r="N18" s="15">
        <v>8.9139937748012002E-2</v>
      </c>
    </row>
    <row r="19" spans="1:14" ht="12.75" customHeight="1" x14ac:dyDescent="0.2">
      <c r="A19" t="s">
        <v>151</v>
      </c>
      <c r="B19" s="3">
        <v>487</v>
      </c>
      <c r="C19" s="3">
        <v>495</v>
      </c>
      <c r="D19" s="4">
        <f>1000-(B19+C19)</f>
        <v>18</v>
      </c>
      <c r="E19" s="13">
        <v>3.2103867214236801</v>
      </c>
      <c r="F19" s="13">
        <v>3.0992664742664702</v>
      </c>
      <c r="G19" s="5">
        <v>1.19421291748837</v>
      </c>
      <c r="H19" s="5">
        <v>1.1536966070719701</v>
      </c>
      <c r="I19" s="15">
        <v>1.4830291550000001</v>
      </c>
      <c r="J19" s="15">
        <v>1.48261194</v>
      </c>
      <c r="K19" s="3">
        <v>980</v>
      </c>
      <c r="L19" s="15">
        <v>977.47728370000004</v>
      </c>
      <c r="M19" s="15">
        <f t="shared" si="0"/>
        <v>9.4842753128378435E-2</v>
      </c>
      <c r="N19" s="15">
        <v>9.4654624460470002E-2</v>
      </c>
    </row>
    <row r="20" spans="1:14" ht="12.75" customHeight="1" x14ac:dyDescent="0.2">
      <c r="A20" t="s">
        <v>152</v>
      </c>
      <c r="B20" s="3">
        <v>35</v>
      </c>
      <c r="C20" s="3">
        <v>62</v>
      </c>
      <c r="D20" s="4">
        <f>107-(B20+C20)</f>
        <v>10</v>
      </c>
      <c r="E20" s="13">
        <v>3.5918367346938802</v>
      </c>
      <c r="F20" s="13">
        <v>3.3466781874039899</v>
      </c>
      <c r="G20" s="5">
        <v>0.86280455565088998</v>
      </c>
      <c r="H20" s="5">
        <v>0.90077718450662903</v>
      </c>
      <c r="I20" s="15">
        <v>1.3067258470000001</v>
      </c>
      <c r="J20" s="15">
        <v>1.3226415499999999</v>
      </c>
      <c r="K20" s="3">
        <v>95</v>
      </c>
      <c r="L20" s="15">
        <v>73.254420339999996</v>
      </c>
      <c r="M20" s="15">
        <f t="shared" si="0"/>
        <v>0.30906885218865354</v>
      </c>
      <c r="N20" s="15">
        <v>0.27802345840571802</v>
      </c>
    </row>
    <row r="21" spans="1:14" ht="12.75" customHeight="1" x14ac:dyDescent="0.2">
      <c r="A21" t="s">
        <v>153</v>
      </c>
      <c r="B21" s="3">
        <v>58</v>
      </c>
      <c r="C21" s="3">
        <v>63</v>
      </c>
      <c r="D21" s="4">
        <f>123-(B21+C21)</f>
        <v>2</v>
      </c>
      <c r="E21" s="13">
        <v>2.29649014778325</v>
      </c>
      <c r="F21" s="13">
        <v>2.30045351473923</v>
      </c>
      <c r="G21" s="5">
        <v>0.71422258222862101</v>
      </c>
      <c r="H21" s="5">
        <v>0.72131862899987098</v>
      </c>
      <c r="I21" s="15">
        <v>-3.0337145999999999E-2</v>
      </c>
      <c r="J21" s="15">
        <v>-3.0349645000000001E-2</v>
      </c>
      <c r="K21" s="3">
        <v>119</v>
      </c>
      <c r="L21" s="15">
        <v>118.3600515</v>
      </c>
      <c r="M21" s="15">
        <f t="shared" si="0"/>
        <v>-5.5793170130375627E-3</v>
      </c>
      <c r="N21" s="15">
        <v>-5.5217738438670004E-3</v>
      </c>
    </row>
    <row r="22" spans="1:14" ht="12.75" customHeight="1" x14ac:dyDescent="0.2">
      <c r="A22" t="s">
        <v>154</v>
      </c>
      <c r="B22" s="3">
        <v>654</v>
      </c>
      <c r="C22" s="3">
        <v>666</v>
      </c>
      <c r="D22" s="4">
        <f>1329-(B22+C22)</f>
        <v>9</v>
      </c>
      <c r="E22" s="13">
        <v>2.9172400611620799</v>
      </c>
      <c r="F22" s="13">
        <v>2.8891748891748898</v>
      </c>
      <c r="G22" s="5">
        <v>1.1232703527405099</v>
      </c>
      <c r="H22" s="5">
        <v>1.0593211650309999</v>
      </c>
      <c r="I22" s="15">
        <v>0.467082628</v>
      </c>
      <c r="J22" s="15">
        <v>0.46683389400000003</v>
      </c>
      <c r="K22" s="3">
        <v>1318</v>
      </c>
      <c r="L22" s="15">
        <v>1310.289327</v>
      </c>
      <c r="M22" s="15">
        <f t="shared" si="0"/>
        <v>2.5793410737422223E-2</v>
      </c>
      <c r="N22" s="15">
        <v>2.5717292272671E-2</v>
      </c>
    </row>
    <row r="23" spans="1:14" ht="12.75" customHeight="1" x14ac:dyDescent="0.2">
      <c r="A23" t="s">
        <v>155</v>
      </c>
      <c r="B23" s="3">
        <v>46</v>
      </c>
      <c r="C23" s="3">
        <v>45</v>
      </c>
      <c r="D23" s="4">
        <f>95-(B23+C23)</f>
        <v>4</v>
      </c>
      <c r="E23" s="13">
        <v>3.3858695652173898</v>
      </c>
      <c r="F23" s="13">
        <v>3.3730158730158699</v>
      </c>
      <c r="G23" s="5">
        <v>0.73211361014821397</v>
      </c>
      <c r="H23" s="5">
        <v>0.77800436410000195</v>
      </c>
      <c r="I23" s="15">
        <v>8.1181907999999997E-2</v>
      </c>
      <c r="J23" s="15">
        <v>8.1127146999999997E-2</v>
      </c>
      <c r="K23" s="3">
        <v>89</v>
      </c>
      <c r="L23" s="15">
        <v>88.392471880000002</v>
      </c>
      <c r="M23" s="15">
        <f t="shared" si="0"/>
        <v>1.7257924295097406E-2</v>
      </c>
      <c r="N23" s="15">
        <v>1.7023427865518002E-2</v>
      </c>
    </row>
    <row r="24" spans="1:14" ht="12.75" customHeight="1" x14ac:dyDescent="0.2">
      <c r="A24" t="s">
        <v>156</v>
      </c>
      <c r="B24" s="3">
        <v>48</v>
      </c>
      <c r="C24" s="3">
        <v>51</v>
      </c>
      <c r="D24" s="4">
        <f>103-(B24+C24)</f>
        <v>4</v>
      </c>
      <c r="E24" s="13">
        <v>3.1302083333333299</v>
      </c>
      <c r="F24" s="13">
        <v>3.3039215686274499</v>
      </c>
      <c r="G24" s="5">
        <v>0.79097230654196204</v>
      </c>
      <c r="H24" s="5">
        <v>0.77267995556083302</v>
      </c>
      <c r="I24" s="15">
        <v>-1.1051934130000001</v>
      </c>
      <c r="J24" s="15">
        <v>-1.1044021399999999</v>
      </c>
      <c r="K24" s="3">
        <v>97</v>
      </c>
      <c r="L24" s="15">
        <v>96.310251019999995</v>
      </c>
      <c r="M24" s="15">
        <f t="shared" si="0"/>
        <v>-0.22507174484280329</v>
      </c>
      <c r="N24" s="15">
        <v>-0.222189088334139</v>
      </c>
    </row>
    <row r="25" spans="1:14" ht="12.75" customHeight="1" x14ac:dyDescent="0.2">
      <c r="A25" t="s">
        <v>157</v>
      </c>
      <c r="B25" s="3">
        <v>48</v>
      </c>
      <c r="C25" s="3">
        <v>37</v>
      </c>
      <c r="D25" s="4">
        <f>86-(B25+C25)</f>
        <v>1</v>
      </c>
      <c r="E25" s="13">
        <v>3.1041666666666701</v>
      </c>
      <c r="F25" s="13">
        <v>3.0883204633204602</v>
      </c>
      <c r="G25" s="5">
        <v>0.74436416771926694</v>
      </c>
      <c r="H25" s="5">
        <v>0.76768346533840004</v>
      </c>
      <c r="I25" s="15">
        <v>9.5992963000000001E-2</v>
      </c>
      <c r="J25" s="15">
        <v>9.5606027999999996E-2</v>
      </c>
      <c r="K25" s="3">
        <v>83</v>
      </c>
      <c r="L25" s="15">
        <v>76.365871630000001</v>
      </c>
      <c r="M25" s="15">
        <f t="shared" si="0"/>
        <v>2.1880921834563069E-2</v>
      </c>
      <c r="N25" s="15">
        <v>2.0959926128992001E-2</v>
      </c>
    </row>
    <row r="26" spans="1:14" ht="12.75" customHeight="1" x14ac:dyDescent="0.2">
      <c r="A26" t="s">
        <v>158</v>
      </c>
      <c r="B26" s="3">
        <v>86</v>
      </c>
      <c r="C26" s="3">
        <v>74</v>
      </c>
      <c r="D26" s="4">
        <f>162-(B26+C26)</f>
        <v>2</v>
      </c>
      <c r="E26" s="13">
        <v>3.0581395348837201</v>
      </c>
      <c r="F26" s="13">
        <v>3.14628378378378</v>
      </c>
      <c r="G26" s="5">
        <v>0.77262388936571502</v>
      </c>
      <c r="H26" s="5">
        <v>0.78467428929548699</v>
      </c>
      <c r="I26" s="15">
        <v>-0.71433127100000005</v>
      </c>
      <c r="J26" s="15">
        <v>-0.71349742800000004</v>
      </c>
      <c r="K26" s="3">
        <v>158</v>
      </c>
      <c r="L26" s="15">
        <v>153.72301150000001</v>
      </c>
      <c r="M26" s="15">
        <f t="shared" si="0"/>
        <v>-0.11509407466843478</v>
      </c>
      <c r="N26" s="15">
        <v>-0.11320150515534499</v>
      </c>
    </row>
    <row r="27" spans="1:14" ht="12.75" customHeight="1" x14ac:dyDescent="0.2">
      <c r="A27" t="s">
        <v>159</v>
      </c>
      <c r="B27" s="3">
        <v>34</v>
      </c>
      <c r="C27" s="3">
        <v>44</v>
      </c>
      <c r="D27" s="4">
        <f>79-(B27+C27)</f>
        <v>1</v>
      </c>
      <c r="E27" s="13">
        <v>3.1727941176470602</v>
      </c>
      <c r="F27" s="13">
        <v>3.03125</v>
      </c>
      <c r="G27" s="5">
        <v>0.72497041859867495</v>
      </c>
      <c r="H27" s="5">
        <v>0.75054486022442501</v>
      </c>
      <c r="I27" s="15">
        <v>0.83819193400000003</v>
      </c>
      <c r="J27" s="15">
        <v>0.84197325300000003</v>
      </c>
      <c r="K27" s="3">
        <v>76</v>
      </c>
      <c r="L27" s="15">
        <v>72.259305650000002</v>
      </c>
      <c r="M27" s="15">
        <f t="shared" si="0"/>
        <v>0.19809859671382254</v>
      </c>
      <c r="N27" s="15">
        <v>0.19185720362036099</v>
      </c>
    </row>
    <row r="28" spans="1:14" ht="12.75" customHeight="1" x14ac:dyDescent="0.2">
      <c r="A28" t="s">
        <v>160</v>
      </c>
      <c r="B28" s="3">
        <v>90</v>
      </c>
      <c r="C28" s="3">
        <v>79</v>
      </c>
      <c r="D28" s="4">
        <f>169-(B28+C28)</f>
        <v>0</v>
      </c>
      <c r="E28" s="13">
        <v>2.82519841269841</v>
      </c>
      <c r="F28" s="13">
        <v>3.0287974683544299</v>
      </c>
      <c r="G28" s="5">
        <v>0.88901458234875397</v>
      </c>
      <c r="H28" s="5">
        <v>0.95602918606541198</v>
      </c>
      <c r="I28" s="15">
        <v>-1.4339842629999999</v>
      </c>
      <c r="J28" s="15">
        <v>-1.42718835</v>
      </c>
      <c r="K28" s="3">
        <v>167</v>
      </c>
      <c r="L28" s="15">
        <v>160.37177130000001</v>
      </c>
      <c r="M28" s="15">
        <f t="shared" si="0"/>
        <v>-0.22539658130273271</v>
      </c>
      <c r="N28" s="15">
        <v>-0.22069834780235401</v>
      </c>
    </row>
    <row r="29" spans="1:14" ht="12.75" customHeight="1" x14ac:dyDescent="0.2">
      <c r="A29" t="s">
        <v>161</v>
      </c>
      <c r="B29" s="3">
        <v>107</v>
      </c>
      <c r="C29" s="3">
        <v>75</v>
      </c>
      <c r="D29" s="4">
        <f>187-(B29+C29)</f>
        <v>5</v>
      </c>
      <c r="E29" s="13">
        <v>3.9236760124610601</v>
      </c>
      <c r="F29" s="13">
        <v>4.1902380952380902</v>
      </c>
      <c r="G29" s="5">
        <v>0.94727962333371496</v>
      </c>
      <c r="H29" s="5">
        <v>1.03943336618715</v>
      </c>
      <c r="I29" s="15">
        <v>-1.7948026109999999</v>
      </c>
      <c r="J29" s="15">
        <v>-1.7656616350000001</v>
      </c>
      <c r="K29" s="3">
        <v>180</v>
      </c>
      <c r="L29" s="15">
        <v>149.7971124</v>
      </c>
      <c r="M29" s="15">
        <f t="shared" si="0"/>
        <v>-0.28852653182228694</v>
      </c>
      <c r="N29" s="15">
        <v>-0.26834483308162399</v>
      </c>
    </row>
    <row r="30" spans="1:14" ht="12.75" customHeight="1" x14ac:dyDescent="0.2">
      <c r="A30" t="s">
        <v>162</v>
      </c>
      <c r="B30" s="3">
        <v>48</v>
      </c>
      <c r="C30" s="3">
        <v>38</v>
      </c>
      <c r="D30" s="4">
        <f>87-(B30+C30)</f>
        <v>1</v>
      </c>
      <c r="E30" s="13">
        <v>3.7942708333333299</v>
      </c>
      <c r="F30" s="13">
        <v>3.5263157894736801</v>
      </c>
      <c r="G30" s="5">
        <v>0.99583226690645898</v>
      </c>
      <c r="H30" s="5">
        <v>0.99668279822845096</v>
      </c>
      <c r="I30" s="15">
        <v>1.2387268199999999</v>
      </c>
      <c r="J30" s="15">
        <v>1.2386023939999999</v>
      </c>
      <c r="K30" s="3">
        <v>84</v>
      </c>
      <c r="L30" s="15">
        <v>79.501974469999993</v>
      </c>
      <c r="M30" s="15">
        <f t="shared" si="0"/>
        <v>0.27782604298241798</v>
      </c>
      <c r="N30" s="15">
        <v>0.268961623977991</v>
      </c>
    </row>
    <row r="31" spans="1:14" ht="12.75" customHeight="1" x14ac:dyDescent="0.2">
      <c r="A31" t="s">
        <v>163</v>
      </c>
      <c r="B31" s="3">
        <v>113</v>
      </c>
      <c r="C31" s="3">
        <v>105</v>
      </c>
      <c r="D31" s="4">
        <f>225-(B31+C31)</f>
        <v>7</v>
      </c>
      <c r="E31" s="13">
        <v>4.0189633375474099</v>
      </c>
      <c r="F31" s="13">
        <v>4.0482993197278896</v>
      </c>
      <c r="G31" s="5">
        <v>1.0500613961952101</v>
      </c>
      <c r="H31" s="5">
        <v>0.99211014956566002</v>
      </c>
      <c r="I31" s="15">
        <v>-0.211647742</v>
      </c>
      <c r="J31" s="15">
        <v>-0.212090692</v>
      </c>
      <c r="K31" s="3">
        <v>216</v>
      </c>
      <c r="L31" s="15">
        <v>215.93762820000001</v>
      </c>
      <c r="M31" s="15">
        <f t="shared" si="0"/>
        <v>-2.8866055435366151E-2</v>
      </c>
      <c r="N31" s="15">
        <v>-2.8730184044899E-2</v>
      </c>
    </row>
    <row r="32" spans="1:14" ht="12.75" customHeight="1" x14ac:dyDescent="0.2">
      <c r="A32" t="s">
        <v>164</v>
      </c>
      <c r="B32" s="3">
        <v>42</v>
      </c>
      <c r="C32" s="3">
        <v>37</v>
      </c>
      <c r="D32" s="4">
        <f>80-(B32+C32)</f>
        <v>1</v>
      </c>
      <c r="E32" s="13">
        <v>2.83928571428571</v>
      </c>
      <c r="F32" s="13">
        <v>2.7258687258687302</v>
      </c>
      <c r="G32" s="5">
        <v>0.56934233714357796</v>
      </c>
      <c r="H32" s="5">
        <v>0.53088458181087805</v>
      </c>
      <c r="I32" s="15">
        <v>0.91178057000000001</v>
      </c>
      <c r="J32" s="15">
        <v>0.91587118700000003</v>
      </c>
      <c r="K32" s="3">
        <v>77</v>
      </c>
      <c r="L32" s="15">
        <v>76.737410460000007</v>
      </c>
      <c r="M32" s="15">
        <f t="shared" si="0"/>
        <v>0.20910326897073975</v>
      </c>
      <c r="N32" s="15">
        <v>0.20617017537576399</v>
      </c>
    </row>
    <row r="33" spans="1:14" ht="12.75" customHeight="1" x14ac:dyDescent="0.2">
      <c r="A33" t="s">
        <v>165</v>
      </c>
      <c r="B33" s="3">
        <v>53</v>
      </c>
      <c r="C33" s="3">
        <v>73</v>
      </c>
      <c r="D33" s="4">
        <f>127-(B33+C33)</f>
        <v>1</v>
      </c>
      <c r="E33" s="13">
        <v>3.40330188679245</v>
      </c>
      <c r="F33" s="13">
        <v>3.5117416829745598</v>
      </c>
      <c r="G33" s="5">
        <v>1.0379347760911799</v>
      </c>
      <c r="H33" s="5">
        <v>0.86601118254130205</v>
      </c>
      <c r="I33" s="15">
        <v>-0.63794202799999999</v>
      </c>
      <c r="J33" s="15">
        <v>-0.61990690100000001</v>
      </c>
      <c r="K33" s="3">
        <v>124</v>
      </c>
      <c r="L33" s="15">
        <v>99.492317510000007</v>
      </c>
      <c r="M33" s="15">
        <f t="shared" si="0"/>
        <v>-0.1242972994894596</v>
      </c>
      <c r="N33" s="15">
        <v>-0.11391058206294399</v>
      </c>
    </row>
    <row r="34" spans="1:14" ht="12.75" customHeight="1" x14ac:dyDescent="0.2">
      <c r="A34" t="s">
        <v>166</v>
      </c>
      <c r="B34" s="3">
        <v>69</v>
      </c>
      <c r="C34" s="3">
        <v>73</v>
      </c>
      <c r="D34" s="4">
        <f>144-(B34+C34)</f>
        <v>2</v>
      </c>
      <c r="E34" s="13">
        <v>2.8444616977225698</v>
      </c>
      <c r="F34" s="13">
        <v>2.44006849315068</v>
      </c>
      <c r="G34" s="5">
        <v>0.97920253836037896</v>
      </c>
      <c r="H34" s="5">
        <v>0.65089067883868701</v>
      </c>
      <c r="I34" s="15">
        <v>2.9130219570000002</v>
      </c>
      <c r="J34" s="15">
        <v>2.881201243</v>
      </c>
      <c r="K34" s="3">
        <v>140</v>
      </c>
      <c r="L34" s="15">
        <v>117.33105550000001</v>
      </c>
      <c r="M34" s="15">
        <f t="shared" si="0"/>
        <v>0.53198219902254307</v>
      </c>
      <c r="N34" s="15">
        <v>0.49615960646316598</v>
      </c>
    </row>
    <row r="35" spans="1:14" ht="12.75" customHeight="1" x14ac:dyDescent="0.2">
      <c r="A35" t="s">
        <v>167</v>
      </c>
      <c r="B35" s="3">
        <v>36</v>
      </c>
      <c r="C35" s="3">
        <v>44</v>
      </c>
      <c r="D35" s="4">
        <f>81-(B35+C35)</f>
        <v>1</v>
      </c>
      <c r="E35" s="13">
        <v>3.0347222222222201</v>
      </c>
      <c r="F35" s="13">
        <v>3.1761363636363602</v>
      </c>
      <c r="G35" s="5">
        <v>0.89023026270449901</v>
      </c>
      <c r="H35" s="5">
        <v>0.99245635112053798</v>
      </c>
      <c r="I35" s="15">
        <v>-0.66380410700000003</v>
      </c>
      <c r="J35" s="15">
        <v>-0.671123044</v>
      </c>
      <c r="K35" s="3">
        <v>78</v>
      </c>
      <c r="L35" s="15">
        <v>77.306762309999996</v>
      </c>
      <c r="M35" s="15">
        <f t="shared" si="0"/>
        <v>-0.152659348425565</v>
      </c>
      <c r="N35" s="15">
        <v>-0.15022589567026401</v>
      </c>
    </row>
    <row r="36" spans="1:14" ht="12.75" customHeight="1" x14ac:dyDescent="0.2">
      <c r="A36" t="s">
        <v>168</v>
      </c>
      <c r="B36" s="3">
        <v>53</v>
      </c>
      <c r="C36" s="3">
        <v>52</v>
      </c>
      <c r="D36" s="4">
        <f>108-(B36+C36)</f>
        <v>3</v>
      </c>
      <c r="E36" s="13">
        <v>3.10646900269542</v>
      </c>
      <c r="F36" s="13">
        <v>3.1658653846153801</v>
      </c>
      <c r="G36" s="5">
        <v>0.93951550917265303</v>
      </c>
      <c r="H36" s="5">
        <v>0.69355721853133401</v>
      </c>
      <c r="I36" s="15">
        <v>-0.36799227499999998</v>
      </c>
      <c r="J36" s="15">
        <v>-0.36903602099999999</v>
      </c>
      <c r="K36" s="3">
        <v>103</v>
      </c>
      <c r="L36" s="15">
        <v>95.703238540000001</v>
      </c>
      <c r="M36" s="15">
        <f t="shared" si="0"/>
        <v>-7.5445864192861103E-2</v>
      </c>
      <c r="N36" s="15">
        <v>-7.2741869865740993E-2</v>
      </c>
    </row>
    <row r="37" spans="1:14" ht="12.75" customHeight="1" x14ac:dyDescent="0.2">
      <c r="A37" t="s">
        <v>169</v>
      </c>
      <c r="B37" s="3">
        <v>38</v>
      </c>
      <c r="C37" s="3">
        <v>57</v>
      </c>
      <c r="D37" s="4">
        <f>96-(B37+C37)</f>
        <v>1</v>
      </c>
      <c r="E37" s="13">
        <v>2.9967105263157898</v>
      </c>
      <c r="F37" s="13">
        <v>3.02067669172932</v>
      </c>
      <c r="G37" s="5">
        <v>0.72041117793355203</v>
      </c>
      <c r="H37" s="5">
        <v>0.86378557401494205</v>
      </c>
      <c r="I37" s="15">
        <v>-0.141316636</v>
      </c>
      <c r="J37" s="15">
        <v>-0.146539951</v>
      </c>
      <c r="K37" s="3">
        <v>93</v>
      </c>
      <c r="L37" s="15">
        <v>88.312520199999994</v>
      </c>
      <c r="M37" s="15">
        <f t="shared" si="0"/>
        <v>-3.1187093218205987E-2</v>
      </c>
      <c r="N37" s="15">
        <v>-3.0256551636097001E-2</v>
      </c>
    </row>
    <row r="38" spans="1:14" ht="12.75" customHeight="1" x14ac:dyDescent="0.2">
      <c r="A38" t="s">
        <v>170</v>
      </c>
      <c r="B38" s="3">
        <v>44</v>
      </c>
      <c r="C38" s="3">
        <v>55</v>
      </c>
      <c r="D38" s="4">
        <f>103-(B38+C38)</f>
        <v>4</v>
      </c>
      <c r="E38" s="13">
        <v>3.7329545454545499</v>
      </c>
      <c r="F38" s="13">
        <v>3.62922077922078</v>
      </c>
      <c r="G38" s="5">
        <v>0.85274476005004696</v>
      </c>
      <c r="H38" s="5">
        <v>1.0108886333512099</v>
      </c>
      <c r="I38" s="15">
        <v>0.54326470199999999</v>
      </c>
      <c r="J38" s="15">
        <v>0.55363785300000001</v>
      </c>
      <c r="K38" s="3">
        <v>97</v>
      </c>
      <c r="L38" s="15">
        <v>96.704563519999994</v>
      </c>
      <c r="M38" s="15">
        <f t="shared" si="0"/>
        <v>0.11259841752555053</v>
      </c>
      <c r="N38" s="15">
        <v>0.11132421923868301</v>
      </c>
    </row>
    <row r="39" spans="1:14" ht="12.75" customHeight="1" x14ac:dyDescent="0.2">
      <c r="A39" t="s">
        <v>171</v>
      </c>
      <c r="B39" s="3">
        <v>53</v>
      </c>
      <c r="C39" s="3">
        <v>36</v>
      </c>
      <c r="D39" s="4">
        <f>90-(B39+C39)</f>
        <v>1</v>
      </c>
      <c r="E39" s="13">
        <v>3.0259433962264199</v>
      </c>
      <c r="F39" s="13">
        <v>3.1026785714285698</v>
      </c>
      <c r="G39" s="5">
        <v>0.81207773441610698</v>
      </c>
      <c r="H39" s="5">
        <v>0.84663386600184198</v>
      </c>
      <c r="I39" s="15">
        <v>-0.43005892499999998</v>
      </c>
      <c r="J39" s="15">
        <v>-0.42661186499999998</v>
      </c>
      <c r="K39" s="3">
        <v>87</v>
      </c>
      <c r="L39" s="15">
        <v>73.178120680000006</v>
      </c>
      <c r="M39" s="15">
        <f t="shared" si="0"/>
        <v>-9.9740674224218784E-2</v>
      </c>
      <c r="N39" s="15">
        <v>-9.2523830161700002E-2</v>
      </c>
    </row>
    <row r="40" spans="1:14" ht="12.75" customHeight="1" x14ac:dyDescent="0.2">
      <c r="A40" t="s">
        <v>172</v>
      </c>
      <c r="B40" s="3">
        <v>38</v>
      </c>
      <c r="C40" s="3">
        <v>48</v>
      </c>
      <c r="D40" s="4">
        <f>87-(B40+C40)</f>
        <v>1</v>
      </c>
      <c r="E40" s="13">
        <v>3.0700187969924801</v>
      </c>
      <c r="F40" s="13">
        <v>2.9962797619047601</v>
      </c>
      <c r="G40" s="5">
        <v>0.92953971621853604</v>
      </c>
      <c r="H40" s="5">
        <v>0.81905430569270499</v>
      </c>
      <c r="I40" s="15">
        <v>0.39058437099999999</v>
      </c>
      <c r="J40" s="15">
        <v>0.38484100900000001</v>
      </c>
      <c r="K40" s="3">
        <v>84</v>
      </c>
      <c r="L40" s="15">
        <v>74.350098009999996</v>
      </c>
      <c r="M40" s="15">
        <f t="shared" si="0"/>
        <v>8.9262812729772253E-2</v>
      </c>
      <c r="N40" s="15">
        <v>8.4340943825397002E-2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Table 2</vt:lpstr>
      <vt:lpstr>Table 3</vt:lpstr>
      <vt:lpstr>Sunk Costs</vt:lpstr>
      <vt:lpstr>Anchoring1</vt:lpstr>
      <vt:lpstr>Anchoring2</vt:lpstr>
      <vt:lpstr>Anchoring3</vt:lpstr>
      <vt:lpstr>Anchoring4</vt:lpstr>
      <vt:lpstr>Gambler's Fallacy</vt:lpstr>
      <vt:lpstr>Flag Priming</vt:lpstr>
      <vt:lpstr>Quote Attribution</vt:lpstr>
      <vt:lpstr>Money Priming</vt:lpstr>
      <vt:lpstr>Imagined Contact</vt:lpstr>
      <vt:lpstr>Math_Art Gender</vt:lpstr>
      <vt:lpstr>IAT correlation</vt:lpstr>
      <vt:lpstr>Gain_Loss</vt:lpstr>
      <vt:lpstr>Allowed_forbidden</vt:lpstr>
      <vt:lpstr>Reciprocity</vt:lpstr>
      <vt:lpstr>Scales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Klein</cp:lastModifiedBy>
  <dcterms:modified xsi:type="dcterms:W3CDTF">2013-12-05T19:59:51Z</dcterms:modified>
</cp:coreProperties>
</file>