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updateLinks="never" codeName="EstaPastaDeTrabalho"/>
  <mc:AlternateContent xmlns:mc="http://schemas.openxmlformats.org/markup-compatibility/2006">
    <mc:Choice Requires="x15">
      <x15ac:absPath xmlns:x15ac="http://schemas.microsoft.com/office/spreadsheetml/2010/11/ac" url="/Users/ectorrodrigues/Sites/powergrowth/"/>
    </mc:Choice>
  </mc:AlternateContent>
  <xr:revisionPtr revIDLastSave="0" documentId="8_{982CDE6A-843F-4349-AF16-B1064E308F13}" xr6:coauthVersionLast="47" xr6:coauthVersionMax="47" xr10:uidLastSave="{00000000-0000-0000-0000-000000000000}"/>
  <bookViews>
    <workbookView xWindow="0" yWindow="760" windowWidth="34560" windowHeight="20660" xr2:uid="{00000000-000D-0000-FFFF-FFFF00000000}"/>
  </bookViews>
  <sheets>
    <sheet name="Dados" sheetId="2" r:id="rId1"/>
    <sheet name="RELATÓRIO FINANCEIRO" sheetId="29" r:id="rId2"/>
    <sheet name="RELATÓRIO TÉCNICO" sheetId="23" r:id="rId3"/>
    <sheet name="Programa PG" sheetId="1" r:id="rId4"/>
    <sheet name="Viabilidade" sheetId="7" r:id="rId5"/>
    <sheet name="Agrifirm" sheetId="25" r:id="rId6"/>
    <sheet name="Concorrente" sheetId="26" r:id="rId7"/>
    <sheet name="Necessidades" sheetId="28" r:id="rId8"/>
    <sheet name="dados2" sheetId="3" r:id="rId9"/>
    <sheet name="Literatura" sheetId="5" state="hidden" r:id="rId10"/>
    <sheet name="Protocolo2" sheetId="16" state="hidden" r:id="rId11"/>
    <sheet name="Parâmetros" sheetId="22" r:id="rId12"/>
  </sheets>
  <externalReferences>
    <externalReference r:id="rId13"/>
  </externalReferences>
  <definedNames>
    <definedName name="Aditivos" localSheetId="7">#REF!</definedName>
    <definedName name="Aditivos">#REF!</definedName>
    <definedName name="AGCM" localSheetId="7">#REF!</definedName>
    <definedName name="AGCM">#REF!</definedName>
    <definedName name="_xlnm.Print_Area" localSheetId="11">Parâmetros!$B:$X</definedName>
    <definedName name="Classificação" localSheetId="11">Parâmetros!#REF!</definedName>
    <definedName name="Classificação">[1]Parâmetros!$L$3:$L$4</definedName>
    <definedName name="Curaumbigo" localSheetId="7">#REF!</definedName>
    <definedName name="Curaumbigo">#REF!</definedName>
    <definedName name="Custoscriação" localSheetId="7">#REF!</definedName>
    <definedName name="Custoscriação">#REF!</definedName>
    <definedName name="Diluição">#REF!</definedName>
    <definedName name="Enriquecimento" localSheetId="5">Agrifirm!$G$40:$G$45</definedName>
    <definedName name="Enriquecimento" localSheetId="6">Concorrente!$G$40:$G$45</definedName>
    <definedName name="Enriquecimento" localSheetId="1">'RELATÓRIO FINANCEIRO'!#REF!</definedName>
    <definedName name="Enriquecimento" localSheetId="2">'RELATÓRIO TÉCNICO'!#REF!</definedName>
    <definedName name="Enriquecimento">dados2!$B$65:$B$68</definedName>
    <definedName name="Enriquecimento.">dados2!$B$65:$B$68</definedName>
    <definedName name="GPD" localSheetId="5">[1]Necessidades!$A$2:$A$7</definedName>
    <definedName name="GPD" localSheetId="6">[1]Necessidades!$A$2:$A$7</definedName>
    <definedName name="GPD" localSheetId="7">#REF!</definedName>
    <definedName name="GPD" localSheetId="1">[1]Necessidades!$A$2:$A$7</definedName>
    <definedName name="GPD" localSheetId="2">[1]Necessidades!$A$2:$A$7</definedName>
    <definedName name="GPD">#REF!</definedName>
    <definedName name="Leite">dados2!$B$4:$B$8</definedName>
    <definedName name="leite2" localSheetId="5">Agrifirm!$F$40:$F$49</definedName>
    <definedName name="leite2" localSheetId="6">Concorrente!$F$40:$F$49</definedName>
    <definedName name="leite2" localSheetId="7">#REF!</definedName>
    <definedName name="leite2" localSheetId="1">'RELATÓRIO FINANCEIRO'!#REF!</definedName>
    <definedName name="leite2" localSheetId="2">'RELATÓRIO TÉCNICO'!#REF!</definedName>
    <definedName name="leite2">#REF!</definedName>
    <definedName name="Leites" localSheetId="11">Parâmetros!$B$3:$B$8</definedName>
    <definedName name="Leites">[1]Parâmetros!$B$8:$B$13</definedName>
    <definedName name="Monensina" localSheetId="7">#REF!</definedName>
    <definedName name="Monensina">#REF!</definedName>
    <definedName name="Necessidades" localSheetId="7">#REF!</definedName>
    <definedName name="Necessidades">#REF!</definedName>
    <definedName name="Parcial">dados2!$A$82:$A$90</definedName>
    <definedName name="PC">dados2!$D$48:$D$51</definedName>
    <definedName name="PreInicial" localSheetId="7">#REF!</definedName>
    <definedName name="PreInicial">#REF!</definedName>
    <definedName name="Ração">dados2!$B$12:$B$19</definedName>
    <definedName name="ração2" localSheetId="5">Agrifirm!$H$40:$H$49</definedName>
    <definedName name="ração2" localSheetId="6">Concorrente!$H$40:$H$49</definedName>
    <definedName name="ração2" localSheetId="7">#REF!</definedName>
    <definedName name="ração2" localSheetId="1">'RELATÓRIO FINANCEIRO'!#REF!</definedName>
    <definedName name="ração2" localSheetId="2">'RELATÓRIO TÉCNICO'!#REF!</definedName>
    <definedName name="ração2">#REF!</definedName>
    <definedName name="Raças">dados2!$B$42:$B$44</definedName>
    <definedName name="Rações" localSheetId="11">Parâmetros!$B$10:$B$11</definedName>
    <definedName name="Rações">[1]Parâmetros!$B$15:$B$16</definedName>
    <definedName name="Substituição.">dados2!$B$4:$B$8</definedName>
    <definedName name="Substituição.Total">dados2!$B$59:$B$62</definedName>
    <definedName name="TSFoR" localSheetId="7">#REF!</definedName>
    <definedName name="TSFoR">#REF!</definedName>
    <definedName name="Uso">dados2!$A$53:$A$55</definedName>
    <definedName name="Vetilac" localSheetId="5">[1]Parâmetros!$B$10:$B$13</definedName>
    <definedName name="Vetilac" localSheetId="6">[1]Parâmetros!$B$10:$B$13</definedName>
    <definedName name="Vetilac" localSheetId="1">[1]Parâmetros!$B$10:$B$13</definedName>
    <definedName name="Vetilac" localSheetId="2">[1]Parâmetros!$B$10:$B$13</definedName>
    <definedName name="Vetilac">Dados!#REF!</definedName>
    <definedName name="VetilacAzul" localSheetId="7">#REF!</definedName>
    <definedName name="VetilacAzul">#REF!</definedName>
    <definedName name="VetilacPremium" localSheetId="7">#REF!</definedName>
    <definedName name="VetilacPremium">#REF!</definedName>
    <definedName name="VetilacUltra" localSheetId="7">#REF!</definedName>
    <definedName name="VetilacUltra">#REF!</definedName>
    <definedName name="Volumo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1" i="28" l="1"/>
  <c r="N88" i="28"/>
  <c r="G20" i="29"/>
  <c r="G17" i="29"/>
  <c r="B2" i="29" l="1"/>
  <c r="B8" i="29"/>
  <c r="B7" i="29"/>
  <c r="B6" i="29"/>
  <c r="B5" i="29"/>
  <c r="B4" i="29"/>
  <c r="B3" i="29"/>
  <c r="B1" i="29"/>
  <c r="B8" i="23"/>
  <c r="B2" i="23"/>
  <c r="B3" i="23"/>
  <c r="B4" i="23"/>
  <c r="B5" i="23"/>
  <c r="B6" i="23"/>
  <c r="B7" i="23"/>
  <c r="B1" i="23"/>
  <c r="D47" i="23"/>
  <c r="C34" i="29"/>
  <c r="D16" i="26"/>
  <c r="B34" i="29" l="1"/>
  <c r="C13" i="26"/>
  <c r="C13" i="25"/>
  <c r="D16" i="25"/>
  <c r="C16" i="25" s="1"/>
  <c r="G1" i="28"/>
  <c r="G59" i="28"/>
  <c r="H92" i="28" s="1"/>
  <c r="D12" i="26"/>
  <c r="B3" i="7"/>
  <c r="B12" i="23" s="1"/>
  <c r="C47" i="23" s="1"/>
  <c r="C20" i="2"/>
  <c r="B7" i="7"/>
  <c r="M15" i="2"/>
  <c r="O39" i="28"/>
  <c r="P10" i="28" s="1"/>
  <c r="P39" i="28"/>
  <c r="Q10" i="28" s="1"/>
  <c r="Q39" i="28"/>
  <c r="R10" i="28" s="1"/>
  <c r="O40" i="28"/>
  <c r="P11" i="28" s="1"/>
  <c r="P40" i="28"/>
  <c r="Q11" i="28" s="1"/>
  <c r="Q40" i="28"/>
  <c r="R11" i="28" s="1"/>
  <c r="O41" i="28"/>
  <c r="P12" i="28" s="1"/>
  <c r="P41" i="28"/>
  <c r="Q12" i="28" s="1"/>
  <c r="Q41" i="28"/>
  <c r="R12" i="28" s="1"/>
  <c r="O42" i="28"/>
  <c r="P13" i="28" s="1"/>
  <c r="P42" i="28"/>
  <c r="Q13" i="28" s="1"/>
  <c r="Q42" i="28"/>
  <c r="R13" i="28" s="1"/>
  <c r="O43" i="28"/>
  <c r="P14" i="28" s="1"/>
  <c r="P43" i="28"/>
  <c r="Q14" i="28" s="1"/>
  <c r="Q43" i="28"/>
  <c r="R14" i="28" s="1"/>
  <c r="O44" i="28"/>
  <c r="P15" i="28" s="1"/>
  <c r="P44" i="28"/>
  <c r="Q15" i="28" s="1"/>
  <c r="Q44" i="28"/>
  <c r="R15" i="28" s="1"/>
  <c r="O45" i="28"/>
  <c r="P16" i="28" s="1"/>
  <c r="P45" i="28"/>
  <c r="Q16" i="28" s="1"/>
  <c r="Q45" i="28"/>
  <c r="R16" i="28" s="1"/>
  <c r="O46" i="28"/>
  <c r="P17" i="28" s="1"/>
  <c r="P46" i="28"/>
  <c r="Q17" i="28" s="1"/>
  <c r="Q46" i="28"/>
  <c r="R17" i="28" s="1"/>
  <c r="O47" i="28"/>
  <c r="P18" i="28" s="1"/>
  <c r="P47" i="28"/>
  <c r="Q18" i="28" s="1"/>
  <c r="Q47" i="28"/>
  <c r="R18" i="28" s="1"/>
  <c r="O48" i="28"/>
  <c r="P19" i="28" s="1"/>
  <c r="P48" i="28"/>
  <c r="Q19" i="28" s="1"/>
  <c r="Q48" i="28"/>
  <c r="R19" i="28" s="1"/>
  <c r="O49" i="28"/>
  <c r="P20" i="28" s="1"/>
  <c r="P49" i="28"/>
  <c r="Q20" i="28" s="1"/>
  <c r="Q49" i="28"/>
  <c r="R20" i="28" s="1"/>
  <c r="O50" i="28"/>
  <c r="P21" i="28" s="1"/>
  <c r="P50" i="28"/>
  <c r="Q21" i="28" s="1"/>
  <c r="Q50" i="28"/>
  <c r="R21" i="28" s="1"/>
  <c r="O51" i="28"/>
  <c r="P22" i="28" s="1"/>
  <c r="P51" i="28"/>
  <c r="Q22" i="28" s="1"/>
  <c r="Q51" i="28"/>
  <c r="R22" i="28" s="1"/>
  <c r="O52" i="28"/>
  <c r="P23" i="28" s="1"/>
  <c r="P52" i="28"/>
  <c r="Q23" i="28" s="1"/>
  <c r="Q52" i="28"/>
  <c r="R23" i="28" s="1"/>
  <c r="O53" i="28"/>
  <c r="P24" i="28" s="1"/>
  <c r="P53" i="28"/>
  <c r="Q24" i="28" s="1"/>
  <c r="Q53" i="28"/>
  <c r="R24" i="28" s="1"/>
  <c r="O54" i="28"/>
  <c r="P25" i="28" s="1"/>
  <c r="P54" i="28"/>
  <c r="Q25" i="28" s="1"/>
  <c r="Q54" i="28"/>
  <c r="R25" i="28" s="1"/>
  <c r="O55" i="28"/>
  <c r="P26" i="28" s="1"/>
  <c r="P55" i="28"/>
  <c r="Q26" i="28" s="1"/>
  <c r="Q55" i="28"/>
  <c r="R26" i="28" s="1"/>
  <c r="O56" i="28"/>
  <c r="P27" i="28" s="1"/>
  <c r="P56" i="28"/>
  <c r="Q27" i="28" s="1"/>
  <c r="Q56" i="28"/>
  <c r="R27" i="28" s="1"/>
  <c r="O57" i="28"/>
  <c r="P28" i="28" s="1"/>
  <c r="P57" i="28"/>
  <c r="Q28" i="28" s="1"/>
  <c r="Q57" i="28"/>
  <c r="R28" i="28" s="1"/>
  <c r="Q38" i="28"/>
  <c r="R9" i="28" s="1"/>
  <c r="P38" i="28"/>
  <c r="Q9" i="28" s="1"/>
  <c r="O38" i="28"/>
  <c r="P9" i="28" s="1"/>
  <c r="N39" i="28"/>
  <c r="O10" i="28" s="1"/>
  <c r="N40" i="28"/>
  <c r="O11" i="28" s="1"/>
  <c r="N41" i="28"/>
  <c r="O12" i="28" s="1"/>
  <c r="N42" i="28"/>
  <c r="O13" i="28" s="1"/>
  <c r="N43" i="28"/>
  <c r="O14" i="28" s="1"/>
  <c r="N44" i="28"/>
  <c r="O15" i="28" s="1"/>
  <c r="N45" i="28"/>
  <c r="O16" i="28" s="1"/>
  <c r="N46" i="28"/>
  <c r="O17" i="28" s="1"/>
  <c r="N47" i="28"/>
  <c r="O18" i="28" s="1"/>
  <c r="N48" i="28"/>
  <c r="O19" i="28" s="1"/>
  <c r="N49" i="28"/>
  <c r="O20" i="28" s="1"/>
  <c r="N50" i="28"/>
  <c r="O21" i="28" s="1"/>
  <c r="N51" i="28"/>
  <c r="O22" i="28" s="1"/>
  <c r="N52" i="28"/>
  <c r="O23" i="28" s="1"/>
  <c r="N53" i="28"/>
  <c r="O24" i="28" s="1"/>
  <c r="N54" i="28"/>
  <c r="O25" i="28" s="1"/>
  <c r="N55" i="28"/>
  <c r="O26" i="28" s="1"/>
  <c r="N56" i="28"/>
  <c r="O27" i="28" s="1"/>
  <c r="N57" i="28"/>
  <c r="O28" i="28" s="1"/>
  <c r="N38" i="28"/>
  <c r="O9" i="28" s="1"/>
  <c r="R101" i="28"/>
  <c r="R68" i="28" s="1"/>
  <c r="R102" i="28"/>
  <c r="R69" i="28" s="1"/>
  <c r="R103" i="28"/>
  <c r="R70" i="28" s="1"/>
  <c r="R104" i="28"/>
  <c r="R71" i="28" s="1"/>
  <c r="R105" i="28"/>
  <c r="R72" i="28" s="1"/>
  <c r="R106" i="28"/>
  <c r="R73" i="28" s="1"/>
  <c r="R107" i="28"/>
  <c r="R74" i="28" s="1"/>
  <c r="R108" i="28"/>
  <c r="R75" i="28" s="1"/>
  <c r="R109" i="28"/>
  <c r="R76" i="28" s="1"/>
  <c r="R110" i="28"/>
  <c r="R77" i="28" s="1"/>
  <c r="R111" i="28"/>
  <c r="R78" i="28" s="1"/>
  <c r="R112" i="28"/>
  <c r="R79" i="28" s="1"/>
  <c r="R113" i="28"/>
  <c r="R80" i="28" s="1"/>
  <c r="R114" i="28"/>
  <c r="R81" i="28" s="1"/>
  <c r="R115" i="28"/>
  <c r="R82" i="28" s="1"/>
  <c r="R116" i="28"/>
  <c r="R83" i="28" s="1"/>
  <c r="R117" i="28"/>
  <c r="R84" i="28" s="1"/>
  <c r="R118" i="28"/>
  <c r="R85" i="28" s="1"/>
  <c r="R119" i="28"/>
  <c r="R86" i="28" s="1"/>
  <c r="R100" i="28"/>
  <c r="R67" i="28" s="1"/>
  <c r="O101" i="28"/>
  <c r="O68" i="28" s="1"/>
  <c r="P101" i="28"/>
  <c r="P68" i="28" s="1"/>
  <c r="Q101" i="28"/>
  <c r="Q68" i="28" s="1"/>
  <c r="O102" i="28"/>
  <c r="O69" i="28" s="1"/>
  <c r="P102" i="28"/>
  <c r="P69" i="28" s="1"/>
  <c r="Q102" i="28"/>
  <c r="Q69" i="28" s="1"/>
  <c r="O103" i="28"/>
  <c r="O70" i="28" s="1"/>
  <c r="P103" i="28"/>
  <c r="P70" i="28" s="1"/>
  <c r="Q103" i="28"/>
  <c r="Q70" i="28" s="1"/>
  <c r="O104" i="28"/>
  <c r="O71" i="28" s="1"/>
  <c r="P104" i="28"/>
  <c r="P71" i="28" s="1"/>
  <c r="Q104" i="28"/>
  <c r="Q71" i="28" s="1"/>
  <c r="O105" i="28"/>
  <c r="O72" i="28" s="1"/>
  <c r="P105" i="28"/>
  <c r="P72" i="28" s="1"/>
  <c r="Q105" i="28"/>
  <c r="Q72" i="28" s="1"/>
  <c r="O106" i="28"/>
  <c r="O73" i="28" s="1"/>
  <c r="P106" i="28"/>
  <c r="P73" i="28" s="1"/>
  <c r="Q106" i="28"/>
  <c r="Q73" i="28" s="1"/>
  <c r="O107" i="28"/>
  <c r="O74" i="28" s="1"/>
  <c r="P107" i="28"/>
  <c r="P74" i="28" s="1"/>
  <c r="Q107" i="28"/>
  <c r="Q74" i="28" s="1"/>
  <c r="O108" i="28"/>
  <c r="O75" i="28" s="1"/>
  <c r="P108" i="28"/>
  <c r="P75" i="28" s="1"/>
  <c r="Q108" i="28"/>
  <c r="Q75" i="28" s="1"/>
  <c r="O109" i="28"/>
  <c r="O76" i="28" s="1"/>
  <c r="P109" i="28"/>
  <c r="P76" i="28" s="1"/>
  <c r="Q109" i="28"/>
  <c r="Q76" i="28" s="1"/>
  <c r="O110" i="28"/>
  <c r="O77" i="28" s="1"/>
  <c r="P110" i="28"/>
  <c r="P77" i="28" s="1"/>
  <c r="Q110" i="28"/>
  <c r="Q77" i="28" s="1"/>
  <c r="O111" i="28"/>
  <c r="O78" i="28" s="1"/>
  <c r="P111" i="28"/>
  <c r="P78" i="28" s="1"/>
  <c r="Q111" i="28"/>
  <c r="Q78" i="28" s="1"/>
  <c r="O112" i="28"/>
  <c r="O79" i="28" s="1"/>
  <c r="P112" i="28"/>
  <c r="P79" i="28" s="1"/>
  <c r="Q112" i="28"/>
  <c r="Q79" i="28" s="1"/>
  <c r="O113" i="28"/>
  <c r="O80" i="28" s="1"/>
  <c r="P113" i="28"/>
  <c r="P80" i="28" s="1"/>
  <c r="Q113" i="28"/>
  <c r="Q80" i="28" s="1"/>
  <c r="O114" i="28"/>
  <c r="O81" i="28" s="1"/>
  <c r="P114" i="28"/>
  <c r="P81" i="28" s="1"/>
  <c r="Q114" i="28"/>
  <c r="Q81" i="28" s="1"/>
  <c r="O115" i="28"/>
  <c r="O82" i="28" s="1"/>
  <c r="P115" i="28"/>
  <c r="P82" i="28" s="1"/>
  <c r="Q115" i="28"/>
  <c r="Q82" i="28" s="1"/>
  <c r="O116" i="28"/>
  <c r="O83" i="28" s="1"/>
  <c r="P116" i="28"/>
  <c r="P83" i="28" s="1"/>
  <c r="Q116" i="28"/>
  <c r="Q83" i="28" s="1"/>
  <c r="O117" i="28"/>
  <c r="O84" i="28" s="1"/>
  <c r="P117" i="28"/>
  <c r="P84" i="28" s="1"/>
  <c r="Q117" i="28"/>
  <c r="Q84" i="28" s="1"/>
  <c r="O118" i="28"/>
  <c r="O85" i="28" s="1"/>
  <c r="P118" i="28"/>
  <c r="P85" i="28" s="1"/>
  <c r="Q118" i="28"/>
  <c r="Q85" i="28" s="1"/>
  <c r="O119" i="28"/>
  <c r="O86" i="28" s="1"/>
  <c r="P119" i="28"/>
  <c r="P86" i="28" s="1"/>
  <c r="Q119" i="28"/>
  <c r="Q86" i="28" s="1"/>
  <c r="Q100" i="28"/>
  <c r="Q67" i="28" s="1"/>
  <c r="P100" i="28"/>
  <c r="P67" i="28" s="1"/>
  <c r="O100" i="28"/>
  <c r="O67" i="28" s="1"/>
  <c r="B16" i="25"/>
  <c r="B26" i="25"/>
  <c r="B13" i="25"/>
  <c r="B12" i="25"/>
  <c r="D17" i="29" s="1"/>
  <c r="B13" i="26"/>
  <c r="B12" i="26"/>
  <c r="B27" i="26"/>
  <c r="B16" i="26" s="1"/>
  <c r="E98" i="3"/>
  <c r="E95" i="3"/>
  <c r="E16" i="26" s="1"/>
  <c r="E96" i="3"/>
  <c r="E97" i="3"/>
  <c r="E94" i="3"/>
  <c r="D42" i="26"/>
  <c r="D43" i="26"/>
  <c r="B11" i="26"/>
  <c r="D11" i="26"/>
  <c r="D13" i="26" s="1"/>
  <c r="B26" i="26"/>
  <c r="N119" i="28"/>
  <c r="N86" i="28" s="1"/>
  <c r="M119" i="28"/>
  <c r="M86" i="28" s="1"/>
  <c r="L119" i="28"/>
  <c r="L86" i="28" s="1"/>
  <c r="K119" i="28"/>
  <c r="K86" i="28" s="1"/>
  <c r="J119" i="28"/>
  <c r="J86" i="28" s="1"/>
  <c r="I119" i="28"/>
  <c r="I86" i="28" s="1"/>
  <c r="H119" i="28"/>
  <c r="H86" i="28" s="1"/>
  <c r="G119" i="28"/>
  <c r="G86" i="28" s="1"/>
  <c r="F119" i="28"/>
  <c r="F86" i="28" s="1"/>
  <c r="E119" i="28"/>
  <c r="E86" i="28" s="1"/>
  <c r="D119" i="28"/>
  <c r="D86" i="28" s="1"/>
  <c r="S86" i="28"/>
  <c r="N118" i="28"/>
  <c r="N85" i="28" s="1"/>
  <c r="M118" i="28"/>
  <c r="M85" i="28" s="1"/>
  <c r="L118" i="28"/>
  <c r="L85" i="28" s="1"/>
  <c r="K118" i="28"/>
  <c r="K85" i="28" s="1"/>
  <c r="J118" i="28"/>
  <c r="J85" i="28" s="1"/>
  <c r="I118" i="28"/>
  <c r="I85" i="28" s="1"/>
  <c r="H118" i="28"/>
  <c r="H85" i="28" s="1"/>
  <c r="G118" i="28"/>
  <c r="G85" i="28" s="1"/>
  <c r="F118" i="28"/>
  <c r="F85" i="28" s="1"/>
  <c r="E118" i="28"/>
  <c r="E85" i="28" s="1"/>
  <c r="D118" i="28"/>
  <c r="D85" i="28" s="1"/>
  <c r="S85" i="28"/>
  <c r="N117" i="28"/>
  <c r="N84" i="28" s="1"/>
  <c r="M117" i="28"/>
  <c r="M84" i="28" s="1"/>
  <c r="L117" i="28"/>
  <c r="L84" i="28" s="1"/>
  <c r="K117" i="28"/>
  <c r="K84" i="28" s="1"/>
  <c r="J117" i="28"/>
  <c r="J84" i="28" s="1"/>
  <c r="I117" i="28"/>
  <c r="I84" i="28" s="1"/>
  <c r="H117" i="28"/>
  <c r="H84" i="28" s="1"/>
  <c r="G117" i="28"/>
  <c r="G84" i="28" s="1"/>
  <c r="F117" i="28"/>
  <c r="F84" i="28" s="1"/>
  <c r="E117" i="28"/>
  <c r="E84" i="28" s="1"/>
  <c r="D117" i="28"/>
  <c r="D84" i="28" s="1"/>
  <c r="S84" i="28"/>
  <c r="N116" i="28"/>
  <c r="N83" i="28" s="1"/>
  <c r="M116" i="28"/>
  <c r="M83" i="28" s="1"/>
  <c r="L116" i="28"/>
  <c r="L83" i="28" s="1"/>
  <c r="K116" i="28"/>
  <c r="K83" i="28" s="1"/>
  <c r="J116" i="28"/>
  <c r="J83" i="28" s="1"/>
  <c r="I116" i="28"/>
  <c r="I83" i="28" s="1"/>
  <c r="H116" i="28"/>
  <c r="H83" i="28" s="1"/>
  <c r="G116" i="28"/>
  <c r="G83" i="28" s="1"/>
  <c r="F116" i="28"/>
  <c r="F83" i="28" s="1"/>
  <c r="E116" i="28"/>
  <c r="E83" i="28" s="1"/>
  <c r="D116" i="28"/>
  <c r="D83" i="28" s="1"/>
  <c r="S83" i="28"/>
  <c r="N115" i="28"/>
  <c r="N82" i="28" s="1"/>
  <c r="M115" i="28"/>
  <c r="M82" i="28" s="1"/>
  <c r="L115" i="28"/>
  <c r="L82" i="28" s="1"/>
  <c r="K115" i="28"/>
  <c r="K82" i="28" s="1"/>
  <c r="J115" i="28"/>
  <c r="J82" i="28" s="1"/>
  <c r="I115" i="28"/>
  <c r="I82" i="28" s="1"/>
  <c r="H115" i="28"/>
  <c r="H82" i="28" s="1"/>
  <c r="G115" i="28"/>
  <c r="G82" i="28" s="1"/>
  <c r="F115" i="28"/>
  <c r="F82" i="28" s="1"/>
  <c r="E115" i="28"/>
  <c r="E82" i="28" s="1"/>
  <c r="D115" i="28"/>
  <c r="D82" i="28" s="1"/>
  <c r="S82" i="28"/>
  <c r="N114" i="28"/>
  <c r="N81" i="28" s="1"/>
  <c r="M114" i="28"/>
  <c r="M81" i="28" s="1"/>
  <c r="L114" i="28"/>
  <c r="L81" i="28" s="1"/>
  <c r="K114" i="28"/>
  <c r="K81" i="28" s="1"/>
  <c r="J114" i="28"/>
  <c r="J81" i="28" s="1"/>
  <c r="I114" i="28"/>
  <c r="I81" i="28" s="1"/>
  <c r="H114" i="28"/>
  <c r="H81" i="28" s="1"/>
  <c r="G114" i="28"/>
  <c r="G81" i="28" s="1"/>
  <c r="F114" i="28"/>
  <c r="F81" i="28" s="1"/>
  <c r="E114" i="28"/>
  <c r="E81" i="28" s="1"/>
  <c r="D114" i="28"/>
  <c r="D81" i="28" s="1"/>
  <c r="S81" i="28"/>
  <c r="N113" i="28"/>
  <c r="N80" i="28" s="1"/>
  <c r="M113" i="28"/>
  <c r="M80" i="28" s="1"/>
  <c r="L113" i="28"/>
  <c r="L80" i="28" s="1"/>
  <c r="K113" i="28"/>
  <c r="K80" i="28" s="1"/>
  <c r="J113" i="28"/>
  <c r="J80" i="28" s="1"/>
  <c r="I113" i="28"/>
  <c r="I80" i="28" s="1"/>
  <c r="H113" i="28"/>
  <c r="H80" i="28" s="1"/>
  <c r="G113" i="28"/>
  <c r="G80" i="28" s="1"/>
  <c r="F113" i="28"/>
  <c r="F80" i="28" s="1"/>
  <c r="E113" i="28"/>
  <c r="E80" i="28" s="1"/>
  <c r="D113" i="28"/>
  <c r="D80" i="28" s="1"/>
  <c r="S80" i="28"/>
  <c r="N112" i="28"/>
  <c r="N79" i="28" s="1"/>
  <c r="M112" i="28"/>
  <c r="M79" i="28" s="1"/>
  <c r="L112" i="28"/>
  <c r="L79" i="28" s="1"/>
  <c r="K112" i="28"/>
  <c r="K79" i="28" s="1"/>
  <c r="J112" i="28"/>
  <c r="J79" i="28" s="1"/>
  <c r="I112" i="28"/>
  <c r="I79" i="28" s="1"/>
  <c r="H112" i="28"/>
  <c r="H79" i="28" s="1"/>
  <c r="G112" i="28"/>
  <c r="G79" i="28" s="1"/>
  <c r="F112" i="28"/>
  <c r="F79" i="28" s="1"/>
  <c r="E112" i="28"/>
  <c r="E79" i="28" s="1"/>
  <c r="D112" i="28"/>
  <c r="D79" i="28" s="1"/>
  <c r="S79" i="28"/>
  <c r="N111" i="28"/>
  <c r="N78" i="28" s="1"/>
  <c r="M111" i="28"/>
  <c r="M78" i="28" s="1"/>
  <c r="L111" i="28"/>
  <c r="L78" i="28" s="1"/>
  <c r="K111" i="28"/>
  <c r="K78" i="28" s="1"/>
  <c r="J111" i="28"/>
  <c r="J78" i="28" s="1"/>
  <c r="I111" i="28"/>
  <c r="I78" i="28" s="1"/>
  <c r="H111" i="28"/>
  <c r="H78" i="28" s="1"/>
  <c r="G111" i="28"/>
  <c r="G78" i="28" s="1"/>
  <c r="F111" i="28"/>
  <c r="F78" i="28" s="1"/>
  <c r="E111" i="28"/>
  <c r="E78" i="28" s="1"/>
  <c r="D111" i="28"/>
  <c r="D78" i="28" s="1"/>
  <c r="S78" i="28"/>
  <c r="N110" i="28"/>
  <c r="N77" i="28" s="1"/>
  <c r="M110" i="28"/>
  <c r="M77" i="28" s="1"/>
  <c r="L110" i="28"/>
  <c r="L77" i="28" s="1"/>
  <c r="K110" i="28"/>
  <c r="K77" i="28" s="1"/>
  <c r="J110" i="28"/>
  <c r="J77" i="28" s="1"/>
  <c r="I110" i="28"/>
  <c r="I77" i="28" s="1"/>
  <c r="H110" i="28"/>
  <c r="H77" i="28" s="1"/>
  <c r="G110" i="28"/>
  <c r="G77" i="28" s="1"/>
  <c r="F110" i="28"/>
  <c r="F77" i="28" s="1"/>
  <c r="E110" i="28"/>
  <c r="E77" i="28" s="1"/>
  <c r="D110" i="28"/>
  <c r="D77" i="28" s="1"/>
  <c r="S77" i="28"/>
  <c r="N109" i="28"/>
  <c r="N76" i="28" s="1"/>
  <c r="M109" i="28"/>
  <c r="M76" i="28" s="1"/>
  <c r="L109" i="28"/>
  <c r="L76" i="28" s="1"/>
  <c r="K109" i="28"/>
  <c r="K76" i="28" s="1"/>
  <c r="J109" i="28"/>
  <c r="J76" i="28" s="1"/>
  <c r="I109" i="28"/>
  <c r="I76" i="28" s="1"/>
  <c r="H109" i="28"/>
  <c r="H76" i="28" s="1"/>
  <c r="G109" i="28"/>
  <c r="G76" i="28" s="1"/>
  <c r="F109" i="28"/>
  <c r="F76" i="28" s="1"/>
  <c r="E109" i="28"/>
  <c r="E76" i="28" s="1"/>
  <c r="D109" i="28"/>
  <c r="D76" i="28" s="1"/>
  <c r="S76" i="28"/>
  <c r="N108" i="28"/>
  <c r="N75" i="28" s="1"/>
  <c r="M108" i="28"/>
  <c r="M75" i="28" s="1"/>
  <c r="L108" i="28"/>
  <c r="L75" i="28" s="1"/>
  <c r="K108" i="28"/>
  <c r="K75" i="28" s="1"/>
  <c r="J108" i="28"/>
  <c r="J75" i="28" s="1"/>
  <c r="I108" i="28"/>
  <c r="I75" i="28" s="1"/>
  <c r="H108" i="28"/>
  <c r="H75" i="28" s="1"/>
  <c r="G108" i="28"/>
  <c r="G75" i="28" s="1"/>
  <c r="F108" i="28"/>
  <c r="F75" i="28" s="1"/>
  <c r="E108" i="28"/>
  <c r="E75" i="28" s="1"/>
  <c r="D108" i="28"/>
  <c r="D75" i="28" s="1"/>
  <c r="S75" i="28"/>
  <c r="N107" i="28"/>
  <c r="N74" i="28" s="1"/>
  <c r="M107" i="28"/>
  <c r="M74" i="28" s="1"/>
  <c r="L107" i="28"/>
  <c r="L74" i="28" s="1"/>
  <c r="K107" i="28"/>
  <c r="K74" i="28" s="1"/>
  <c r="J107" i="28"/>
  <c r="J74" i="28" s="1"/>
  <c r="I107" i="28"/>
  <c r="I74" i="28" s="1"/>
  <c r="H107" i="28"/>
  <c r="H74" i="28" s="1"/>
  <c r="G107" i="28"/>
  <c r="G74" i="28" s="1"/>
  <c r="F107" i="28"/>
  <c r="F74" i="28" s="1"/>
  <c r="E107" i="28"/>
  <c r="E74" i="28" s="1"/>
  <c r="D107" i="28"/>
  <c r="D74" i="28" s="1"/>
  <c r="S74" i="28"/>
  <c r="N106" i="28"/>
  <c r="N73" i="28" s="1"/>
  <c r="M106" i="28"/>
  <c r="M73" i="28" s="1"/>
  <c r="L106" i="28"/>
  <c r="L73" i="28" s="1"/>
  <c r="K106" i="28"/>
  <c r="K73" i="28" s="1"/>
  <c r="J106" i="28"/>
  <c r="J73" i="28" s="1"/>
  <c r="I106" i="28"/>
  <c r="I73" i="28" s="1"/>
  <c r="H106" i="28"/>
  <c r="H73" i="28" s="1"/>
  <c r="G106" i="28"/>
  <c r="G73" i="28" s="1"/>
  <c r="F106" i="28"/>
  <c r="F73" i="28" s="1"/>
  <c r="E106" i="28"/>
  <c r="E73" i="28" s="1"/>
  <c r="D106" i="28"/>
  <c r="D73" i="28" s="1"/>
  <c r="S73" i="28"/>
  <c r="N105" i="28"/>
  <c r="N72" i="28" s="1"/>
  <c r="M105" i="28"/>
  <c r="M72" i="28" s="1"/>
  <c r="L105" i="28"/>
  <c r="L72" i="28" s="1"/>
  <c r="K105" i="28"/>
  <c r="K72" i="28" s="1"/>
  <c r="J105" i="28"/>
  <c r="J72" i="28" s="1"/>
  <c r="I105" i="28"/>
  <c r="I72" i="28" s="1"/>
  <c r="H105" i="28"/>
  <c r="H72" i="28" s="1"/>
  <c r="G105" i="28"/>
  <c r="G72" i="28" s="1"/>
  <c r="F105" i="28"/>
  <c r="F72" i="28" s="1"/>
  <c r="E105" i="28"/>
  <c r="E72" i="28" s="1"/>
  <c r="D105" i="28"/>
  <c r="D72" i="28" s="1"/>
  <c r="S72" i="28"/>
  <c r="N104" i="28"/>
  <c r="N71" i="28" s="1"/>
  <c r="M104" i="28"/>
  <c r="M71" i="28" s="1"/>
  <c r="L104" i="28"/>
  <c r="L71" i="28" s="1"/>
  <c r="K104" i="28"/>
  <c r="K71" i="28" s="1"/>
  <c r="J104" i="28"/>
  <c r="J71" i="28" s="1"/>
  <c r="I104" i="28"/>
  <c r="I71" i="28" s="1"/>
  <c r="H104" i="28"/>
  <c r="H71" i="28" s="1"/>
  <c r="G104" i="28"/>
  <c r="G71" i="28" s="1"/>
  <c r="F104" i="28"/>
  <c r="F71" i="28" s="1"/>
  <c r="E104" i="28"/>
  <c r="E71" i="28" s="1"/>
  <c r="D104" i="28"/>
  <c r="D71" i="28" s="1"/>
  <c r="S71" i="28"/>
  <c r="N103" i="28"/>
  <c r="N70" i="28" s="1"/>
  <c r="M103" i="28"/>
  <c r="M70" i="28" s="1"/>
  <c r="L103" i="28"/>
  <c r="L70" i="28" s="1"/>
  <c r="K103" i="28"/>
  <c r="K70" i="28" s="1"/>
  <c r="J103" i="28"/>
  <c r="J70" i="28" s="1"/>
  <c r="I103" i="28"/>
  <c r="I70" i="28" s="1"/>
  <c r="H103" i="28"/>
  <c r="H70" i="28" s="1"/>
  <c r="G103" i="28"/>
  <c r="G70" i="28" s="1"/>
  <c r="F103" i="28"/>
  <c r="F70" i="28" s="1"/>
  <c r="E103" i="28"/>
  <c r="E70" i="28" s="1"/>
  <c r="D103" i="28"/>
  <c r="D70" i="28" s="1"/>
  <c r="S70" i="28"/>
  <c r="N102" i="28"/>
  <c r="N69" i="28" s="1"/>
  <c r="M102" i="28"/>
  <c r="M69" i="28" s="1"/>
  <c r="L102" i="28"/>
  <c r="L69" i="28" s="1"/>
  <c r="K102" i="28"/>
  <c r="K69" i="28" s="1"/>
  <c r="J102" i="28"/>
  <c r="J69" i="28" s="1"/>
  <c r="I102" i="28"/>
  <c r="I69" i="28" s="1"/>
  <c r="H102" i="28"/>
  <c r="H69" i="28" s="1"/>
  <c r="G102" i="28"/>
  <c r="G69" i="28" s="1"/>
  <c r="F102" i="28"/>
  <c r="F69" i="28" s="1"/>
  <c r="E102" i="28"/>
  <c r="E69" i="28" s="1"/>
  <c r="D102" i="28"/>
  <c r="D69" i="28" s="1"/>
  <c r="S69" i="28"/>
  <c r="N101" i="28"/>
  <c r="N68" i="28" s="1"/>
  <c r="M101" i="28"/>
  <c r="M68" i="28" s="1"/>
  <c r="L101" i="28"/>
  <c r="L68" i="28" s="1"/>
  <c r="K101" i="28"/>
  <c r="K68" i="28" s="1"/>
  <c r="J101" i="28"/>
  <c r="J68" i="28" s="1"/>
  <c r="I101" i="28"/>
  <c r="I68" i="28" s="1"/>
  <c r="H101" i="28"/>
  <c r="H68" i="28" s="1"/>
  <c r="G101" i="28"/>
  <c r="G68" i="28" s="1"/>
  <c r="F101" i="28"/>
  <c r="F68" i="28" s="1"/>
  <c r="E101" i="28"/>
  <c r="E68" i="28" s="1"/>
  <c r="D101" i="28"/>
  <c r="D68" i="28" s="1"/>
  <c r="S68" i="28"/>
  <c r="N100" i="28"/>
  <c r="N67" i="28" s="1"/>
  <c r="M100" i="28"/>
  <c r="M67" i="28" s="1"/>
  <c r="L100" i="28"/>
  <c r="L67" i="28" s="1"/>
  <c r="K100" i="28"/>
  <c r="K67" i="28" s="1"/>
  <c r="J100" i="28"/>
  <c r="J67" i="28" s="1"/>
  <c r="I100" i="28"/>
  <c r="I67" i="28" s="1"/>
  <c r="H100" i="28"/>
  <c r="H67" i="28" s="1"/>
  <c r="G100" i="28"/>
  <c r="G67" i="28" s="1"/>
  <c r="F100" i="28"/>
  <c r="F67" i="28" s="1"/>
  <c r="E100" i="28"/>
  <c r="E67" i="28" s="1"/>
  <c r="D100" i="28"/>
  <c r="D67" i="28" s="1"/>
  <c r="S67" i="28"/>
  <c r="M57" i="28"/>
  <c r="N28" i="28" s="1"/>
  <c r="L57" i="28"/>
  <c r="M28" i="28" s="1"/>
  <c r="K57" i="28"/>
  <c r="L28" i="28" s="1"/>
  <c r="J57" i="28"/>
  <c r="K28" i="28" s="1"/>
  <c r="I57" i="28"/>
  <c r="J28" i="28" s="1"/>
  <c r="H57" i="28"/>
  <c r="I28" i="28" s="1"/>
  <c r="G57" i="28"/>
  <c r="H28" i="28" s="1"/>
  <c r="F57" i="28"/>
  <c r="G28" i="28" s="1"/>
  <c r="E57" i="28"/>
  <c r="F28" i="28" s="1"/>
  <c r="D57" i="28"/>
  <c r="E28" i="28" s="1"/>
  <c r="C57" i="28"/>
  <c r="D28" i="28" s="1"/>
  <c r="S28" i="28"/>
  <c r="M56" i="28"/>
  <c r="N27" i="28" s="1"/>
  <c r="L56" i="28"/>
  <c r="M27" i="28" s="1"/>
  <c r="K56" i="28"/>
  <c r="L27" i="28" s="1"/>
  <c r="J56" i="28"/>
  <c r="K27" i="28" s="1"/>
  <c r="I56" i="28"/>
  <c r="J27" i="28" s="1"/>
  <c r="H56" i="28"/>
  <c r="I27" i="28" s="1"/>
  <c r="G56" i="28"/>
  <c r="H27" i="28" s="1"/>
  <c r="F56" i="28"/>
  <c r="G27" i="28" s="1"/>
  <c r="E56" i="28"/>
  <c r="F27" i="28" s="1"/>
  <c r="D56" i="28"/>
  <c r="E27" i="28" s="1"/>
  <c r="C56" i="28"/>
  <c r="D27" i="28" s="1"/>
  <c r="S27" i="28"/>
  <c r="M55" i="28"/>
  <c r="N26" i="28" s="1"/>
  <c r="L55" i="28"/>
  <c r="M26" i="28" s="1"/>
  <c r="K55" i="28"/>
  <c r="L26" i="28" s="1"/>
  <c r="J55" i="28"/>
  <c r="K26" i="28" s="1"/>
  <c r="I55" i="28"/>
  <c r="J26" i="28" s="1"/>
  <c r="H55" i="28"/>
  <c r="I26" i="28" s="1"/>
  <c r="G55" i="28"/>
  <c r="H26" i="28" s="1"/>
  <c r="F55" i="28"/>
  <c r="G26" i="28" s="1"/>
  <c r="E55" i="28"/>
  <c r="F26" i="28" s="1"/>
  <c r="D55" i="28"/>
  <c r="E26" i="28" s="1"/>
  <c r="C55" i="28"/>
  <c r="D26" i="28" s="1"/>
  <c r="S26" i="28"/>
  <c r="M54" i="28"/>
  <c r="N25" i="28" s="1"/>
  <c r="L54" i="28"/>
  <c r="M25" i="28" s="1"/>
  <c r="K54" i="28"/>
  <c r="L25" i="28" s="1"/>
  <c r="J54" i="28"/>
  <c r="K25" i="28" s="1"/>
  <c r="I54" i="28"/>
  <c r="J25" i="28" s="1"/>
  <c r="H54" i="28"/>
  <c r="I25" i="28" s="1"/>
  <c r="G54" i="28"/>
  <c r="H25" i="28" s="1"/>
  <c r="F54" i="28"/>
  <c r="G25" i="28" s="1"/>
  <c r="E54" i="28"/>
  <c r="F25" i="28" s="1"/>
  <c r="D54" i="28"/>
  <c r="E25" i="28" s="1"/>
  <c r="C54" i="28"/>
  <c r="D25" i="28" s="1"/>
  <c r="S25" i="28"/>
  <c r="M53" i="28"/>
  <c r="N24" i="28" s="1"/>
  <c r="L53" i="28"/>
  <c r="M24" i="28" s="1"/>
  <c r="K53" i="28"/>
  <c r="L24" i="28" s="1"/>
  <c r="J53" i="28"/>
  <c r="K24" i="28" s="1"/>
  <c r="I53" i="28"/>
  <c r="J24" i="28" s="1"/>
  <c r="H53" i="28"/>
  <c r="I24" i="28" s="1"/>
  <c r="G53" i="28"/>
  <c r="H24" i="28" s="1"/>
  <c r="F53" i="28"/>
  <c r="G24" i="28" s="1"/>
  <c r="E53" i="28"/>
  <c r="F24" i="28" s="1"/>
  <c r="D53" i="28"/>
  <c r="E24" i="28" s="1"/>
  <c r="C53" i="28"/>
  <c r="D24" i="28" s="1"/>
  <c r="S24" i="28"/>
  <c r="M52" i="28"/>
  <c r="N23" i="28" s="1"/>
  <c r="L52" i="28"/>
  <c r="M23" i="28" s="1"/>
  <c r="K52" i="28"/>
  <c r="L23" i="28" s="1"/>
  <c r="J52" i="28"/>
  <c r="K23" i="28" s="1"/>
  <c r="I52" i="28"/>
  <c r="J23" i="28" s="1"/>
  <c r="H52" i="28"/>
  <c r="I23" i="28" s="1"/>
  <c r="G52" i="28"/>
  <c r="H23" i="28" s="1"/>
  <c r="F52" i="28"/>
  <c r="G23" i="28" s="1"/>
  <c r="E52" i="28"/>
  <c r="F23" i="28" s="1"/>
  <c r="D52" i="28"/>
  <c r="E23" i="28" s="1"/>
  <c r="C52" i="28"/>
  <c r="D23" i="28" s="1"/>
  <c r="S23" i="28"/>
  <c r="M51" i="28"/>
  <c r="N22" i="28" s="1"/>
  <c r="L51" i="28"/>
  <c r="M22" i="28" s="1"/>
  <c r="K51" i="28"/>
  <c r="L22" i="28" s="1"/>
  <c r="J51" i="28"/>
  <c r="K22" i="28" s="1"/>
  <c r="I51" i="28"/>
  <c r="J22" i="28" s="1"/>
  <c r="H51" i="28"/>
  <c r="I22" i="28" s="1"/>
  <c r="G51" i="28"/>
  <c r="H22" i="28" s="1"/>
  <c r="F51" i="28"/>
  <c r="G22" i="28" s="1"/>
  <c r="E51" i="28"/>
  <c r="F22" i="28" s="1"/>
  <c r="D51" i="28"/>
  <c r="E22" i="28" s="1"/>
  <c r="C51" i="28"/>
  <c r="D22" i="28" s="1"/>
  <c r="S22" i="28"/>
  <c r="M50" i="28"/>
  <c r="N21" i="28" s="1"/>
  <c r="L50" i="28"/>
  <c r="M21" i="28" s="1"/>
  <c r="K50" i="28"/>
  <c r="L21" i="28" s="1"/>
  <c r="J50" i="28"/>
  <c r="K21" i="28" s="1"/>
  <c r="I50" i="28"/>
  <c r="J21" i="28" s="1"/>
  <c r="H50" i="28"/>
  <c r="I21" i="28" s="1"/>
  <c r="G50" i="28"/>
  <c r="H21" i="28" s="1"/>
  <c r="F50" i="28"/>
  <c r="G21" i="28" s="1"/>
  <c r="E50" i="28"/>
  <c r="F21" i="28" s="1"/>
  <c r="D50" i="28"/>
  <c r="E21" i="28" s="1"/>
  <c r="C50" i="28"/>
  <c r="D21" i="28" s="1"/>
  <c r="S21" i="28"/>
  <c r="M49" i="28"/>
  <c r="N20" i="28" s="1"/>
  <c r="L49" i="28"/>
  <c r="M20" i="28" s="1"/>
  <c r="K49" i="28"/>
  <c r="L20" i="28" s="1"/>
  <c r="J49" i="28"/>
  <c r="K20" i="28" s="1"/>
  <c r="I49" i="28"/>
  <c r="J20" i="28" s="1"/>
  <c r="H49" i="28"/>
  <c r="I20" i="28" s="1"/>
  <c r="G49" i="28"/>
  <c r="H20" i="28" s="1"/>
  <c r="F49" i="28"/>
  <c r="G20" i="28" s="1"/>
  <c r="E49" i="28"/>
  <c r="F20" i="28" s="1"/>
  <c r="D49" i="28"/>
  <c r="E20" i="28" s="1"/>
  <c r="C49" i="28"/>
  <c r="D20" i="28" s="1"/>
  <c r="S20" i="28"/>
  <c r="M48" i="28"/>
  <c r="N19" i="28" s="1"/>
  <c r="L48" i="28"/>
  <c r="M19" i="28" s="1"/>
  <c r="K48" i="28"/>
  <c r="L19" i="28" s="1"/>
  <c r="J48" i="28"/>
  <c r="K19" i="28" s="1"/>
  <c r="I48" i="28"/>
  <c r="J19" i="28" s="1"/>
  <c r="H48" i="28"/>
  <c r="I19" i="28" s="1"/>
  <c r="G48" i="28"/>
  <c r="H19" i="28" s="1"/>
  <c r="F48" i="28"/>
  <c r="G19" i="28" s="1"/>
  <c r="E48" i="28"/>
  <c r="F19" i="28" s="1"/>
  <c r="D48" i="28"/>
  <c r="E19" i="28" s="1"/>
  <c r="C48" i="28"/>
  <c r="D19" i="28" s="1"/>
  <c r="S19" i="28"/>
  <c r="M47" i="28"/>
  <c r="N18" i="28" s="1"/>
  <c r="L47" i="28"/>
  <c r="M18" i="28" s="1"/>
  <c r="K47" i="28"/>
  <c r="L18" i="28" s="1"/>
  <c r="J47" i="28"/>
  <c r="K18" i="28" s="1"/>
  <c r="I47" i="28"/>
  <c r="J18" i="28" s="1"/>
  <c r="H47" i="28"/>
  <c r="I18" i="28" s="1"/>
  <c r="G47" i="28"/>
  <c r="H18" i="28" s="1"/>
  <c r="F47" i="28"/>
  <c r="G18" i="28" s="1"/>
  <c r="E47" i="28"/>
  <c r="F18" i="28" s="1"/>
  <c r="D47" i="28"/>
  <c r="E18" i="28" s="1"/>
  <c r="C47" i="28"/>
  <c r="D18" i="28" s="1"/>
  <c r="S18" i="28"/>
  <c r="M46" i="28"/>
  <c r="N17" i="28" s="1"/>
  <c r="L46" i="28"/>
  <c r="M17" i="28" s="1"/>
  <c r="K46" i="28"/>
  <c r="L17" i="28" s="1"/>
  <c r="J46" i="28"/>
  <c r="K17" i="28" s="1"/>
  <c r="I46" i="28"/>
  <c r="J17" i="28" s="1"/>
  <c r="H46" i="28"/>
  <c r="I17" i="28" s="1"/>
  <c r="G46" i="28"/>
  <c r="H17" i="28" s="1"/>
  <c r="F46" i="28"/>
  <c r="G17" i="28" s="1"/>
  <c r="E46" i="28"/>
  <c r="F17" i="28" s="1"/>
  <c r="D46" i="28"/>
  <c r="E17" i="28" s="1"/>
  <c r="C46" i="28"/>
  <c r="D17" i="28" s="1"/>
  <c r="S17" i="28"/>
  <c r="M45" i="28"/>
  <c r="N16" i="28" s="1"/>
  <c r="L45" i="28"/>
  <c r="M16" i="28" s="1"/>
  <c r="K45" i="28"/>
  <c r="L16" i="28" s="1"/>
  <c r="J45" i="28"/>
  <c r="K16" i="28" s="1"/>
  <c r="I45" i="28"/>
  <c r="J16" i="28" s="1"/>
  <c r="H45" i="28"/>
  <c r="I16" i="28" s="1"/>
  <c r="G45" i="28"/>
  <c r="H16" i="28" s="1"/>
  <c r="F45" i="28"/>
  <c r="G16" i="28" s="1"/>
  <c r="E45" i="28"/>
  <c r="F16" i="28" s="1"/>
  <c r="D45" i="28"/>
  <c r="E16" i="28" s="1"/>
  <c r="C45" i="28"/>
  <c r="D16" i="28" s="1"/>
  <c r="S16" i="28"/>
  <c r="M44" i="28"/>
  <c r="N15" i="28" s="1"/>
  <c r="L44" i="28"/>
  <c r="M15" i="28" s="1"/>
  <c r="K44" i="28"/>
  <c r="L15" i="28" s="1"/>
  <c r="J44" i="28"/>
  <c r="K15" i="28" s="1"/>
  <c r="I44" i="28"/>
  <c r="J15" i="28" s="1"/>
  <c r="H44" i="28"/>
  <c r="I15" i="28" s="1"/>
  <c r="G44" i="28"/>
  <c r="H15" i="28" s="1"/>
  <c r="F44" i="28"/>
  <c r="G15" i="28" s="1"/>
  <c r="E44" i="28"/>
  <c r="F15" i="28" s="1"/>
  <c r="D44" i="28"/>
  <c r="E15" i="28" s="1"/>
  <c r="C44" i="28"/>
  <c r="D15" i="28" s="1"/>
  <c r="S15" i="28"/>
  <c r="M43" i="28"/>
  <c r="N14" i="28" s="1"/>
  <c r="L43" i="28"/>
  <c r="M14" i="28" s="1"/>
  <c r="K43" i="28"/>
  <c r="L14" i="28" s="1"/>
  <c r="J43" i="28"/>
  <c r="K14" i="28" s="1"/>
  <c r="I43" i="28"/>
  <c r="J14" i="28" s="1"/>
  <c r="H43" i="28"/>
  <c r="I14" i="28" s="1"/>
  <c r="G43" i="28"/>
  <c r="H14" i="28" s="1"/>
  <c r="F43" i="28"/>
  <c r="G14" i="28" s="1"/>
  <c r="E43" i="28"/>
  <c r="F14" i="28" s="1"/>
  <c r="D43" i="28"/>
  <c r="E14" i="28" s="1"/>
  <c r="C43" i="28"/>
  <c r="D14" i="28" s="1"/>
  <c r="S14" i="28"/>
  <c r="M42" i="28"/>
  <c r="N13" i="28" s="1"/>
  <c r="L42" i="28"/>
  <c r="M13" i="28" s="1"/>
  <c r="K42" i="28"/>
  <c r="L13" i="28" s="1"/>
  <c r="J42" i="28"/>
  <c r="K13" i="28" s="1"/>
  <c r="I42" i="28"/>
  <c r="J13" i="28" s="1"/>
  <c r="H42" i="28"/>
  <c r="I13" i="28" s="1"/>
  <c r="G42" i="28"/>
  <c r="H13" i="28" s="1"/>
  <c r="F42" i="28"/>
  <c r="G13" i="28" s="1"/>
  <c r="E42" i="28"/>
  <c r="F13" i="28" s="1"/>
  <c r="D42" i="28"/>
  <c r="E13" i="28" s="1"/>
  <c r="C42" i="28"/>
  <c r="D13" i="28" s="1"/>
  <c r="S13" i="28"/>
  <c r="M41" i="28"/>
  <c r="N12" i="28" s="1"/>
  <c r="L41" i="28"/>
  <c r="M12" i="28" s="1"/>
  <c r="K41" i="28"/>
  <c r="L12" i="28" s="1"/>
  <c r="J41" i="28"/>
  <c r="K12" i="28" s="1"/>
  <c r="I41" i="28"/>
  <c r="J12" i="28" s="1"/>
  <c r="H41" i="28"/>
  <c r="I12" i="28" s="1"/>
  <c r="G41" i="28"/>
  <c r="H12" i="28" s="1"/>
  <c r="F41" i="28"/>
  <c r="G12" i="28" s="1"/>
  <c r="E41" i="28"/>
  <c r="F12" i="28" s="1"/>
  <c r="D41" i="28"/>
  <c r="E12" i="28" s="1"/>
  <c r="C41" i="28"/>
  <c r="D12" i="28" s="1"/>
  <c r="S12" i="28"/>
  <c r="M40" i="28"/>
  <c r="N11" i="28" s="1"/>
  <c r="L40" i="28"/>
  <c r="M11" i="28" s="1"/>
  <c r="K40" i="28"/>
  <c r="L11" i="28" s="1"/>
  <c r="J40" i="28"/>
  <c r="K11" i="28" s="1"/>
  <c r="I40" i="28"/>
  <c r="J11" i="28" s="1"/>
  <c r="H40" i="28"/>
  <c r="I11" i="28" s="1"/>
  <c r="G40" i="28"/>
  <c r="H11" i="28" s="1"/>
  <c r="F40" i="28"/>
  <c r="G11" i="28" s="1"/>
  <c r="E40" i="28"/>
  <c r="F11" i="28" s="1"/>
  <c r="D40" i="28"/>
  <c r="E11" i="28" s="1"/>
  <c r="C40" i="28"/>
  <c r="D11" i="28" s="1"/>
  <c r="S11" i="28"/>
  <c r="M39" i="28"/>
  <c r="N10" i="28" s="1"/>
  <c r="L39" i="28"/>
  <c r="M10" i="28" s="1"/>
  <c r="K39" i="28"/>
  <c r="L10" i="28" s="1"/>
  <c r="J39" i="28"/>
  <c r="K10" i="28" s="1"/>
  <c r="I39" i="28"/>
  <c r="J10" i="28" s="1"/>
  <c r="H39" i="28"/>
  <c r="I10" i="28" s="1"/>
  <c r="G39" i="28"/>
  <c r="H10" i="28" s="1"/>
  <c r="F39" i="28"/>
  <c r="G10" i="28" s="1"/>
  <c r="E39" i="28"/>
  <c r="F10" i="28" s="1"/>
  <c r="D39" i="28"/>
  <c r="E10" i="28" s="1"/>
  <c r="C39" i="28"/>
  <c r="D10" i="28" s="1"/>
  <c r="S10" i="28"/>
  <c r="M38" i="28"/>
  <c r="N9" i="28" s="1"/>
  <c r="L38" i="28"/>
  <c r="M9" i="28" s="1"/>
  <c r="K38" i="28"/>
  <c r="L9" i="28" s="1"/>
  <c r="J38" i="28"/>
  <c r="K9" i="28" s="1"/>
  <c r="I38" i="28"/>
  <c r="J9" i="28" s="1"/>
  <c r="H38" i="28"/>
  <c r="I9" i="28" s="1"/>
  <c r="G38" i="28"/>
  <c r="H9" i="28" s="1"/>
  <c r="F38" i="28"/>
  <c r="G9" i="28" s="1"/>
  <c r="E38" i="28"/>
  <c r="F9" i="28" s="1"/>
  <c r="D38" i="28"/>
  <c r="E9" i="28" s="1"/>
  <c r="C38" i="28"/>
  <c r="D9" i="28" s="1"/>
  <c r="S9" i="28"/>
  <c r="B18" i="23" l="1"/>
  <c r="F16" i="25"/>
  <c r="G34" i="26"/>
  <c r="G33" i="26"/>
  <c r="B2" i="7"/>
  <c r="A59" i="28"/>
  <c r="R63" i="28" s="1"/>
  <c r="G30" i="28"/>
  <c r="S30" i="28" s="1"/>
  <c r="A1" i="28"/>
  <c r="A3" i="28" s="1"/>
  <c r="B6" i="7" l="1"/>
  <c r="B17" i="23" s="1"/>
  <c r="B11" i="23"/>
  <c r="O63" i="28"/>
  <c r="P63" i="28"/>
  <c r="Q63" i="28"/>
  <c r="A61" i="28"/>
  <c r="L5" i="28"/>
  <c r="K5" i="28"/>
  <c r="R5" i="28"/>
  <c r="Q5" i="28"/>
  <c r="O5" i="28"/>
  <c r="P5" i="28"/>
  <c r="N5" i="28"/>
  <c r="T30" i="28"/>
  <c r="S32" i="28"/>
  <c r="B1" i="28"/>
  <c r="E5" i="28"/>
  <c r="I5" i="28"/>
  <c r="J34" i="28"/>
  <c r="Q34" i="28"/>
  <c r="P34" i="28"/>
  <c r="H34" i="28"/>
  <c r="O34" i="28"/>
  <c r="N34" i="28"/>
  <c r="M34" i="28"/>
  <c r="D34" i="28"/>
  <c r="K34" i="28"/>
  <c r="C13" i="7" a="1"/>
  <c r="C13" i="7" s="1"/>
  <c r="C24" i="23" s="1"/>
  <c r="B13" i="7" a="1"/>
  <c r="B13" i="7" s="1"/>
  <c r="B24" i="23" s="1"/>
  <c r="B4" i="7"/>
  <c r="B13" i="23" s="1"/>
  <c r="B50" i="23" l="1"/>
  <c r="B49" i="23"/>
  <c r="B48" i="23"/>
  <c r="S91" i="28"/>
  <c r="B25" i="26"/>
  <c r="C11" i="26" s="1"/>
  <c r="B24" i="26"/>
  <c r="D11" i="25"/>
  <c r="C16" i="26"/>
  <c r="F16" i="26" s="1"/>
  <c r="C19" i="7"/>
  <c r="C19" i="29" s="1"/>
  <c r="D43" i="25"/>
  <c r="D50" i="23" l="1"/>
  <c r="C50" i="23"/>
  <c r="C20" i="7"/>
  <c r="C20" i="29" s="1"/>
  <c r="F20" i="29" s="1"/>
  <c r="H20" i="29" s="1"/>
  <c r="C30" i="23"/>
  <c r="D13" i="25"/>
  <c r="R96" i="28"/>
  <c r="Q96" i="28"/>
  <c r="P96" i="28"/>
  <c r="O96" i="28"/>
  <c r="H63" i="28"/>
  <c r="E63" i="28"/>
  <c r="B59" i="28"/>
  <c r="I63" i="28"/>
  <c r="N63" i="28"/>
  <c r="N96" i="28"/>
  <c r="I96" i="28"/>
  <c r="H96" i="28"/>
  <c r="T91" i="28"/>
  <c r="E96" i="28"/>
  <c r="B35" i="26"/>
  <c r="D35" i="26" s="1"/>
  <c r="B34" i="26"/>
  <c r="D34" i="26" s="1"/>
  <c r="B41" i="26"/>
  <c r="D41" i="26" s="1"/>
  <c r="B33" i="26"/>
  <c r="C25" i="7" l="1"/>
  <c r="C31" i="23"/>
  <c r="G35" i="25"/>
  <c r="G33" i="25"/>
  <c r="G34" i="25"/>
  <c r="G35" i="26"/>
  <c r="H35" i="26" s="1"/>
  <c r="F13" i="26"/>
  <c r="H34" i="26"/>
  <c r="B36" i="26"/>
  <c r="D33" i="26"/>
  <c r="D36" i="26" s="1"/>
  <c r="E11" i="26"/>
  <c r="D12" i="25"/>
  <c r="B24" i="25"/>
  <c r="B25" i="25"/>
  <c r="C11" i="25" s="1"/>
  <c r="B11" i="25"/>
  <c r="C25" i="29" l="1"/>
  <c r="H37" i="25"/>
  <c r="H33" i="26"/>
  <c r="H36" i="26" s="1"/>
  <c r="E13" i="26"/>
  <c r="F11" i="26"/>
  <c r="D42" i="25"/>
  <c r="B34" i="25"/>
  <c r="D34" i="25" s="1"/>
  <c r="B35" i="25"/>
  <c r="D35" i="25" s="1"/>
  <c r="B33" i="25"/>
  <c r="H35" i="25" l="1"/>
  <c r="H34" i="25"/>
  <c r="B40" i="25"/>
  <c r="D33" i="25"/>
  <c r="D36" i="25" s="1"/>
  <c r="F11" i="25" s="1"/>
  <c r="E11" i="25"/>
  <c r="B36" i="25"/>
  <c r="D40" i="25" l="1"/>
  <c r="E16" i="25"/>
  <c r="E13" i="25"/>
  <c r="H33" i="25"/>
  <c r="H36" i="25" s="1"/>
  <c r="F13" i="25" l="1"/>
  <c r="C11" i="7" l="1"/>
  <c r="B11" i="7"/>
  <c r="B11" i="29" l="1"/>
  <c r="B12" i="7"/>
  <c r="C11" i="29"/>
  <c r="C12" i="7"/>
  <c r="C22" i="23"/>
  <c r="C15" i="7"/>
  <c r="B22" i="23"/>
  <c r="B15" i="7"/>
  <c r="B14" i="7"/>
  <c r="C14" i="7"/>
  <c r="B12" i="29" l="1"/>
  <c r="B23" i="23"/>
  <c r="B13" i="29"/>
  <c r="C23" i="23"/>
  <c r="C13" i="29"/>
  <c r="C12" i="29"/>
  <c r="C25" i="23"/>
  <c r="C14" i="29"/>
  <c r="B25" i="23"/>
  <c r="B14" i="29"/>
  <c r="B26" i="23"/>
  <c r="B15" i="29"/>
  <c r="C26" i="23"/>
  <c r="C15" i="29"/>
  <c r="E92" i="3"/>
  <c r="B19" i="7" l="1"/>
  <c r="B19" i="29" l="1"/>
  <c r="B20" i="7"/>
  <c r="B20" i="29" s="1"/>
  <c r="B30" i="23"/>
  <c r="Q2" i="5"/>
  <c r="P2" i="5"/>
  <c r="O2" i="5"/>
  <c r="N2" i="5"/>
  <c r="B25" i="7" l="1"/>
  <c r="B25" i="29" s="1"/>
  <c r="B31" i="23"/>
  <c r="F10" i="22"/>
  <c r="B41" i="25" l="1"/>
  <c r="D41" i="25" s="1"/>
  <c r="D44" i="25" s="1"/>
  <c r="C62" i="3" l="1"/>
  <c r="C61" i="3"/>
  <c r="C60" i="3"/>
  <c r="C59" i="3"/>
  <c r="C12" i="25" s="1"/>
  <c r="B16" i="7" l="1"/>
  <c r="C12" i="26"/>
  <c r="C17" i="25"/>
  <c r="C16" i="7"/>
  <c r="A81" i="3"/>
  <c r="E35" i="26" l="1"/>
  <c r="F35" i="26" s="1"/>
  <c r="F12" i="26"/>
  <c r="E33" i="26"/>
  <c r="E34" i="26"/>
  <c r="F34" i="26" s="1"/>
  <c r="C17" i="26"/>
  <c r="B27" i="23"/>
  <c r="B16" i="29"/>
  <c r="B17" i="7"/>
  <c r="B17" i="29" s="1"/>
  <c r="B23" i="7"/>
  <c r="B21" i="7"/>
  <c r="C18" i="25"/>
  <c r="C28" i="23" s="1"/>
  <c r="H23" i="2" s="1"/>
  <c r="C16" i="29"/>
  <c r="C17" i="7"/>
  <c r="C17" i="29" s="1"/>
  <c r="F17" i="29" s="1"/>
  <c r="H17" i="29" s="1"/>
  <c r="C23" i="7"/>
  <c r="C27" i="23"/>
  <c r="C19" i="25"/>
  <c r="C33" i="23" s="1"/>
  <c r="C21" i="7"/>
  <c r="C21" i="29" s="1"/>
  <c r="E35" i="25"/>
  <c r="F35" i="25" s="1"/>
  <c r="E34" i="25"/>
  <c r="F34" i="25" s="1"/>
  <c r="E33" i="25"/>
  <c r="E12" i="26"/>
  <c r="E19" i="26" s="1"/>
  <c r="F33" i="26"/>
  <c r="F36" i="26" s="1"/>
  <c r="E30" i="26"/>
  <c r="E14" i="26"/>
  <c r="B59" i="3"/>
  <c r="B60" i="3"/>
  <c r="B34" i="23" l="1"/>
  <c r="B21" i="29"/>
  <c r="B22" i="29"/>
  <c r="B24" i="7"/>
  <c r="B24" i="29" s="1"/>
  <c r="B35" i="23"/>
  <c r="C19" i="26"/>
  <c r="B33" i="23" s="1"/>
  <c r="C18" i="26"/>
  <c r="B28" i="23" s="1"/>
  <c r="H15" i="2" s="1"/>
  <c r="C35" i="23"/>
  <c r="C22" i="29"/>
  <c r="C24" i="7"/>
  <c r="C34" i="23"/>
  <c r="G60" i="28"/>
  <c r="M63" i="28" s="1"/>
  <c r="F19" i="26"/>
  <c r="F14" i="26"/>
  <c r="E30" i="25"/>
  <c r="E12" i="25"/>
  <c r="E19" i="25" s="1"/>
  <c r="F33" i="25"/>
  <c r="F36" i="25" s="1"/>
  <c r="E14" i="25"/>
  <c r="F2" i="7" l="1"/>
  <c r="C24" i="29"/>
  <c r="G2" i="7"/>
  <c r="E2" i="29"/>
  <c r="F8" i="7"/>
  <c r="K63" i="28"/>
  <c r="G63" i="28"/>
  <c r="E7" i="29"/>
  <c r="D63" i="28"/>
  <c r="F63" i="28"/>
  <c r="H93" i="28"/>
  <c r="M96" i="28" s="1"/>
  <c r="L63" i="28"/>
  <c r="J63" i="28"/>
  <c r="F14" i="25"/>
  <c r="F12" i="25"/>
  <c r="F19" i="25" s="1"/>
  <c r="F14" i="7" l="1"/>
  <c r="E13" i="29" s="1"/>
  <c r="F11" i="7"/>
  <c r="E10" i="29" s="1"/>
  <c r="K96" i="28"/>
  <c r="G96" i="28"/>
  <c r="S63" i="28"/>
  <c r="A60" i="28" s="1"/>
  <c r="D96" i="28"/>
  <c r="F96" i="28"/>
  <c r="G2" i="28"/>
  <c r="J5" i="28" s="1"/>
  <c r="G31" i="28"/>
  <c r="L34" i="28" s="1"/>
  <c r="L96" i="28"/>
  <c r="J96" i="28"/>
  <c r="B5" i="7"/>
  <c r="B8" i="7" s="1"/>
  <c r="F2" i="29"/>
  <c r="G5" i="28" l="1"/>
  <c r="M5" i="28"/>
  <c r="B14" i="23"/>
  <c r="G6" i="7"/>
  <c r="G4" i="7"/>
  <c r="F4" i="29" s="1"/>
  <c r="G8" i="7"/>
  <c r="E34" i="28"/>
  <c r="F34" i="28"/>
  <c r="B19" i="23"/>
  <c r="B26" i="7"/>
  <c r="B26" i="29" s="1"/>
  <c r="B1" i="25"/>
  <c r="B1" i="26"/>
  <c r="C26" i="7"/>
  <c r="C26" i="29" s="1"/>
  <c r="B63" i="28"/>
  <c r="G61" i="28" s="1"/>
  <c r="J59" i="28"/>
  <c r="F4" i="7"/>
  <c r="E4" i="29" s="1"/>
  <c r="D5" i="28"/>
  <c r="F5" i="28"/>
  <c r="C34" i="28"/>
  <c r="S93" i="28"/>
  <c r="I34" i="28"/>
  <c r="G34" i="28"/>
  <c r="H5" i="28"/>
  <c r="S96" i="28"/>
  <c r="S92" i="28" s="1"/>
  <c r="T93" i="28" s="1"/>
  <c r="F6" i="7"/>
  <c r="H2" i="7"/>
  <c r="F7" i="29" l="1"/>
  <c r="G14" i="7"/>
  <c r="F13" i="29" s="1"/>
  <c r="G11" i="7"/>
  <c r="F10" i="29" s="1"/>
  <c r="C49" i="23"/>
  <c r="C48" i="23"/>
  <c r="B43" i="23"/>
  <c r="D53" i="23" s="1"/>
  <c r="C43" i="23"/>
  <c r="E53" i="23" s="1"/>
  <c r="W88" i="28"/>
  <c r="V91" i="28" s="1"/>
  <c r="B4" i="26"/>
  <c r="B29" i="29" s="1"/>
  <c r="B4" i="25"/>
  <c r="C29" i="29" s="1"/>
  <c r="S5" i="28"/>
  <c r="A2" i="28" s="1"/>
  <c r="B5" i="28" s="1"/>
  <c r="R34" i="28"/>
  <c r="S31" i="28" s="1"/>
  <c r="S34" i="28" s="1"/>
  <c r="G32" i="28" s="1"/>
  <c r="D4" i="25" s="1"/>
  <c r="C4" i="26"/>
  <c r="H94" i="28"/>
  <c r="T96" i="28"/>
  <c r="H8" i="7"/>
  <c r="B5" i="16"/>
  <c r="C40" i="23" l="1"/>
  <c r="C31" i="29"/>
  <c r="B30" i="29"/>
  <c r="C7" i="25"/>
  <c r="E25" i="25" s="1"/>
  <c r="C38" i="23"/>
  <c r="W89" i="28"/>
  <c r="G95" i="28" s="1"/>
  <c r="B38" i="23"/>
  <c r="B39" i="23"/>
  <c r="Q95" i="28"/>
  <c r="W91" i="28"/>
  <c r="P95" i="28"/>
  <c r="E95" i="28"/>
  <c r="O95" i="28"/>
  <c r="F95" i="28"/>
  <c r="D95" i="28"/>
  <c r="V93" i="28"/>
  <c r="R95" i="28"/>
  <c r="I95" i="28"/>
  <c r="K95" i="28"/>
  <c r="C7" i="26"/>
  <c r="G3" i="28"/>
  <c r="C4" i="25" s="1"/>
  <c r="J1" i="28"/>
  <c r="D4" i="26"/>
  <c r="N95" i="28" l="1"/>
  <c r="J95" i="28"/>
  <c r="M95" i="28"/>
  <c r="H95" i="28"/>
  <c r="L95" i="28"/>
  <c r="C35" i="29"/>
  <c r="C30" i="29"/>
  <c r="B40" i="23"/>
  <c r="B31" i="29"/>
  <c r="B35" i="29"/>
  <c r="F18" i="25"/>
  <c r="F20" i="25" s="1"/>
  <c r="F21" i="25" s="1"/>
  <c r="D7" i="25"/>
  <c r="D25" i="25"/>
  <c r="C44" i="23"/>
  <c r="E54" i="23" s="1"/>
  <c r="D49" i="23" s="1"/>
  <c r="C39" i="23"/>
  <c r="F4" i="26"/>
  <c r="B44" i="23"/>
  <c r="D54" i="23" s="1"/>
  <c r="D48" i="23" s="1"/>
  <c r="D7" i="26"/>
  <c r="F18" i="26"/>
  <c r="F20" i="26" s="1"/>
  <c r="F21" i="26" s="1"/>
  <c r="E25" i="26"/>
  <c r="D25" i="26"/>
  <c r="B62" i="3"/>
  <c r="B61" i="3"/>
  <c r="B40" i="26" s="1"/>
  <c r="D40" i="26" s="1"/>
  <c r="D44" i="26" s="1"/>
  <c r="S95" i="28" l="1"/>
  <c r="V96" i="28"/>
  <c r="V92" i="28" s="1"/>
  <c r="W93" i="28" s="1"/>
  <c r="W96" i="28" s="1"/>
  <c r="B7" i="25"/>
  <c r="C32" i="23"/>
  <c r="B7" i="26"/>
  <c r="D24" i="26" s="1"/>
  <c r="B32" i="23"/>
  <c r="M9" i="5"/>
  <c r="K9" i="5"/>
  <c r="H9" i="5"/>
  <c r="E9" i="5"/>
  <c r="M8" i="5"/>
  <c r="K8" i="5"/>
  <c r="H8" i="5"/>
  <c r="E8" i="5"/>
  <c r="M7" i="5"/>
  <c r="K7" i="5"/>
  <c r="H7" i="5"/>
  <c r="E7" i="5"/>
  <c r="M6" i="5"/>
  <c r="K6" i="5"/>
  <c r="H6" i="5"/>
  <c r="E6" i="5"/>
  <c r="N4" i="5"/>
  <c r="E24" i="26" l="1"/>
  <c r="E20" i="26"/>
  <c r="E21" i="26" s="1"/>
  <c r="E18" i="26"/>
  <c r="E18" i="25"/>
  <c r="E20" i="25"/>
  <c r="E21" i="25" s="1"/>
  <c r="D24" i="25"/>
  <c r="E24" i="25"/>
  <c r="Q8" i="5"/>
  <c r="Q9" i="5"/>
  <c r="P9" i="5"/>
  <c r="Q6" i="5"/>
  <c r="P6" i="5"/>
  <c r="P8" i="5"/>
  <c r="P7" i="5"/>
  <c r="Q7" i="5"/>
  <c r="O6" i="5"/>
  <c r="N6" i="5"/>
  <c r="O8" i="5"/>
  <c r="O7" i="5"/>
  <c r="N7" i="5"/>
  <c r="N9" i="5"/>
  <c r="N8" i="5"/>
  <c r="O9" i="5"/>
  <c r="S7" i="5" l="1"/>
  <c r="R7" i="5"/>
  <c r="S6" i="5"/>
  <c r="R9" i="5"/>
  <c r="R8" i="5"/>
  <c r="R6" i="5"/>
  <c r="S9" i="5"/>
  <c r="S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NUTRIFARMA_2345</author>
  </authors>
  <commentList>
    <comment ref="D4" authorId="0" shapeId="0" xr:uid="{60E0A7CC-DA5D-46D8-AD3B-F3E843720833}">
      <text>
        <r>
          <rPr>
            <b/>
            <sz val="9"/>
            <color indexed="81"/>
            <rFont val="Segoe UI"/>
            <family val="2"/>
          </rPr>
          <t>Otávio: 
Custo em R$ com nutrição, para ganho de 1 kg de peso vivo do animal. Os fatores que alteram este valor está descrito na eficiencia alimentar.</t>
        </r>
      </text>
    </comment>
    <comment ref="A5" authorId="0" shapeId="0" xr:uid="{ECBCC087-2E7F-4DD8-AE3E-119E266D7039}">
      <text>
        <r>
          <rPr>
            <b/>
            <sz val="9"/>
            <color indexed="81"/>
            <rFont val="Segoe UI"/>
            <family val="2"/>
          </rPr>
          <t>Otávio:
Produtor: Usar planilha Power Growth para descobrir GPD médio da fazenda.
Veterinários: Usar Benchmark Power Growth (1522 animais avaliados)
Holandes: GPD Sist. Conv. 0,450 ; GPD Nutrifarma 0,650
Girolando: GPD Sist. Conv. 0,420; GPD Nutrifarma 0,780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NUTRIFARMA_2345</author>
  </authors>
  <commentList>
    <comment ref="I11" authorId="0" shapeId="0" xr:uid="{529BEAC4-7CE7-4A84-8FC7-6F95498F1345}">
      <text>
        <r>
          <rPr>
            <b/>
            <sz val="9"/>
            <color indexed="81"/>
            <rFont val="Segoe UI"/>
            <family val="2"/>
          </rPr>
          <t>Otávio: 
Custo em R$ com nutrição, para ganho de 1 kg de peso vivo do animal. Os fatores que alteram este valor está descrito na eficiencia alimentar.</t>
        </r>
      </text>
    </comment>
    <comment ref="A13" authorId="0" shapeId="0" xr:uid="{A867D52E-24E0-46E2-83A9-D16D04CA810B}">
      <text>
        <r>
          <rPr>
            <b/>
            <sz val="9"/>
            <color indexed="81"/>
            <rFont val="Segoe UI"/>
            <family val="2"/>
          </rPr>
          <t>1- Usar planilha Power Growth para descobrir GPD médio da fazenda.
2- Usar Benchmark Power Growth (1522 animais avaliados)
Holandes: GPD Sist. Conv. 0,450 ; GPD Nutrifarma 0,650
Girolando: GPD Sist. Conv. 0,420; GPD Nutrifarma 0,780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NUTRIFARMA_2345</author>
  </authors>
  <commentList>
    <comment ref="A4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1- Usar planilha Power Growth para descobrir GPD médio da fazenda.
2- Usar Benchmark Power Growth (1522 animais avaliados)
Holandes: GPD Sist. Conv. 0,450 ; GPD Nutrifarma 0,650
Girolando: GPD Sist. Conv. 0,420; GPD Nutrifarma 0,780</t>
        </r>
      </text>
    </comment>
    <comment ref="E4" authorId="0" shapeId="0" xr:uid="{00000000-0006-0000-0700-000003000000}">
      <text>
        <r>
          <rPr>
            <b/>
            <sz val="9"/>
            <color rgb="FF000000"/>
            <rFont val="Segoe UI"/>
            <family val="2"/>
            <charset val="1"/>
          </rPr>
          <t xml:space="preserve">Otávio: 
</t>
        </r>
        <r>
          <rPr>
            <b/>
            <sz val="9"/>
            <color rgb="FF000000"/>
            <rFont val="Segoe UI"/>
            <family val="2"/>
            <charset val="1"/>
          </rPr>
          <t>Custo em R$ com nutrição, para ganho de 1 kg de peso vivo do animal. Os fatores que alteram este valor está descrito na eficiencia alimentar.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<sst xmlns="http://schemas.openxmlformats.org/spreadsheetml/2006/main" count="450" uniqueCount="261">
  <si>
    <t>Programa Power Growth</t>
  </si>
  <si>
    <t>Fazenda</t>
  </si>
  <si>
    <t>Proprietário</t>
  </si>
  <si>
    <t>Cidade/UF</t>
  </si>
  <si>
    <t>Técnico da Fazenda</t>
  </si>
  <si>
    <t>Raça</t>
  </si>
  <si>
    <t>Dieta atual</t>
  </si>
  <si>
    <t>Leite</t>
  </si>
  <si>
    <t>Ração</t>
  </si>
  <si>
    <t>Quantidades</t>
  </si>
  <si>
    <t>Enriquecimento</t>
  </si>
  <si>
    <t>Sucedâneo</t>
  </si>
  <si>
    <t>Raças</t>
  </si>
  <si>
    <t>Holandês</t>
  </si>
  <si>
    <t>Girolando</t>
  </si>
  <si>
    <t>Jersey</t>
  </si>
  <si>
    <t>TABELA DE DESENVOLVIMENTO BOVINOS LEITE - PESO / ALTURA</t>
  </si>
  <si>
    <t>IDADE</t>
  </si>
  <si>
    <t>MESES</t>
  </si>
  <si>
    <t>PESO</t>
  </si>
  <si>
    <t>ALTURA</t>
  </si>
  <si>
    <t>Peso x Altura</t>
  </si>
  <si>
    <t>Idade dias</t>
  </si>
  <si>
    <t>Desmama (dias)</t>
  </si>
  <si>
    <t>Vetilac Premium</t>
  </si>
  <si>
    <t>Vetilac Ultra</t>
  </si>
  <si>
    <t>Vetilac Premium Azul</t>
  </si>
  <si>
    <t>Proprietário:</t>
  </si>
  <si>
    <t>Fazenda:</t>
  </si>
  <si>
    <t>Nº de parto mês</t>
  </si>
  <si>
    <t>PC</t>
  </si>
  <si>
    <t>Kg/sc</t>
  </si>
  <si>
    <t>Financeiro</t>
  </si>
  <si>
    <t>Leite descarte</t>
  </si>
  <si>
    <t>Leite in natura</t>
  </si>
  <si>
    <t>Proteína</t>
  </si>
  <si>
    <t>Total dieta fornecida</t>
  </si>
  <si>
    <t xml:space="preserve">Leite </t>
  </si>
  <si>
    <t>Gordura</t>
  </si>
  <si>
    <t>Lactose</t>
  </si>
  <si>
    <t>Ração comercial</t>
  </si>
  <si>
    <t>Sucedâneo lácteo</t>
  </si>
  <si>
    <t>Toplac pré-inicial</t>
  </si>
  <si>
    <t>Dados</t>
  </si>
  <si>
    <t>À vontade</t>
  </si>
  <si>
    <t>PROTOCOLO NUTRICIONAL PARA CRIAÇÃO DE BEZERRAS                                                                                                                                 BEZERRAS RECÉM NASCIDAS</t>
  </si>
  <si>
    <t>PRÁTICA</t>
  </si>
  <si>
    <t>QUANTIDADE</t>
  </si>
  <si>
    <t>QUANDO</t>
  </si>
  <si>
    <t>COMO</t>
  </si>
  <si>
    <t>OBSERVAÇÃO</t>
  </si>
  <si>
    <t>4 litros/dia</t>
  </si>
  <si>
    <t>No momento do fornecimento do leite</t>
  </si>
  <si>
    <t>Manhã: 2 litros                                        Tarde: 2 litros</t>
  </si>
  <si>
    <t>100g animal/dia</t>
  </si>
  <si>
    <t xml:space="preserve">Mistura 25g de Vetilac Azul por litro de leite, ou 1 medida (220g) para cada 10 litros de leite. </t>
  </si>
  <si>
    <t>Temperatura do leite 40ºC</t>
  </si>
  <si>
    <t>A partir do 3º dias de vida à 60  dias de idade</t>
  </si>
  <si>
    <t>No cocho</t>
  </si>
  <si>
    <t>Fornecer no cocho em pequenas quantidades várias vezes ao dia.</t>
  </si>
  <si>
    <t>A partir da 1º semana de vida</t>
  </si>
  <si>
    <t>Em cocho automático ou em balde</t>
  </si>
  <si>
    <t>Evitar acesso 1 hora antes e 1 hora após o fornecimento do leite</t>
  </si>
  <si>
    <t>Quando consumo estiver em  a 1,00 kg da Ração Toplac Pré Inicial.</t>
  </si>
  <si>
    <t>Período de 1 semana</t>
  </si>
  <si>
    <t>2 litros de leite + 100g de VETILAC AZUL + 1,00 kg da Ração Pré Inicial por dia</t>
  </si>
  <si>
    <t>Após 1 semana neste manejo desmamar totalmente</t>
  </si>
  <si>
    <t>Controlado</t>
  </si>
  <si>
    <t>Na semana que anteceder a desmama</t>
  </si>
  <si>
    <t>Fenil / Cocho (picado)</t>
  </si>
  <si>
    <t>Limitar consumo para que não interfira ingestão da Ração Toplac Pré inicial</t>
  </si>
  <si>
    <t>Faz. Céu Azul</t>
  </si>
  <si>
    <t>José Luiz Zago</t>
  </si>
  <si>
    <t>Técnico:</t>
  </si>
  <si>
    <t>Otávio José</t>
  </si>
  <si>
    <t>Telefone:</t>
  </si>
  <si>
    <t>(34)99157-0327</t>
  </si>
  <si>
    <t>LEITE</t>
  </si>
  <si>
    <t>TOPLAC PRÉ INICIAL</t>
  </si>
  <si>
    <t>Fornecimento de água</t>
  </si>
  <si>
    <t>Desmama</t>
  </si>
  <si>
    <t>Feno (opcional)</t>
  </si>
  <si>
    <t>Parâmetros</t>
  </si>
  <si>
    <t>Produtor</t>
  </si>
  <si>
    <t>Dias em aleitamento</t>
  </si>
  <si>
    <t>Peso médio nascimento (kg)</t>
  </si>
  <si>
    <t>Ganho total período (kg)</t>
  </si>
  <si>
    <t xml:space="preserve">Peso bezerra (kg) </t>
  </si>
  <si>
    <t>R$/kg de ganho</t>
  </si>
  <si>
    <t>Sólidos no leite (%)</t>
  </si>
  <si>
    <t>GPD médio</t>
  </si>
  <si>
    <r>
      <t>Custo alimentação</t>
    </r>
    <r>
      <rPr>
        <b/>
        <sz val="11"/>
        <color theme="1"/>
        <rFont val="Calibri"/>
        <family val="2"/>
        <scheme val="minor"/>
      </rPr>
      <t xml:space="preserve"> (R$/bezerra/dia)</t>
    </r>
  </si>
  <si>
    <t>Nº de bezerras</t>
  </si>
  <si>
    <t>Diluição</t>
  </si>
  <si>
    <t>Substituição.Total</t>
  </si>
  <si>
    <t>Substituição.Parcial</t>
  </si>
  <si>
    <t>Ultramilk</t>
  </si>
  <si>
    <r>
      <t xml:space="preserve">Custo por kg de MS </t>
    </r>
    <r>
      <rPr>
        <sz val="8"/>
        <color theme="1"/>
        <rFont val="Calibri"/>
        <family val="2"/>
        <scheme val="minor"/>
      </rPr>
      <t>(Leite e/ou Sucedâneo)</t>
    </r>
  </si>
  <si>
    <r>
      <t xml:space="preserve">Consumo total </t>
    </r>
    <r>
      <rPr>
        <sz val="8"/>
        <color theme="1"/>
        <rFont val="Calibri"/>
        <family val="2"/>
        <scheme val="minor"/>
      </rPr>
      <t xml:space="preserve">(Sucedâneo e/ou leite) </t>
    </r>
    <r>
      <rPr>
        <sz val="9"/>
        <color theme="1"/>
        <rFont val="Calibri"/>
        <family val="2"/>
        <scheme val="minor"/>
      </rPr>
      <t>R$</t>
    </r>
  </si>
  <si>
    <r>
      <t xml:space="preserve">Consumo total </t>
    </r>
    <r>
      <rPr>
        <sz val="8"/>
        <color theme="1"/>
        <rFont val="Calibri"/>
        <family val="2"/>
        <scheme val="minor"/>
      </rPr>
      <t xml:space="preserve">(Ração) </t>
    </r>
    <r>
      <rPr>
        <sz val="10"/>
        <color theme="1"/>
        <rFont val="Calibri"/>
        <family val="2"/>
        <scheme val="minor"/>
      </rPr>
      <t>R$</t>
    </r>
  </si>
  <si>
    <t>Técnico Agrifirm</t>
  </si>
  <si>
    <t>Agrifirm</t>
  </si>
  <si>
    <t>MS</t>
  </si>
  <si>
    <t>Silagem de milho</t>
  </si>
  <si>
    <t>Volumoso</t>
  </si>
  <si>
    <t>Concentrado</t>
  </si>
  <si>
    <t>Feno tipo A</t>
  </si>
  <si>
    <t>PESO1</t>
  </si>
  <si>
    <t>PESO2</t>
  </si>
  <si>
    <t>ALTURA1</t>
  </si>
  <si>
    <t>ALTURA2</t>
  </si>
  <si>
    <t>Peso x Altura2</t>
  </si>
  <si>
    <t>Peso x Altura1</t>
  </si>
  <si>
    <t>Diferença</t>
  </si>
  <si>
    <t>Empresa</t>
  </si>
  <si>
    <t>PB (%)</t>
  </si>
  <si>
    <t>EE      (%)</t>
  </si>
  <si>
    <t>Lactose   (%)</t>
  </si>
  <si>
    <t xml:space="preserve">Vetilac Azul </t>
  </si>
  <si>
    <t>Vetilac Ultamilk</t>
  </si>
  <si>
    <t>Nurture Lactal</t>
  </si>
  <si>
    <t>Cargill</t>
  </si>
  <si>
    <t>Nurture Prime</t>
  </si>
  <si>
    <t>Nurture Bovilac</t>
  </si>
  <si>
    <t>Amamilk Premium</t>
  </si>
  <si>
    <t>Diamaju</t>
  </si>
  <si>
    <t>Amamenta Premium</t>
  </si>
  <si>
    <t>Neovia</t>
  </si>
  <si>
    <t>Kalvolac Quick</t>
  </si>
  <si>
    <t>Nutrifeed</t>
  </si>
  <si>
    <t>Kalvolac</t>
  </si>
  <si>
    <t>Desmamelac Premium</t>
  </si>
  <si>
    <t>PNI</t>
  </si>
  <si>
    <t>PrimoLácteo</t>
  </si>
  <si>
    <t>Tectron</t>
  </si>
  <si>
    <t>Sprayfo azul</t>
  </si>
  <si>
    <t>Trow Nutrition</t>
  </si>
  <si>
    <t>Sprayfo violeta</t>
  </si>
  <si>
    <t>Lactech</t>
  </si>
  <si>
    <t>Lactalis Feed</t>
  </si>
  <si>
    <t>Lactoplus</t>
  </si>
  <si>
    <t>Baspan</t>
  </si>
  <si>
    <t>Outro</t>
  </si>
  <si>
    <t>kg ou lt</t>
  </si>
  <si>
    <t>e-mail</t>
  </si>
  <si>
    <t>Coluna1</t>
  </si>
  <si>
    <t>Consumo ração inicial (total kg)</t>
  </si>
  <si>
    <t>Ração Pré Inicial Agrifirm</t>
  </si>
  <si>
    <t>NUTRIÇÃO AGRIFIRM</t>
  </si>
  <si>
    <t>Ingestão de sólidos Leite (kg)</t>
  </si>
  <si>
    <t>José da Silva</t>
  </si>
  <si>
    <t>Montes Claros</t>
  </si>
  <si>
    <t>Castro/PR</t>
  </si>
  <si>
    <t>042 99915-2168</t>
  </si>
  <si>
    <t>j.silva@gmail.com</t>
  </si>
  <si>
    <t>Elinton W. Carneiro</t>
  </si>
  <si>
    <t>Pedro da Silva</t>
  </si>
  <si>
    <t>Cruzadas</t>
  </si>
  <si>
    <t>R$/lt/kg</t>
  </si>
  <si>
    <t>Cód.</t>
  </si>
  <si>
    <r>
      <t xml:space="preserve">Leite </t>
    </r>
    <r>
      <rPr>
        <i/>
        <sz val="11"/>
        <color theme="1"/>
        <rFont val="Calibri"/>
        <family val="2"/>
        <scheme val="minor"/>
      </rPr>
      <t>in natura</t>
    </r>
  </si>
  <si>
    <t>Peso médio das bezerras (kg)</t>
  </si>
  <si>
    <t>GPD esperado (g/dia):</t>
  </si>
  <si>
    <t xml:space="preserve">Necessidade para GPD </t>
  </si>
  <si>
    <t>Proteína                        g/dia</t>
  </si>
  <si>
    <t>Energia Metabolizável     Mcal/dia</t>
  </si>
  <si>
    <t>Dieta Líquida fornecida</t>
  </si>
  <si>
    <t>Tipo de Leite utilizado:</t>
  </si>
  <si>
    <t>Enriquecimento:</t>
  </si>
  <si>
    <t>Dieta concentrada</t>
  </si>
  <si>
    <t>300g</t>
  </si>
  <si>
    <t>Necessidade</t>
  </si>
  <si>
    <t>Enriquecimento do leite</t>
  </si>
  <si>
    <t>kg ou lt2</t>
  </si>
  <si>
    <t>Volume de Sucedâneo Lácteo</t>
  </si>
  <si>
    <t>EFICIÊNCIA ALIMENTAR</t>
  </si>
  <si>
    <t>IMS total (leite e/ou suced. + ração (kg)</t>
  </si>
  <si>
    <t>Sucedâneo:</t>
  </si>
  <si>
    <t>lt/kg/dia</t>
  </si>
  <si>
    <t>Sólidos/kg/lt</t>
  </si>
  <si>
    <t>Ração comercial 18%</t>
  </si>
  <si>
    <t>Ração comercial 20%</t>
  </si>
  <si>
    <t xml:space="preserve">      Necessidade MS  Leite/Sucedâneo (kg)</t>
  </si>
  <si>
    <t>sucedâneo</t>
  </si>
  <si>
    <t>leite</t>
  </si>
  <si>
    <t>Idade das bezerras (dias)</t>
  </si>
  <si>
    <t>Peso a desmama (kg)</t>
  </si>
  <si>
    <t>*Proteína - leite e suced. 93%; ração 81%</t>
  </si>
  <si>
    <t>Amido</t>
  </si>
  <si>
    <t>Energia metabolizável Mcal/dia</t>
  </si>
  <si>
    <t xml:space="preserve">Dias para atingir o peso </t>
  </si>
  <si>
    <t xml:space="preserve">      Necessidade MS  (kg)</t>
  </si>
  <si>
    <t>ED</t>
  </si>
  <si>
    <t>Ração comercial 22%</t>
  </si>
  <si>
    <t>Ração comercial 24%</t>
  </si>
  <si>
    <t>EM</t>
  </si>
  <si>
    <t>Ração Pré Inicial 21% Agrifirm</t>
  </si>
  <si>
    <t>PROTEINA METABOLIZÁVEL (g/dia)</t>
  </si>
  <si>
    <t>ENERGIA METABOLIZÁVEL Mcal/dia</t>
  </si>
  <si>
    <t>Sem leite</t>
  </si>
  <si>
    <r>
      <t>Custo alimentação</t>
    </r>
    <r>
      <rPr>
        <b/>
        <sz val="11"/>
        <color theme="1"/>
        <rFont val="Calibri"/>
        <family val="2"/>
        <scheme val="minor"/>
      </rPr>
      <t xml:space="preserve"> (R$/bezerra/60 dias)</t>
    </r>
  </si>
  <si>
    <t>1 kg NDT = 4,4 Mcal ED</t>
  </si>
  <si>
    <t>EM = 0,82 x ED</t>
  </si>
  <si>
    <t>RAÇÃO PRÉ INICIAL = 82,2% NDT</t>
  </si>
  <si>
    <t>AGRIFIRM</t>
  </si>
  <si>
    <t>valor primeira linha</t>
  </si>
  <si>
    <t>Valor coluna</t>
  </si>
  <si>
    <t>Valor primeira coluna =</t>
  </si>
  <si>
    <t>loock</t>
  </si>
  <si>
    <t>PRODUTOR</t>
  </si>
  <si>
    <t>PB</t>
  </si>
  <si>
    <t>PM</t>
  </si>
  <si>
    <t>Volume para atender prot</t>
  </si>
  <si>
    <t>volume para atender energ</t>
  </si>
  <si>
    <t>Power Growth Calculator</t>
  </si>
  <si>
    <t>Marca</t>
  </si>
  <si>
    <t>Sólidos no leite</t>
  </si>
  <si>
    <t>Total de sólidos</t>
  </si>
  <si>
    <t>Fibra</t>
  </si>
  <si>
    <t>SUCEDÂNEO</t>
  </si>
  <si>
    <t>%</t>
  </si>
  <si>
    <t>kcal/kg</t>
  </si>
  <si>
    <t>M. Mineral</t>
  </si>
  <si>
    <t>Peso ideal aos 60 dias</t>
  </si>
  <si>
    <t>Peso da bezerra (kg)</t>
  </si>
  <si>
    <t>Consumo médio ração/dia</t>
  </si>
  <si>
    <t>peso</t>
  </si>
  <si>
    <t>ganho</t>
  </si>
  <si>
    <t>Necessidade ganho de peso (g)</t>
  </si>
  <si>
    <t>Sólidos no leite %</t>
  </si>
  <si>
    <t>Consumo total (Sucedâneo e/ou leite) R$</t>
  </si>
  <si>
    <t>Consumo total (Ração) R$</t>
  </si>
  <si>
    <t>Custo total alimentação (R$/Bezerra)</t>
  </si>
  <si>
    <t>Custo alimentação (R$/bezerra/dia)</t>
  </si>
  <si>
    <t>Custo alimentação (R$/bezerra/60 dias)</t>
  </si>
  <si>
    <t>Meta</t>
  </si>
  <si>
    <t xml:space="preserve">PM </t>
  </si>
  <si>
    <t xml:space="preserve">EM </t>
  </si>
  <si>
    <t>Dieta</t>
  </si>
  <si>
    <t>PAGINA INICIAL</t>
  </si>
  <si>
    <t>PAGINA 2</t>
  </si>
  <si>
    <t>Custo por kg de MS (Leite e/ou Sucedâneo)</t>
  </si>
  <si>
    <t>Consumo de MS predito (kg/dia)</t>
  </si>
  <si>
    <t>Consumo de MS fornecido por dia</t>
  </si>
  <si>
    <t>META</t>
  </si>
  <si>
    <t>Nascimento</t>
  </si>
  <si>
    <t>Volume de Sucedâneo Lácteo período</t>
  </si>
  <si>
    <t>Volume leite fornecido período (lt)</t>
  </si>
  <si>
    <t>Volume leite fornecido (lt/dia)</t>
  </si>
  <si>
    <t>Volume leite fornecido( lt/dia)</t>
  </si>
  <si>
    <t>Volume leite fornecido média (lt/dia)</t>
  </si>
  <si>
    <t>Volume de Sucedâneo Lácteo período (kg)</t>
  </si>
  <si>
    <t>Custo alimentação período(R$/bezerra)</t>
  </si>
  <si>
    <r>
      <t>Custo alimentação</t>
    </r>
    <r>
      <rPr>
        <b/>
        <sz val="11"/>
        <color theme="1"/>
        <rFont val="Calibri"/>
        <family val="2"/>
        <scheme val="minor"/>
      </rPr>
      <t xml:space="preserve"> período(R$/bezerra)</t>
    </r>
  </si>
  <si>
    <t>Consumo ração no período (total kg)</t>
  </si>
  <si>
    <t>IMS total (leite e/ou suced. + ração) (kg)</t>
  </si>
  <si>
    <t>Volume de Sucedâneo Lácteo kg/dia</t>
  </si>
  <si>
    <t>Sc/bezerra</t>
  </si>
  <si>
    <t>Ração pré inicial</t>
  </si>
  <si>
    <t>Sólidos no leite/sucedâneo</t>
  </si>
  <si>
    <r>
      <t xml:space="preserve">Custo total alimentação </t>
    </r>
    <r>
      <rPr>
        <sz val="11"/>
        <color theme="1"/>
        <rFont val="Calibri"/>
        <family val="2"/>
        <scheme val="minor"/>
      </rPr>
      <t>(R$/Bezerra)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</si>
</sst>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9">
    <numFmt numFmtId="8" formatCode="&quot;R$&quot;\ #,##0.00;[Red]\-&quot;R$&quot;\ #,##0.00"/>
    <numFmt numFmtId="43" formatCode="_-* #,##0.00_-;\-* #,##0.00_-;_-* &quot;-&quot;??_-;_-@_-"/>
    <numFmt numFmtId="164" formatCode="General\ &quot;g/dia&quot;"/>
    <numFmt numFmtId="165" formatCode="0.0"/>
    <numFmt numFmtId="166" formatCode="0.000"/>
    <numFmt numFmtId="167" formatCode="0.000\ &quot;kg/dia&quot;"/>
    <numFmt numFmtId="168" formatCode="General\ &quot;g&quot;"/>
    <numFmt numFmtId="169" formatCode="General\ &quot;lts/dia&quot;"/>
    <numFmt numFmtId="170" formatCode="0\ &quot;g/dia&quot;"/>
    <numFmt numFmtId="171" formatCode="General\ &quot;Kcal&quot;"/>
    <numFmt numFmtId="172" formatCode="General\ &quot;Kcal/dia&quot;"/>
    <numFmt numFmtId="173" formatCode="0\ &quot;Kcal/dia&quot;"/>
    <numFmt numFmtId="174" formatCode="0.00\ &quot;g/dia&quot;"/>
    <numFmt numFmtId="175" formatCode="General\ &quot;g/kg&quot;"/>
    <numFmt numFmtId="176" formatCode="General\ &quot;Kcal/kg&quot;"/>
    <numFmt numFmtId="177" formatCode="&quot;R$&quot;\ #,##0.000;[Red]\-&quot;R$&quot;\ #,##0.000"/>
    <numFmt numFmtId="178" formatCode="0.0000"/>
    <numFmt numFmtId="179" formatCode="_-* #,##0_-;\-* #,##0_-;_-* &quot;-&quot;??_-;_-@_-"/>
    <numFmt numFmtId="180" formatCode="0.0\ &quot;g/dia&quot;"/>
  </numFmts>
  <fonts count="4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FF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b/>
      <sz val="12"/>
      <color rgb="FF000000"/>
      <name val="Arial"/>
      <family val="2"/>
    </font>
    <font>
      <sz val="9"/>
      <color theme="0" tint="-0.34998626667073579"/>
      <name val="Arial"/>
      <family val="2"/>
    </font>
    <font>
      <b/>
      <sz val="12"/>
      <color rgb="FFFFFFFF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rgb="FF0066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rgb="FF000000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indexed="64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006600"/>
      </left>
      <right/>
      <top style="medium">
        <color rgb="FF006600"/>
      </top>
      <bottom/>
      <diagonal/>
    </border>
    <border>
      <left style="thin">
        <color theme="0"/>
      </left>
      <right/>
      <top style="medium">
        <color rgb="FF006600"/>
      </top>
      <bottom/>
      <diagonal/>
    </border>
    <border>
      <left style="thin">
        <color theme="0"/>
      </left>
      <right style="medium">
        <color rgb="FF006600"/>
      </right>
      <top style="medium">
        <color rgb="FF006600"/>
      </top>
      <bottom/>
      <diagonal/>
    </border>
    <border>
      <left style="medium">
        <color rgb="FF006600"/>
      </left>
      <right style="thin">
        <color theme="9" tint="-0.249977111117893"/>
      </right>
      <top style="medium">
        <color indexed="64"/>
      </top>
      <bottom/>
      <diagonal/>
    </border>
    <border>
      <left style="thin">
        <color theme="9" tint="-0.249977111117893"/>
      </left>
      <right style="medium">
        <color rgb="FF006600"/>
      </right>
      <top style="medium">
        <color indexed="64"/>
      </top>
      <bottom/>
      <diagonal/>
    </border>
    <border>
      <left style="medium">
        <color rgb="FF006600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rgb="FF006600"/>
      </right>
      <top/>
      <bottom style="thin">
        <color theme="9" tint="-0.249977111117893"/>
      </bottom>
      <diagonal/>
    </border>
    <border>
      <left style="medium">
        <color rgb="FF006600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medium">
        <color rgb="FF006600"/>
      </right>
      <top style="thin">
        <color theme="9" tint="-0.249977111117893"/>
      </top>
      <bottom/>
      <diagonal/>
    </border>
    <border>
      <left style="medium">
        <color rgb="FF006600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medium">
        <color rgb="FF006600"/>
      </right>
      <top/>
      <bottom/>
      <diagonal/>
    </border>
    <border>
      <left style="medium">
        <color rgb="FF00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6600"/>
      </left>
      <right style="thin">
        <color indexed="64"/>
      </right>
      <top style="thin">
        <color indexed="64"/>
      </top>
      <bottom style="medium">
        <color rgb="FF00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6600"/>
      </bottom>
      <diagonal/>
    </border>
    <border>
      <left style="medium">
        <color rgb="FF0066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66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66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6600"/>
      </bottom>
      <diagonal/>
    </border>
    <border>
      <left style="medium">
        <color rgb="FF006600"/>
      </left>
      <right style="thin">
        <color indexed="64"/>
      </right>
      <top style="medium">
        <color rgb="FF006600"/>
      </top>
      <bottom/>
      <diagonal/>
    </border>
    <border>
      <left style="medium">
        <color rgb="FF006600"/>
      </left>
      <right style="thin">
        <color indexed="64"/>
      </right>
      <top/>
      <bottom/>
      <diagonal/>
    </border>
    <border>
      <left style="medium">
        <color rgb="FF006600"/>
      </left>
      <right style="thin">
        <color indexed="64"/>
      </right>
      <top/>
      <bottom style="medium">
        <color rgb="FF00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66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6600"/>
      </right>
      <top style="thin">
        <color indexed="64"/>
      </top>
      <bottom/>
      <diagonal/>
    </border>
    <border>
      <left style="thin">
        <color indexed="64"/>
      </left>
      <right style="medium">
        <color rgb="FF006600"/>
      </right>
      <top/>
      <bottom/>
      <diagonal/>
    </border>
    <border>
      <left style="thin">
        <color indexed="64"/>
      </left>
      <right style="medium">
        <color rgb="FF006600"/>
      </right>
      <top/>
      <bottom style="medium">
        <color rgb="FF006600"/>
      </bottom>
      <diagonal/>
    </border>
  </borders>
  <cellStyleXfs count="6">
    <xf numFmtId="0" fontId="0" fillId="0" borderId="0"/>
    <xf numFmtId="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4" fillId="0" borderId="0"/>
    <xf numFmtId="0" fontId="3" fillId="0" borderId="0"/>
  </cellStyleXfs>
  <cellXfs count="450">
    <xf numFmtId="0" fontId="0" fillId="0" borderId="0" xfId="0"/>
    <xf numFmtId="0" fontId="0" fillId="0" borderId="0" xfId="0" applyAlignment="1">
      <alignment horizontal="center"/>
    </xf>
    <xf numFmtId="0" fontId="8" fillId="3" borderId="4" xfId="0" applyFont="1" applyFill="1" applyBorder="1" applyAlignment="1">
      <alignment horizontal="center" wrapText="1" readingOrder="1"/>
    </xf>
    <xf numFmtId="0" fontId="9" fillId="3" borderId="9" xfId="0" applyFont="1" applyFill="1" applyBorder="1" applyAlignment="1">
      <alignment horizontal="center" wrapText="1" readingOrder="1"/>
    </xf>
    <xf numFmtId="0" fontId="9" fillId="3" borderId="10" xfId="0" applyFont="1" applyFill="1" applyBorder="1" applyAlignment="1">
      <alignment horizontal="center" vertical="center" wrapText="1" readingOrder="1"/>
    </xf>
    <xf numFmtId="0" fontId="9" fillId="3" borderId="11" xfId="0" applyFont="1" applyFill="1" applyBorder="1" applyAlignment="1">
      <alignment horizontal="center" vertical="center" wrapText="1" readingOrder="1"/>
    </xf>
    <xf numFmtId="0" fontId="10" fillId="3" borderId="12" xfId="0" applyFont="1" applyFill="1" applyBorder="1" applyAlignment="1">
      <alignment horizontal="center" vertical="center" wrapText="1" readingOrder="1"/>
    </xf>
    <xf numFmtId="0" fontId="10" fillId="3" borderId="13" xfId="0" applyFont="1" applyFill="1" applyBorder="1" applyAlignment="1">
      <alignment horizontal="center" vertical="center" wrapText="1" readingOrder="1"/>
    </xf>
    <xf numFmtId="0" fontId="9" fillId="0" borderId="14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horizontal="center"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3" borderId="15" xfId="0" applyFont="1" applyFill="1" applyBorder="1" applyAlignment="1">
      <alignment horizontal="center" vertical="center" wrapText="1" readingOrder="1"/>
    </xf>
    <xf numFmtId="0" fontId="9" fillId="3" borderId="16" xfId="0" applyFont="1" applyFill="1" applyBorder="1" applyAlignment="1">
      <alignment horizontal="center" vertical="center" wrapText="1" readingOrder="1"/>
    </xf>
    <xf numFmtId="0" fontId="9" fillId="3" borderId="17" xfId="0" applyFont="1" applyFill="1" applyBorder="1" applyAlignment="1">
      <alignment horizontal="center" vertical="center" wrapText="1" readingOrder="1"/>
    </xf>
    <xf numFmtId="0" fontId="9" fillId="3" borderId="18" xfId="0" applyFont="1" applyFill="1" applyBorder="1" applyAlignment="1">
      <alignment horizontal="center" vertical="center" wrapText="1" readingOrder="1"/>
    </xf>
    <xf numFmtId="0" fontId="13" fillId="2" borderId="14" xfId="0" applyFont="1" applyFill="1" applyBorder="1" applyAlignment="1">
      <alignment horizontal="center" vertical="center" wrapText="1" readingOrder="1"/>
    </xf>
    <xf numFmtId="0" fontId="13" fillId="2" borderId="15" xfId="0" applyFont="1" applyFill="1" applyBorder="1" applyAlignment="1">
      <alignment horizontal="center" vertical="center" wrapText="1" readingOrder="1"/>
    </xf>
    <xf numFmtId="0" fontId="13" fillId="2" borderId="16" xfId="0" applyFont="1" applyFill="1" applyBorder="1" applyAlignment="1">
      <alignment horizontal="center" vertical="center" wrapText="1" readingOrder="1"/>
    </xf>
    <xf numFmtId="0" fontId="13" fillId="2" borderId="17" xfId="0" applyFont="1" applyFill="1" applyBorder="1" applyAlignment="1">
      <alignment horizontal="center" vertical="center" wrapText="1" readingOrder="1"/>
    </xf>
    <xf numFmtId="0" fontId="13" fillId="2" borderId="18" xfId="0" applyFont="1" applyFill="1" applyBorder="1" applyAlignment="1">
      <alignment horizontal="center" vertical="center" wrapText="1" readingOrder="1"/>
    </xf>
    <xf numFmtId="165" fontId="12" fillId="0" borderId="0" xfId="0" applyNumberFormat="1" applyFont="1" applyAlignment="1">
      <alignment horizontal="center" vertical="center" wrapText="1" readingOrder="1"/>
    </xf>
    <xf numFmtId="165" fontId="12" fillId="0" borderId="19" xfId="0" applyNumberFormat="1" applyFont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4" fillId="0" borderId="0" xfId="0" applyFont="1" applyAlignment="1">
      <alignment horizontal="center" vertical="center" wrapText="1" readingOrder="1"/>
    </xf>
    <xf numFmtId="0" fontId="9" fillId="3" borderId="9" xfId="0" applyFont="1" applyFill="1" applyBorder="1" applyAlignment="1">
      <alignment horizontal="center" vertical="center" wrapText="1" readingOrder="1"/>
    </xf>
    <xf numFmtId="0" fontId="9" fillId="3" borderId="24" xfId="0" applyFont="1" applyFill="1" applyBorder="1" applyAlignment="1">
      <alignment horizontal="center" vertical="center" wrapText="1" readingOrder="1"/>
    </xf>
    <xf numFmtId="0" fontId="9" fillId="3" borderId="25" xfId="0" applyFont="1" applyFill="1" applyBorder="1" applyAlignment="1">
      <alignment horizontal="center" vertical="center" wrapText="1" readingOrder="1"/>
    </xf>
    <xf numFmtId="165" fontId="12" fillId="0" borderId="20" xfId="0" applyNumberFormat="1" applyFont="1" applyBorder="1" applyAlignment="1">
      <alignment horizontal="center" vertical="center" wrapText="1" readingOrder="1"/>
    </xf>
    <xf numFmtId="0" fontId="9" fillId="3" borderId="26" xfId="0" applyFont="1" applyFill="1" applyBorder="1" applyAlignment="1">
      <alignment horizontal="center" vertical="center" wrapText="1" readingOrder="1"/>
    </xf>
    <xf numFmtId="0" fontId="9" fillId="3" borderId="27" xfId="0" applyFont="1" applyFill="1" applyBorder="1" applyAlignment="1">
      <alignment horizontal="center" vertical="center" wrapText="1" readingOrder="1"/>
    </xf>
    <xf numFmtId="165" fontId="12" fillId="0" borderId="21" xfId="0" applyNumberFormat="1" applyFont="1" applyBorder="1" applyAlignment="1">
      <alignment horizontal="center" vertical="center" wrapText="1" readingOrder="1"/>
    </xf>
    <xf numFmtId="165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/>
    <xf numFmtId="14" fontId="0" fillId="5" borderId="0" xfId="0" applyNumberFormat="1" applyFill="1"/>
    <xf numFmtId="0" fontId="18" fillId="5" borderId="0" xfId="0" applyFont="1" applyFill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30" fillId="0" borderId="44" xfId="0" applyFont="1" applyBorder="1" applyAlignment="1">
      <alignment horizontal="center" vertical="center"/>
    </xf>
    <xf numFmtId="0" fontId="30" fillId="0" borderId="44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left" vertical="center"/>
    </xf>
    <xf numFmtId="0" fontId="30" fillId="0" borderId="28" xfId="0" applyFont="1" applyBorder="1" applyAlignment="1">
      <alignment horizontal="center" vertical="center"/>
    </xf>
    <xf numFmtId="0" fontId="30" fillId="0" borderId="31" xfId="0" applyFont="1" applyBorder="1" applyAlignment="1">
      <alignment horizontal="center" vertical="center"/>
    </xf>
    <xf numFmtId="0" fontId="29" fillId="0" borderId="32" xfId="0" applyFont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0" fillId="0" borderId="33" xfId="0" applyFont="1" applyBorder="1" applyAlignment="1">
      <alignment horizontal="center" vertical="center"/>
    </xf>
    <xf numFmtId="0" fontId="29" fillId="0" borderId="34" xfId="0" applyFont="1" applyBorder="1" applyAlignment="1">
      <alignment horizontal="left"/>
    </xf>
    <xf numFmtId="0" fontId="29" fillId="0" borderId="35" xfId="0" applyFont="1" applyBorder="1"/>
    <xf numFmtId="0" fontId="30" fillId="0" borderId="36" xfId="0" applyFont="1" applyBorder="1"/>
    <xf numFmtId="0" fontId="0" fillId="4" borderId="44" xfId="0" applyFill="1" applyBorder="1" applyProtection="1">
      <protection locked="0"/>
    </xf>
    <xf numFmtId="0" fontId="0" fillId="4" borderId="44" xfId="0" applyFill="1" applyBorder="1" applyAlignment="1" applyProtection="1">
      <alignment horizontal="center"/>
      <protection locked="0"/>
    </xf>
    <xf numFmtId="0" fontId="0" fillId="4" borderId="44" xfId="0" applyFill="1" applyBorder="1" applyAlignment="1" applyProtection="1">
      <alignment horizontal="center"/>
      <protection hidden="1"/>
    </xf>
    <xf numFmtId="0" fontId="0" fillId="4" borderId="44" xfId="0" applyFill="1" applyBorder="1" applyAlignment="1" applyProtection="1">
      <alignment horizontal="left"/>
      <protection locked="0"/>
    </xf>
    <xf numFmtId="0" fontId="0" fillId="9" borderId="45" xfId="0" applyFill="1" applyBorder="1"/>
    <xf numFmtId="0" fontId="22" fillId="7" borderId="53" xfId="0" applyFont="1" applyFill="1" applyBorder="1" applyAlignment="1">
      <alignment horizontal="center"/>
    </xf>
    <xf numFmtId="0" fontId="22" fillId="7" borderId="81" xfId="0" applyFont="1" applyFill="1" applyBorder="1" applyAlignment="1">
      <alignment horizontal="center"/>
    </xf>
    <xf numFmtId="2" fontId="22" fillId="7" borderId="81" xfId="0" applyNumberFormat="1" applyFont="1" applyFill="1" applyBorder="1" applyAlignment="1">
      <alignment horizontal="center"/>
    </xf>
    <xf numFmtId="0" fontId="0" fillId="8" borderId="45" xfId="0" applyFill="1" applyBorder="1"/>
    <xf numFmtId="0" fontId="0" fillId="8" borderId="56" xfId="0" applyFill="1" applyBorder="1"/>
    <xf numFmtId="0" fontId="32" fillId="4" borderId="44" xfId="3" applyFill="1" applyBorder="1" applyAlignment="1" applyProtection="1">
      <alignment horizontal="left"/>
      <protection locked="0"/>
    </xf>
    <xf numFmtId="2" fontId="0" fillId="9" borderId="44" xfId="0" applyNumberFormat="1" applyFill="1" applyBorder="1" applyAlignment="1">
      <alignment horizontal="center" vertical="center"/>
    </xf>
    <xf numFmtId="0" fontId="22" fillId="7" borderId="82" xfId="0" applyFont="1" applyFill="1" applyBorder="1" applyAlignment="1">
      <alignment horizontal="center"/>
    </xf>
    <xf numFmtId="2" fontId="0" fillId="8" borderId="55" xfId="0" applyNumberFormat="1" applyFill="1" applyBorder="1" applyAlignment="1" applyProtection="1">
      <alignment horizontal="center"/>
      <protection locked="0"/>
    </xf>
    <xf numFmtId="178" fontId="0" fillId="9" borderId="55" xfId="2" applyNumberFormat="1" applyFont="1" applyFill="1" applyBorder="1" applyAlignment="1" applyProtection="1">
      <alignment horizontal="left" vertical="center" indent="2"/>
      <protection locked="0"/>
    </xf>
    <xf numFmtId="2" fontId="0" fillId="9" borderId="45" xfId="0" applyNumberFormat="1" applyFill="1" applyBorder="1" applyAlignment="1">
      <alignment horizontal="left" vertical="center"/>
    </xf>
    <xf numFmtId="2" fontId="0" fillId="9" borderId="55" xfId="0" applyNumberFormat="1" applyFill="1" applyBorder="1" applyAlignment="1" applyProtection="1">
      <alignment horizontal="left" vertical="center" indent="2"/>
      <protection locked="0"/>
    </xf>
    <xf numFmtId="2" fontId="0" fillId="8" borderId="57" xfId="0" applyNumberFormat="1" applyFill="1" applyBorder="1" applyAlignment="1" applyProtection="1">
      <alignment horizontal="center"/>
      <protection locked="0"/>
    </xf>
    <xf numFmtId="2" fontId="0" fillId="8" borderId="58" xfId="0" applyNumberFormat="1" applyFill="1" applyBorder="1" applyAlignment="1" applyProtection="1">
      <alignment horizontal="left" vertical="center" indent="2"/>
      <protection locked="0"/>
    </xf>
    <xf numFmtId="0" fontId="22" fillId="7" borderId="85" xfId="0" applyFont="1" applyFill="1" applyBorder="1" applyAlignment="1">
      <alignment horizontal="center"/>
    </xf>
    <xf numFmtId="0" fontId="0" fillId="9" borderId="39" xfId="0" applyFill="1" applyBorder="1"/>
    <xf numFmtId="2" fontId="0" fillId="9" borderId="31" xfId="0" applyNumberFormat="1" applyFill="1" applyBorder="1" applyAlignment="1">
      <alignment horizontal="left" vertical="center"/>
    </xf>
    <xf numFmtId="0" fontId="0" fillId="8" borderId="39" xfId="0" applyFill="1" applyBorder="1"/>
    <xf numFmtId="0" fontId="0" fillId="8" borderId="86" xfId="0" applyFill="1" applyBorder="1"/>
    <xf numFmtId="0" fontId="6" fillId="5" borderId="20" xfId="0" applyFont="1" applyFill="1" applyBorder="1" applyAlignment="1">
      <alignment horizontal="center"/>
    </xf>
    <xf numFmtId="0" fontId="0" fillId="11" borderId="45" xfId="0" applyFill="1" applyBorder="1"/>
    <xf numFmtId="2" fontId="0" fillId="11" borderId="39" xfId="0" applyNumberFormat="1" applyFill="1" applyBorder="1" applyAlignment="1">
      <alignment horizontal="left" vertic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4" xfId="0" applyFill="1" applyBorder="1"/>
    <xf numFmtId="0" fontId="0" fillId="5" borderId="0" xfId="0" applyFill="1" applyAlignment="1">
      <alignment horizontal="right" indent="1"/>
    </xf>
    <xf numFmtId="0" fontId="0" fillId="5" borderId="19" xfId="0" applyFill="1" applyBorder="1"/>
    <xf numFmtId="0" fontId="0" fillId="5" borderId="0" xfId="0" applyFill="1" applyAlignment="1">
      <alignment horizontal="right"/>
    </xf>
    <xf numFmtId="0" fontId="0" fillId="5" borderId="2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" xfId="0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0" fillId="11" borderId="0" xfId="0" applyFill="1"/>
    <xf numFmtId="0" fontId="6" fillId="5" borderId="5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2" fontId="0" fillId="10" borderId="0" xfId="0" applyNumberFormat="1" applyFill="1"/>
    <xf numFmtId="0" fontId="6" fillId="5" borderId="0" xfId="0" applyFont="1" applyFill="1" applyAlignment="1">
      <alignment horizontal="right"/>
    </xf>
    <xf numFmtId="0" fontId="18" fillId="6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4" fillId="0" borderId="0" xfId="0" applyFont="1" applyAlignment="1">
      <alignment horizontal="center" vertical="center" wrapText="1" readingOrder="1"/>
    </xf>
    <xf numFmtId="0" fontId="1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wrapText="1" readingOrder="1"/>
    </xf>
    <xf numFmtId="0" fontId="7" fillId="2" borderId="2" xfId="0" applyFont="1" applyFill="1" applyBorder="1" applyAlignment="1">
      <alignment horizontal="center" wrapText="1" readingOrder="1"/>
    </xf>
    <xf numFmtId="0" fontId="7" fillId="2" borderId="3" xfId="0" applyFont="1" applyFill="1" applyBorder="1" applyAlignment="1">
      <alignment horizontal="center" wrapText="1" readingOrder="1"/>
    </xf>
    <xf numFmtId="0" fontId="8" fillId="3" borderId="5" xfId="0" applyFont="1" applyFill="1" applyBorder="1" applyAlignment="1">
      <alignment horizontal="center" wrapText="1" readingOrder="1"/>
    </xf>
    <xf numFmtId="0" fontId="8" fillId="3" borderId="6" xfId="0" applyFont="1" applyFill="1" applyBorder="1" applyAlignment="1">
      <alignment horizontal="center" wrapText="1" readingOrder="1"/>
    </xf>
    <xf numFmtId="0" fontId="8" fillId="3" borderId="7" xfId="0" applyFont="1" applyFill="1" applyBorder="1" applyAlignment="1">
      <alignment horizontal="center" wrapText="1" readingOrder="1"/>
    </xf>
    <xf numFmtId="0" fontId="8" fillId="3" borderId="8" xfId="0" applyFont="1" applyFill="1" applyBorder="1" applyAlignment="1">
      <alignment horizontal="center" wrapText="1" readingOrder="1"/>
    </xf>
    <xf numFmtId="0" fontId="27" fillId="0" borderId="37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35" xfId="0" applyFont="1" applyBorder="1" applyAlignment="1">
      <alignment horizontal="left"/>
    </xf>
    <xf numFmtId="0" fontId="39" fillId="0" borderId="0" xfId="0" applyFont="1" applyFill="1" applyAlignment="1">
      <alignment horizontal="left"/>
    </xf>
    <xf numFmtId="0" fontId="39" fillId="0" borderId="0" xfId="0" applyFont="1" applyFill="1"/>
    <xf numFmtId="0" fontId="0" fillId="0" borderId="0" xfId="0" applyFont="1" applyFill="1"/>
    <xf numFmtId="0" fontId="39" fillId="0" borderId="0" xfId="0" applyFont="1" applyFill="1" applyAlignment="1" applyProtection="1">
      <alignment horizontal="left" vertical="center"/>
      <protection hidden="1"/>
    </xf>
    <xf numFmtId="0" fontId="34" fillId="0" borderId="66" xfId="0" applyFont="1" applyFill="1" applyBorder="1" applyAlignment="1">
      <alignment horizontal="center"/>
    </xf>
    <xf numFmtId="0" fontId="34" fillId="0" borderId="67" xfId="0" applyFont="1" applyFill="1" applyBorder="1" applyAlignment="1">
      <alignment horizontal="center"/>
    </xf>
    <xf numFmtId="0" fontId="34" fillId="0" borderId="68" xfId="0" applyFont="1" applyFill="1" applyBorder="1" applyAlignment="1">
      <alignment horizontal="center"/>
    </xf>
    <xf numFmtId="0" fontId="39" fillId="0" borderId="0" xfId="0" applyFont="1" applyFill="1" applyAlignment="1" applyProtection="1">
      <alignment horizontal="center" vertical="center"/>
      <protection hidden="1"/>
    </xf>
    <xf numFmtId="0" fontId="34" fillId="0" borderId="69" xfId="0" applyFont="1" applyFill="1" applyBorder="1" applyAlignment="1">
      <alignment horizontal="center" vertical="center" wrapText="1"/>
    </xf>
    <xf numFmtId="8" fontId="34" fillId="0" borderId="62" xfId="0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Alignment="1">
      <alignment horizontal="center"/>
    </xf>
    <xf numFmtId="0" fontId="34" fillId="0" borderId="71" xfId="0" applyFont="1" applyFill="1" applyBorder="1" applyAlignment="1">
      <alignment horizontal="center" vertical="center" wrapText="1"/>
    </xf>
    <xf numFmtId="8" fontId="34" fillId="0" borderId="61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64" xfId="0" applyFont="1" applyFill="1" applyBorder="1" applyAlignment="1">
      <alignment horizontal="left"/>
    </xf>
    <xf numFmtId="165" fontId="39" fillId="0" borderId="65" xfId="0" applyNumberFormat="1" applyFont="1" applyFill="1" applyBorder="1" applyAlignment="1" applyProtection="1">
      <alignment horizontal="center"/>
      <protection hidden="1"/>
    </xf>
    <xf numFmtId="0" fontId="34" fillId="0" borderId="73" xfId="0" applyFont="1" applyFill="1" applyBorder="1" applyAlignment="1">
      <alignment horizontal="center" vertical="center" wrapText="1"/>
    </xf>
    <xf numFmtId="0" fontId="39" fillId="0" borderId="71" xfId="0" applyFont="1" applyFill="1" applyBorder="1" applyAlignment="1">
      <alignment horizontal="center" vertical="center" wrapText="1"/>
    </xf>
    <xf numFmtId="0" fontId="39" fillId="0" borderId="75" xfId="0" applyFont="1" applyFill="1" applyBorder="1" applyAlignment="1">
      <alignment horizontal="center" vertical="center" wrapText="1"/>
    </xf>
    <xf numFmtId="2" fontId="34" fillId="0" borderId="63" xfId="0" applyNumberFormat="1" applyFont="1" applyFill="1" applyBorder="1" applyAlignment="1" applyProtection="1">
      <alignment horizontal="center" vertical="center" wrapText="1"/>
      <protection hidden="1"/>
    </xf>
    <xf numFmtId="2" fontId="34" fillId="0" borderId="76" xfId="0" applyNumberFormat="1" applyFont="1" applyFill="1" applyBorder="1" applyAlignment="1" applyProtection="1">
      <alignment horizontal="center" vertical="center" wrapText="1"/>
      <protection hidden="1"/>
    </xf>
    <xf numFmtId="0" fontId="34" fillId="0" borderId="77" xfId="0" applyFont="1" applyFill="1" applyBorder="1" applyAlignment="1">
      <alignment horizontal="center" vertical="center" wrapText="1"/>
    </xf>
    <xf numFmtId="8" fontId="34" fillId="0" borderId="44" xfId="0" applyNumberFormat="1" applyFont="1" applyFill="1" applyBorder="1" applyAlignment="1" applyProtection="1">
      <alignment horizontal="center" vertical="center" wrapText="1"/>
      <protection hidden="1"/>
    </xf>
    <xf numFmtId="0" fontId="34" fillId="0" borderId="78" xfId="0" applyFont="1" applyFill="1" applyBorder="1" applyAlignment="1">
      <alignment horizontal="center" vertical="center" wrapText="1"/>
    </xf>
    <xf numFmtId="8" fontId="34" fillId="0" borderId="79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65" xfId="0" applyFont="1" applyFill="1" applyBorder="1" applyAlignment="1">
      <alignment horizontal="left"/>
    </xf>
    <xf numFmtId="2" fontId="39" fillId="0" borderId="65" xfId="0" applyNumberFormat="1" applyFont="1" applyFill="1" applyBorder="1" applyAlignment="1" applyProtection="1">
      <alignment horizontal="center"/>
      <protection hidden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2" fontId="34" fillId="0" borderId="84" xfId="0" applyNumberFormat="1" applyFont="1" applyFill="1" applyBorder="1" applyAlignment="1" applyProtection="1">
      <alignment horizontal="center" vertical="center" wrapText="1"/>
      <protection hidden="1"/>
    </xf>
    <xf numFmtId="2" fontId="34" fillId="0" borderId="39" xfId="0" applyNumberFormat="1" applyFont="1" applyFill="1" applyBorder="1" applyAlignment="1" applyProtection="1">
      <alignment horizontal="center" vertical="center" wrapText="1"/>
      <protection hidden="1"/>
    </xf>
    <xf numFmtId="0" fontId="34" fillId="0" borderId="54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center" vertical="center" wrapText="1"/>
    </xf>
    <xf numFmtId="2" fontId="34" fillId="0" borderId="88" xfId="0" applyNumberFormat="1" applyFont="1" applyFill="1" applyBorder="1" applyAlignment="1" applyProtection="1">
      <alignment horizontal="center" vertical="center" wrapText="1"/>
      <protection hidden="1"/>
    </xf>
    <xf numFmtId="1" fontId="39" fillId="0" borderId="65" xfId="0" applyNumberFormat="1" applyFont="1" applyFill="1" applyBorder="1" applyAlignment="1" applyProtection="1">
      <alignment horizontal="center"/>
      <protection hidden="1"/>
    </xf>
    <xf numFmtId="2" fontId="34" fillId="0" borderId="89" xfId="0" applyNumberFormat="1" applyFont="1" applyFill="1" applyBorder="1" applyAlignment="1" applyProtection="1">
      <alignment horizontal="center" vertical="center" wrapText="1"/>
      <protection hidden="1"/>
    </xf>
    <xf numFmtId="2" fontId="34" fillId="0" borderId="87" xfId="0" applyNumberFormat="1" applyFont="1" applyFill="1" applyBorder="1" applyAlignment="1" applyProtection="1">
      <alignment horizontal="center" vertical="center" wrapText="1"/>
      <protection hidden="1"/>
    </xf>
    <xf numFmtId="0" fontId="34" fillId="0" borderId="3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29" xfId="0" applyFont="1" applyFill="1" applyBorder="1" applyAlignment="1">
      <alignment horizontal="center" vertical="center" wrapText="1"/>
    </xf>
    <xf numFmtId="0" fontId="34" fillId="0" borderId="21" xfId="0" applyFont="1" applyFill="1" applyBorder="1" applyAlignment="1">
      <alignment horizontal="center" vertical="center" wrapText="1"/>
    </xf>
    <xf numFmtId="0" fontId="39" fillId="0" borderId="0" xfId="0" applyFont="1" applyFill="1" applyAlignment="1">
      <alignment horizontal="center"/>
    </xf>
    <xf numFmtId="1" fontId="39" fillId="0" borderId="0" xfId="0" applyNumberFormat="1" applyFont="1" applyFill="1" applyAlignment="1">
      <alignment horizontal="center"/>
    </xf>
    <xf numFmtId="1" fontId="39" fillId="0" borderId="0" xfId="0" applyNumberFormat="1" applyFont="1" applyFill="1"/>
    <xf numFmtId="0" fontId="0" fillId="0" borderId="44" xfId="0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25" fillId="0" borderId="0" xfId="0" applyFont="1" applyFill="1" applyAlignment="1">
      <alignment vertical="top" wrapText="1"/>
    </xf>
    <xf numFmtId="0" fontId="0" fillId="0" borderId="54" xfId="0" applyFont="1" applyFill="1" applyBorder="1"/>
    <xf numFmtId="0" fontId="0" fillId="0" borderId="19" xfId="0" applyFont="1" applyFill="1" applyBorder="1"/>
    <xf numFmtId="2" fontId="39" fillId="0" borderId="0" xfId="0" applyNumberFormat="1" applyFont="1" applyFill="1" applyAlignment="1" applyProtection="1">
      <alignment horizontal="center"/>
      <protection hidden="1"/>
    </xf>
    <xf numFmtId="165" fontId="39" fillId="0" borderId="0" xfId="0" applyNumberFormat="1" applyFont="1" applyFill="1" applyAlignment="1" applyProtection="1">
      <alignment horizontal="center"/>
      <protection hidden="1"/>
    </xf>
    <xf numFmtId="0" fontId="0" fillId="0" borderId="29" xfId="0" applyFont="1" applyFill="1" applyBorder="1"/>
    <xf numFmtId="0" fontId="0" fillId="0" borderId="21" xfId="0" applyFont="1" applyFill="1" applyBorder="1"/>
    <xf numFmtId="0" fontId="34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 wrapText="1"/>
    </xf>
    <xf numFmtId="8" fontId="34" fillId="0" borderId="0" xfId="0" applyNumberFormat="1" applyFont="1" applyFill="1" applyAlignment="1" applyProtection="1">
      <alignment horizontal="center" vertical="center" wrapText="1"/>
      <protection hidden="1"/>
    </xf>
    <xf numFmtId="9" fontId="0" fillId="0" borderId="0" xfId="1" applyFont="1" applyFill="1" applyBorder="1" applyAlignment="1" applyProtection="1">
      <alignment horizontal="left" vertical="center"/>
      <protection hidden="1"/>
    </xf>
    <xf numFmtId="8" fontId="0" fillId="0" borderId="0" xfId="0" applyNumberFormat="1" applyFont="1" applyFill="1" applyProtection="1">
      <protection hidden="1"/>
    </xf>
    <xf numFmtId="0" fontId="0" fillId="0" borderId="0" xfId="0" applyFont="1" applyFill="1" applyProtection="1">
      <protection hidden="1"/>
    </xf>
    <xf numFmtId="0" fontId="15" fillId="0" borderId="53" xfId="0" applyFont="1" applyFill="1" applyBorder="1" applyAlignment="1">
      <alignment horizontal="center"/>
    </xf>
    <xf numFmtId="0" fontId="15" fillId="0" borderId="82" xfId="0" applyFont="1" applyFill="1" applyBorder="1" applyAlignment="1">
      <alignment horizontal="center"/>
    </xf>
    <xf numFmtId="2" fontId="34" fillId="0" borderId="0" xfId="0" applyNumberFormat="1" applyFont="1" applyFill="1" applyAlignment="1" applyProtection="1">
      <alignment horizontal="center" vertical="center" wrapText="1"/>
      <protection hidden="1"/>
    </xf>
    <xf numFmtId="0" fontId="0" fillId="0" borderId="45" xfId="0" applyFont="1" applyFill="1" applyBorder="1" applyAlignment="1">
      <alignment horizontal="left"/>
    </xf>
    <xf numFmtId="0" fontId="0" fillId="0" borderId="55" xfId="0" applyFont="1" applyFill="1" applyBorder="1" applyAlignment="1" applyProtection="1">
      <alignment horizontal="center" vertical="center"/>
      <protection hidden="1"/>
    </xf>
    <xf numFmtId="0" fontId="34" fillId="0" borderId="0" xfId="0" applyFont="1" applyFill="1" applyAlignment="1">
      <alignment horizontal="center" vertical="center" wrapText="1"/>
    </xf>
    <xf numFmtId="8" fontId="34" fillId="0" borderId="0" xfId="0" applyNumberFormat="1" applyFont="1" applyFill="1" applyAlignment="1" applyProtection="1">
      <alignment horizontal="center" vertical="center" wrapText="1"/>
      <protection hidden="1"/>
    </xf>
    <xf numFmtId="9" fontId="0" fillId="0" borderId="0" xfId="1" applyFont="1" applyFill="1" applyBorder="1" applyAlignment="1" applyProtection="1">
      <alignment horizontal="left"/>
      <protection hidden="1"/>
    </xf>
    <xf numFmtId="0" fontId="0" fillId="0" borderId="45" xfId="0" applyFont="1" applyFill="1" applyBorder="1"/>
    <xf numFmtId="166" fontId="0" fillId="0" borderId="55" xfId="0" applyNumberFormat="1" applyFont="1" applyFill="1" applyBorder="1" applyAlignment="1" applyProtection="1">
      <alignment horizontal="center" vertical="center"/>
      <protection hidden="1"/>
    </xf>
    <xf numFmtId="0" fontId="0" fillId="0" borderId="56" xfId="0" applyFont="1" applyFill="1" applyBorder="1" applyAlignment="1">
      <alignment horizontal="left"/>
    </xf>
    <xf numFmtId="2" fontId="0" fillId="0" borderId="55" xfId="0" applyNumberFormat="1" applyFont="1" applyFill="1" applyBorder="1" applyAlignment="1" applyProtection="1">
      <alignment horizontal="center" vertical="center"/>
      <protection hidden="1"/>
    </xf>
    <xf numFmtId="0" fontId="0" fillId="0" borderId="64" xfId="0" applyFont="1" applyFill="1" applyBorder="1" applyAlignment="1">
      <alignment horizontal="left"/>
    </xf>
    <xf numFmtId="165" fontId="0" fillId="0" borderId="65" xfId="0" applyNumberFormat="1" applyFont="1" applyFill="1" applyBorder="1" applyAlignment="1" applyProtection="1">
      <alignment horizontal="center"/>
      <protection hidden="1"/>
    </xf>
    <xf numFmtId="166" fontId="0" fillId="0" borderId="65" xfId="0" applyNumberFormat="1" applyFont="1" applyFill="1" applyBorder="1" applyAlignment="1" applyProtection="1">
      <alignment horizontal="center"/>
      <protection hidden="1"/>
    </xf>
    <xf numFmtId="2" fontId="0" fillId="0" borderId="65" xfId="0" applyNumberFormat="1" applyFont="1" applyFill="1" applyBorder="1" applyAlignment="1" applyProtection="1">
      <alignment horizontal="center"/>
      <protection hidden="1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Fill="1"/>
    <xf numFmtId="0" fontId="0" fillId="0" borderId="0" xfId="0" applyFont="1" applyFill="1" applyAlignment="1">
      <alignment vertical="top"/>
    </xf>
    <xf numFmtId="0" fontId="6" fillId="0" borderId="0" xfId="0" applyFont="1" applyFill="1" applyAlignment="1">
      <alignment horizontal="center" vertical="top"/>
    </xf>
    <xf numFmtId="0" fontId="17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 applyProtection="1">
      <alignment horizontal="center"/>
      <protection locked="0"/>
    </xf>
    <xf numFmtId="0" fontId="0" fillId="0" borderId="44" xfId="0" applyFont="1" applyFill="1" applyBorder="1" applyAlignment="1">
      <alignment horizontal="left"/>
    </xf>
    <xf numFmtId="2" fontId="0" fillId="0" borderId="0" xfId="0" applyNumberFormat="1" applyFont="1" applyFill="1"/>
    <xf numFmtId="0" fontId="0" fillId="0" borderId="65" xfId="0" applyFont="1" applyFill="1" applyBorder="1" applyAlignment="1">
      <alignment horizontal="left"/>
    </xf>
    <xf numFmtId="9" fontId="0" fillId="0" borderId="80" xfId="1" applyFont="1" applyFill="1" applyBorder="1" applyAlignment="1" applyProtection="1">
      <alignment horizontal="left" vertical="center"/>
      <protection hidden="1"/>
    </xf>
    <xf numFmtId="0" fontId="0" fillId="0" borderId="0" xfId="0" applyFont="1" applyFill="1" applyAlignment="1" applyProtection="1">
      <alignment horizontal="left"/>
      <protection hidden="1"/>
    </xf>
    <xf numFmtId="0" fontId="0" fillId="0" borderId="0" xfId="0" applyFont="1" applyFill="1" applyAlignment="1">
      <alignment horizontal="left"/>
    </xf>
    <xf numFmtId="0" fontId="40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0" fontId="15" fillId="0" borderId="53" xfId="0" applyFont="1" applyFill="1" applyBorder="1" applyAlignment="1">
      <alignment horizontal="left"/>
    </xf>
    <xf numFmtId="0" fontId="15" fillId="0" borderId="82" xfId="0" applyFont="1" applyFill="1" applyBorder="1" applyAlignment="1">
      <alignment horizontal="left"/>
    </xf>
    <xf numFmtId="0" fontId="0" fillId="0" borderId="0" xfId="0" applyFont="1" applyFill="1" applyAlignment="1" applyProtection="1">
      <alignment horizontal="left"/>
      <protection locked="0"/>
    </xf>
    <xf numFmtId="0" fontId="34" fillId="0" borderId="0" xfId="0" applyFont="1" applyFill="1" applyAlignment="1">
      <alignment horizontal="left" vertical="center"/>
    </xf>
    <xf numFmtId="0" fontId="0" fillId="0" borderId="55" xfId="0" applyFont="1" applyFill="1" applyBorder="1" applyAlignment="1" applyProtection="1">
      <alignment horizontal="left"/>
      <protection hidden="1"/>
    </xf>
    <xf numFmtId="0" fontId="15" fillId="0" borderId="66" xfId="0" applyFont="1" applyFill="1" applyBorder="1" applyAlignment="1">
      <alignment horizontal="left"/>
    </xf>
    <xf numFmtId="0" fontId="15" fillId="0" borderId="67" xfId="0" applyFont="1" applyFill="1" applyBorder="1" applyAlignment="1">
      <alignment horizontal="left"/>
    </xf>
    <xf numFmtId="0" fontId="15" fillId="0" borderId="68" xfId="0" applyFont="1" applyFill="1" applyBorder="1" applyAlignment="1">
      <alignment horizontal="left"/>
    </xf>
    <xf numFmtId="0" fontId="0" fillId="0" borderId="55" xfId="0" applyFont="1" applyFill="1" applyBorder="1" applyAlignment="1" applyProtection="1">
      <alignment horizontal="left"/>
      <protection locked="0"/>
    </xf>
    <xf numFmtId="2" fontId="0" fillId="0" borderId="55" xfId="0" applyNumberFormat="1" applyFont="1" applyFill="1" applyBorder="1" applyAlignment="1" applyProtection="1">
      <alignment horizontal="left"/>
      <protection hidden="1"/>
    </xf>
    <xf numFmtId="166" fontId="0" fillId="0" borderId="0" xfId="0" applyNumberFormat="1" applyFont="1" applyFill="1" applyAlignment="1" applyProtection="1">
      <alignment horizontal="left"/>
      <protection hidden="1"/>
    </xf>
    <xf numFmtId="0" fontId="23" fillId="0" borderId="0" xfId="0" applyFont="1" applyFill="1" applyAlignment="1">
      <alignment horizontal="left" vertical="center"/>
    </xf>
    <xf numFmtId="1" fontId="0" fillId="0" borderId="55" xfId="0" applyNumberFormat="1" applyFont="1" applyFill="1" applyBorder="1" applyAlignment="1" applyProtection="1">
      <alignment horizontal="left"/>
      <protection hidden="1"/>
    </xf>
    <xf numFmtId="2" fontId="0" fillId="0" borderId="0" xfId="0" applyNumberFormat="1" applyFont="1" applyFill="1" applyAlignment="1" applyProtection="1">
      <alignment horizontal="left"/>
      <protection hidden="1"/>
    </xf>
    <xf numFmtId="8" fontId="0" fillId="0" borderId="0" xfId="0" applyNumberFormat="1" applyFont="1" applyFill="1" applyAlignment="1" applyProtection="1">
      <alignment horizontal="left"/>
      <protection hidden="1"/>
    </xf>
    <xf numFmtId="0" fontId="0" fillId="0" borderId="55" xfId="0" applyFont="1" applyFill="1" applyBorder="1" applyAlignment="1">
      <alignment horizontal="left"/>
    </xf>
    <xf numFmtId="1" fontId="0" fillId="0" borderId="0" xfId="0" applyNumberFormat="1" applyFont="1" applyFill="1" applyAlignment="1" applyProtection="1">
      <alignment horizontal="left"/>
      <protection hidden="1"/>
    </xf>
    <xf numFmtId="2" fontId="15" fillId="0" borderId="60" xfId="0" applyNumberFormat="1" applyFont="1" applyFill="1" applyBorder="1" applyAlignment="1" applyProtection="1">
      <alignment horizontal="left" vertical="center" wrapText="1"/>
      <protection hidden="1"/>
    </xf>
    <xf numFmtId="2" fontId="15" fillId="0" borderId="74" xfId="0" applyNumberFormat="1" applyFont="1" applyFill="1" applyBorder="1" applyAlignment="1" applyProtection="1">
      <alignment horizontal="left" vertical="center" wrapText="1"/>
      <protection hidden="1"/>
    </xf>
    <xf numFmtId="1" fontId="0" fillId="0" borderId="58" xfId="0" applyNumberFormat="1" applyFont="1" applyFill="1" applyBorder="1" applyAlignment="1" applyProtection="1">
      <alignment horizontal="left"/>
      <protection hidden="1"/>
    </xf>
    <xf numFmtId="0" fontId="1" fillId="0" borderId="75" xfId="0" applyFont="1" applyFill="1" applyBorder="1" applyAlignment="1">
      <alignment horizontal="left" vertical="center" wrapText="1"/>
    </xf>
    <xf numFmtId="2" fontId="15" fillId="0" borderId="63" xfId="0" applyNumberFormat="1" applyFont="1" applyFill="1" applyBorder="1" applyAlignment="1" applyProtection="1">
      <alignment horizontal="left" vertical="center" wrapText="1"/>
      <protection hidden="1"/>
    </xf>
    <xf numFmtId="2" fontId="15" fillId="0" borderId="76" xfId="0" applyNumberFormat="1" applyFont="1" applyFill="1" applyBorder="1" applyAlignment="1" applyProtection="1">
      <alignment horizontal="left" vertical="center" wrapText="1"/>
      <protection hidden="1"/>
    </xf>
    <xf numFmtId="8" fontId="6" fillId="0" borderId="0" xfId="0" applyNumberFormat="1" applyFont="1" applyFill="1" applyAlignment="1" applyProtection="1">
      <alignment horizontal="left"/>
      <protection hidden="1"/>
    </xf>
    <xf numFmtId="165" fontId="0" fillId="0" borderId="44" xfId="0" applyNumberFormat="1" applyFont="1" applyFill="1" applyBorder="1" applyAlignment="1" applyProtection="1">
      <alignment horizontal="left"/>
      <protection hidden="1"/>
    </xf>
    <xf numFmtId="0" fontId="6" fillId="0" borderId="0" xfId="0" applyFont="1" applyFill="1" applyAlignment="1">
      <alignment horizontal="left" vertical="center"/>
    </xf>
    <xf numFmtId="0" fontId="16" fillId="0" borderId="0" xfId="0" applyFont="1" applyFill="1" applyAlignment="1" applyProtection="1">
      <alignment horizontal="left" vertical="center"/>
      <protection hidden="1"/>
    </xf>
    <xf numFmtId="2" fontId="0" fillId="0" borderId="44" xfId="0" applyNumberFormat="1" applyFont="1" applyFill="1" applyBorder="1" applyAlignment="1" applyProtection="1">
      <alignment horizontal="left"/>
      <protection hidden="1"/>
    </xf>
    <xf numFmtId="166" fontId="0" fillId="0" borderId="44" xfId="0" applyNumberFormat="1" applyFont="1" applyFill="1" applyBorder="1" applyAlignment="1" applyProtection="1">
      <alignment horizontal="left"/>
      <protection hidden="1"/>
    </xf>
    <xf numFmtId="166" fontId="0" fillId="0" borderId="44" xfId="0" applyNumberFormat="1" applyFont="1" applyFill="1" applyBorder="1" applyAlignment="1" applyProtection="1">
      <alignment horizontal="left"/>
      <protection locked="0"/>
    </xf>
    <xf numFmtId="2" fontId="0" fillId="0" borderId="0" xfId="0" applyNumberFormat="1" applyFont="1" applyFill="1" applyAlignment="1">
      <alignment horizontal="left"/>
    </xf>
    <xf numFmtId="165" fontId="0" fillId="0" borderId="44" xfId="0" applyNumberFormat="1" applyFont="1" applyFill="1" applyBorder="1" applyAlignment="1">
      <alignment horizontal="left"/>
    </xf>
    <xf numFmtId="178" fontId="0" fillId="0" borderId="0" xfId="0" applyNumberFormat="1" applyFont="1" applyFill="1" applyAlignment="1">
      <alignment horizontal="left"/>
    </xf>
    <xf numFmtId="166" fontId="0" fillId="0" borderId="64" xfId="0" applyNumberFormat="1" applyFont="1" applyFill="1" applyBorder="1" applyAlignment="1" applyProtection="1">
      <alignment horizontal="left"/>
      <protection hidden="1"/>
    </xf>
    <xf numFmtId="166" fontId="0" fillId="0" borderId="64" xfId="0" applyNumberFormat="1" applyFont="1" applyFill="1" applyBorder="1" applyAlignment="1" applyProtection="1">
      <alignment horizontal="left"/>
      <protection locked="0"/>
    </xf>
    <xf numFmtId="2" fontId="0" fillId="0" borderId="64" xfId="0" applyNumberFormat="1" applyFont="1" applyFill="1" applyBorder="1" applyAlignment="1" applyProtection="1">
      <alignment horizontal="left"/>
      <protection hidden="1"/>
    </xf>
    <xf numFmtId="8" fontId="0" fillId="0" borderId="64" xfId="0" applyNumberFormat="1" applyFont="1" applyFill="1" applyBorder="1" applyAlignment="1" applyProtection="1">
      <alignment horizontal="left"/>
      <protection hidden="1"/>
    </xf>
    <xf numFmtId="166" fontId="0" fillId="0" borderId="0" xfId="0" applyNumberFormat="1" applyFont="1" applyFill="1" applyAlignment="1">
      <alignment horizontal="left"/>
    </xf>
    <xf numFmtId="2" fontId="15" fillId="0" borderId="64" xfId="0" applyNumberFormat="1" applyFont="1" applyFill="1" applyBorder="1" applyAlignment="1" applyProtection="1">
      <alignment horizontal="left"/>
      <protection hidden="1"/>
    </xf>
    <xf numFmtId="0" fontId="1" fillId="0" borderId="69" xfId="0" applyFont="1" applyFill="1" applyBorder="1" applyAlignment="1">
      <alignment horizontal="left" vertical="center" wrapText="1"/>
    </xf>
    <xf numFmtId="8" fontId="15" fillId="0" borderId="62" xfId="0" applyNumberFormat="1" applyFont="1" applyFill="1" applyBorder="1" applyAlignment="1" applyProtection="1">
      <alignment horizontal="left" vertical="center" wrapText="1"/>
      <protection hidden="1"/>
    </xf>
    <xf numFmtId="8" fontId="15" fillId="0" borderId="70" xfId="0" applyNumberFormat="1" applyFont="1" applyFill="1" applyBorder="1" applyAlignment="1" applyProtection="1">
      <alignment horizontal="left" vertical="center" wrapText="1"/>
      <protection hidden="1"/>
    </xf>
    <xf numFmtId="0" fontId="1" fillId="0" borderId="71" xfId="0" applyFont="1" applyFill="1" applyBorder="1" applyAlignment="1">
      <alignment horizontal="left" vertical="center" wrapText="1"/>
    </xf>
    <xf numFmtId="8" fontId="15" fillId="0" borderId="61" xfId="0" applyNumberFormat="1" applyFont="1" applyFill="1" applyBorder="1" applyAlignment="1" applyProtection="1">
      <alignment horizontal="left" vertical="center" wrapText="1"/>
      <protection hidden="1"/>
    </xf>
    <xf numFmtId="8" fontId="15" fillId="0" borderId="72" xfId="0" applyNumberFormat="1" applyFont="1" applyFill="1" applyBorder="1" applyAlignment="1" applyProtection="1">
      <alignment horizontal="left" vertical="center" wrapText="1"/>
      <protection hidden="1"/>
    </xf>
    <xf numFmtId="0" fontId="1" fillId="0" borderId="73" xfId="0" applyFont="1" applyFill="1" applyBorder="1" applyAlignment="1">
      <alignment horizontal="left" vertical="center" wrapText="1"/>
    </xf>
    <xf numFmtId="8" fontId="15" fillId="0" borderId="60" xfId="0" applyNumberFormat="1" applyFont="1" applyFill="1" applyBorder="1" applyAlignment="1" applyProtection="1">
      <alignment horizontal="left" vertical="center" wrapText="1"/>
      <protection hidden="1"/>
    </xf>
    <xf numFmtId="8" fontId="15" fillId="0" borderId="74" xfId="0" applyNumberFormat="1" applyFont="1" applyFill="1" applyBorder="1" applyAlignment="1" applyProtection="1">
      <alignment horizontal="left" vertical="center" wrapText="1"/>
      <protection hidden="1"/>
    </xf>
    <xf numFmtId="0" fontId="15" fillId="0" borderId="97" xfId="0" applyFont="1" applyFill="1" applyBorder="1" applyAlignment="1">
      <alignment horizontal="left" vertical="center" wrapText="1"/>
    </xf>
    <xf numFmtId="8" fontId="16" fillId="0" borderId="96" xfId="0" applyNumberFormat="1" applyFont="1" applyFill="1" applyBorder="1" applyAlignment="1" applyProtection="1">
      <alignment horizontal="left" vertical="center" wrapText="1"/>
      <protection hidden="1"/>
    </xf>
    <xf numFmtId="0" fontId="15" fillId="0" borderId="94" xfId="0" applyFont="1" applyFill="1" applyBorder="1" applyAlignment="1">
      <alignment horizontal="left" vertical="center" wrapText="1"/>
    </xf>
    <xf numFmtId="8" fontId="16" fillId="0" borderId="91" xfId="0" applyNumberFormat="1" applyFont="1" applyFill="1" applyBorder="1" applyAlignment="1" applyProtection="1">
      <alignment horizontal="left" vertical="center" wrapText="1"/>
      <protection hidden="1"/>
    </xf>
    <xf numFmtId="0" fontId="15" fillId="0" borderId="95" xfId="0" applyFont="1" applyFill="1" applyBorder="1" applyAlignment="1">
      <alignment horizontal="left" vertical="center" wrapText="1"/>
    </xf>
    <xf numFmtId="8" fontId="16" fillId="0" borderId="92" xfId="0" applyNumberFormat="1" applyFont="1" applyFill="1" applyBorder="1" applyAlignment="1" applyProtection="1">
      <alignment horizontal="left" vertical="center" wrapText="1"/>
      <protection hidden="1"/>
    </xf>
    <xf numFmtId="0" fontId="15" fillId="0" borderId="93" xfId="0" applyFont="1" applyFill="1" applyBorder="1" applyAlignment="1">
      <alignment horizontal="left" vertical="center" wrapText="1"/>
    </xf>
    <xf numFmtId="8" fontId="16" fillId="0" borderId="90" xfId="0" applyNumberFormat="1" applyFont="1" applyFill="1" applyBorder="1" applyAlignment="1" applyProtection="1">
      <alignment horizontal="left" vertical="center" wrapText="1"/>
      <protection hidden="1"/>
    </xf>
    <xf numFmtId="8" fontId="16" fillId="0" borderId="98" xfId="0" applyNumberFormat="1" applyFont="1" applyFill="1" applyBorder="1" applyAlignment="1" applyProtection="1">
      <alignment horizontal="left" vertical="center" wrapText="1"/>
      <protection hidden="1"/>
    </xf>
    <xf numFmtId="8" fontId="16" fillId="0" borderId="99" xfId="0" applyNumberFormat="1" applyFont="1" applyFill="1" applyBorder="1" applyAlignment="1" applyProtection="1">
      <alignment horizontal="left" vertical="center" wrapText="1"/>
      <protection hidden="1"/>
    </xf>
    <xf numFmtId="8" fontId="16" fillId="0" borderId="100" xfId="0" applyNumberFormat="1" applyFont="1" applyFill="1" applyBorder="1" applyAlignment="1" applyProtection="1">
      <alignment horizontal="left" vertical="center" wrapText="1"/>
      <protection hidden="1"/>
    </xf>
    <xf numFmtId="0" fontId="6" fillId="0" borderId="40" xfId="0" applyFont="1" applyFill="1" applyBorder="1" applyAlignment="1">
      <alignment vertical="center" wrapText="1"/>
    </xf>
    <xf numFmtId="0" fontId="0" fillId="0" borderId="42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40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 vertical="center"/>
    </xf>
    <xf numFmtId="0" fontId="6" fillId="0" borderId="40" xfId="0" applyFont="1" applyFill="1" applyBorder="1"/>
    <xf numFmtId="1" fontId="0" fillId="0" borderId="42" xfId="0" applyNumberFormat="1" applyFont="1" applyFill="1" applyBorder="1" applyAlignment="1" applyProtection="1">
      <alignment horizontal="center" vertical="center"/>
      <protection locked="0"/>
    </xf>
    <xf numFmtId="9" fontId="0" fillId="0" borderId="0" xfId="0" applyNumberFormat="1" applyFont="1" applyFill="1"/>
    <xf numFmtId="0" fontId="6" fillId="0" borderId="1" xfId="0" applyFont="1" applyFill="1" applyBorder="1" applyAlignment="1">
      <alignment horizontal="center" vertical="center"/>
    </xf>
    <xf numFmtId="0" fontId="0" fillId="0" borderId="83" xfId="0" applyFont="1" applyFill="1" applyBorder="1" applyAlignment="1">
      <alignment horizontal="center" vertical="justify"/>
    </xf>
    <xf numFmtId="0" fontId="0" fillId="0" borderId="84" xfId="0" applyFont="1" applyFill="1" applyBorder="1" applyAlignment="1">
      <alignment horizontal="center" vertical="justify"/>
    </xf>
    <xf numFmtId="1" fontId="6" fillId="0" borderId="20" xfId="0" applyNumberFormat="1" applyFont="1" applyFill="1" applyBorder="1" applyAlignment="1" applyProtection="1">
      <alignment horizontal="center" vertical="center"/>
      <protection hidden="1"/>
    </xf>
    <xf numFmtId="179" fontId="6" fillId="0" borderId="20" xfId="2" applyNumberFormat="1" applyFont="1" applyFill="1" applyBorder="1" applyAlignment="1" applyProtection="1">
      <alignment horizontal="center" vertical="center"/>
      <protection hidden="1"/>
    </xf>
    <xf numFmtId="2" fontId="6" fillId="0" borderId="21" xfId="0" applyNumberFormat="1" applyFont="1" applyFill="1" applyBorder="1" applyAlignment="1">
      <alignment horizontal="center"/>
    </xf>
    <xf numFmtId="0" fontId="0" fillId="0" borderId="37" xfId="0" applyFont="1" applyFill="1" applyBorder="1"/>
    <xf numFmtId="0" fontId="0" fillId="0" borderId="49" xfId="0" applyFont="1" applyFill="1" applyBorder="1" applyAlignment="1">
      <alignment horizontal="center"/>
    </xf>
    <xf numFmtId="0" fontId="0" fillId="0" borderId="50" xfId="0" applyFont="1" applyFill="1" applyBorder="1" applyAlignment="1">
      <alignment horizontal="center"/>
    </xf>
    <xf numFmtId="0" fontId="0" fillId="0" borderId="5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70" fontId="0" fillId="0" borderId="22" xfId="0" applyNumberFormat="1" applyFont="1" applyFill="1" applyBorder="1"/>
    <xf numFmtId="0" fontId="0" fillId="0" borderId="23" xfId="0" applyFont="1" applyFill="1" applyBorder="1"/>
    <xf numFmtId="171" fontId="0" fillId="0" borderId="52" xfId="0" applyNumberFormat="1" applyFont="1" applyFill="1" applyBorder="1"/>
    <xf numFmtId="180" fontId="0" fillId="0" borderId="22" xfId="0" applyNumberFormat="1" applyFont="1" applyFill="1" applyBorder="1"/>
    <xf numFmtId="171" fontId="0" fillId="0" borderId="34" xfId="0" applyNumberFormat="1" applyFont="1" applyFill="1" applyBorder="1"/>
    <xf numFmtId="164" fontId="0" fillId="0" borderId="53" xfId="0" applyNumberFormat="1" applyFont="1" applyFill="1" applyBorder="1" applyAlignment="1">
      <alignment horizontal="center"/>
    </xf>
    <xf numFmtId="172" fontId="0" fillId="0" borderId="43" xfId="0" applyNumberFormat="1" applyFont="1" applyFill="1" applyBorder="1"/>
    <xf numFmtId="0" fontId="0" fillId="0" borderId="41" xfId="0" applyFont="1" applyFill="1" applyBorder="1"/>
    <xf numFmtId="0" fontId="6" fillId="0" borderId="41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 vertical="justify"/>
    </xf>
    <xf numFmtId="170" fontId="0" fillId="0" borderId="45" xfId="0" applyNumberFormat="1" applyFont="1" applyFill="1" applyBorder="1"/>
    <xf numFmtId="171" fontId="0" fillId="0" borderId="55" xfId="0" applyNumberFormat="1" applyFont="1" applyFill="1" applyBorder="1"/>
    <xf numFmtId="171" fontId="0" fillId="0" borderId="37" xfId="0" applyNumberFormat="1" applyFont="1" applyFill="1" applyBorder="1"/>
    <xf numFmtId="168" fontId="0" fillId="0" borderId="45" xfId="0" applyNumberFormat="1" applyFont="1" applyFill="1" applyBorder="1" applyAlignment="1">
      <alignment horizontal="center"/>
    </xf>
    <xf numFmtId="172" fontId="0" fillId="0" borderId="55" xfId="0" applyNumberFormat="1" applyFont="1" applyFill="1" applyBorder="1"/>
    <xf numFmtId="0" fontId="1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66" fontId="34" fillId="0" borderId="0" xfId="0" applyNumberFormat="1" applyFont="1" applyFill="1" applyAlignment="1">
      <alignment horizontal="center" vertical="center"/>
    </xf>
    <xf numFmtId="2" fontId="34" fillId="0" borderId="0" xfId="0" applyNumberFormat="1" applyFont="1" applyFill="1" applyAlignment="1" applyProtection="1">
      <alignment horizontal="center" vertical="center"/>
      <protection locked="0"/>
    </xf>
    <xf numFmtId="170" fontId="34" fillId="0" borderId="0" xfId="0" applyNumberFormat="1" applyFont="1" applyFill="1" applyAlignment="1">
      <alignment horizontal="center" vertical="center"/>
    </xf>
    <xf numFmtId="1" fontId="34" fillId="0" borderId="0" xfId="2" applyNumberFormat="1" applyFont="1" applyFill="1" applyBorder="1" applyAlignment="1">
      <alignment horizontal="center" vertical="center"/>
    </xf>
    <xf numFmtId="164" fontId="0" fillId="0" borderId="45" xfId="0" applyNumberFormat="1" applyFont="1" applyFill="1" applyBorder="1" applyAlignment="1">
      <alignment horizontal="center"/>
    </xf>
    <xf numFmtId="3" fontId="34" fillId="0" borderId="0" xfId="2" applyNumberFormat="1" applyFont="1" applyFill="1" applyBorder="1" applyAlignment="1">
      <alignment horizontal="center" vertical="center"/>
    </xf>
    <xf numFmtId="164" fontId="0" fillId="0" borderId="56" xfId="0" applyNumberFormat="1" applyFont="1" applyFill="1" applyBorder="1"/>
    <xf numFmtId="0" fontId="0" fillId="0" borderId="57" xfId="0" applyFont="1" applyFill="1" applyBorder="1"/>
    <xf numFmtId="171" fontId="6" fillId="0" borderId="58" xfId="0" applyNumberFormat="1" applyFont="1" applyFill="1" applyBorder="1"/>
    <xf numFmtId="0" fontId="0" fillId="0" borderId="56" xfId="0" applyFont="1" applyFill="1" applyBorder="1"/>
    <xf numFmtId="171" fontId="6" fillId="0" borderId="59" xfId="0" applyNumberFormat="1" applyFont="1" applyFill="1" applyBorder="1"/>
    <xf numFmtId="174" fontId="0" fillId="0" borderId="56" xfId="0" applyNumberFormat="1" applyFont="1" applyFill="1" applyBorder="1"/>
    <xf numFmtId="0" fontId="15" fillId="0" borderId="20" xfId="0" applyFont="1" applyFill="1" applyBorder="1" applyAlignment="1">
      <alignment vertical="center"/>
    </xf>
    <xf numFmtId="0" fontId="0" fillId="0" borderId="20" xfId="0" applyFont="1" applyFill="1" applyBorder="1" applyAlignment="1">
      <alignment horizontal="center" vertical="center"/>
    </xf>
    <xf numFmtId="166" fontId="34" fillId="0" borderId="20" xfId="0" applyNumberFormat="1" applyFont="1" applyFill="1" applyBorder="1" applyAlignment="1">
      <alignment horizontal="center"/>
    </xf>
    <xf numFmtId="180" fontId="34" fillId="0" borderId="20" xfId="0" applyNumberFormat="1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/>
    </xf>
    <xf numFmtId="0" fontId="6" fillId="0" borderId="29" xfId="0" applyFont="1" applyFill="1" applyBorder="1"/>
    <xf numFmtId="170" fontId="34" fillId="0" borderId="20" xfId="0" applyNumberFormat="1" applyFont="1" applyFill="1" applyBorder="1" applyAlignment="1" applyProtection="1">
      <alignment horizontal="center"/>
      <protection hidden="1"/>
    </xf>
    <xf numFmtId="1" fontId="34" fillId="0" borderId="21" xfId="0" applyNumberFormat="1" applyFont="1" applyFill="1" applyBorder="1" applyAlignment="1" applyProtection="1">
      <alignment horizontal="center"/>
      <protection hidden="1"/>
    </xf>
    <xf numFmtId="0" fontId="34" fillId="0" borderId="0" xfId="0" applyFont="1" applyFill="1"/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6" xfId="0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 vertical="center"/>
    </xf>
    <xf numFmtId="166" fontId="34" fillId="0" borderId="41" xfId="0" applyNumberFormat="1" applyFont="1" applyFill="1" applyBorder="1" applyAlignment="1">
      <alignment horizontal="center"/>
    </xf>
    <xf numFmtId="166" fontId="34" fillId="0" borderId="41" xfId="0" applyNumberFormat="1" applyFont="1" applyFill="1" applyBorder="1" applyAlignment="1">
      <alignment horizontal="center" vertical="center"/>
    </xf>
    <xf numFmtId="2" fontId="34" fillId="0" borderId="41" xfId="0" applyNumberFormat="1" applyFont="1" applyFill="1" applyBorder="1" applyAlignment="1" applyProtection="1">
      <alignment horizontal="center"/>
      <protection hidden="1"/>
    </xf>
    <xf numFmtId="1" fontId="34" fillId="0" borderId="41" xfId="0" applyNumberFormat="1" applyFont="1" applyFill="1" applyBorder="1" applyAlignment="1" applyProtection="1">
      <alignment horizontal="center"/>
      <protection hidden="1"/>
    </xf>
    <xf numFmtId="174" fontId="0" fillId="0" borderId="23" xfId="0" applyNumberFormat="1" applyFont="1" applyFill="1" applyBorder="1"/>
    <xf numFmtId="171" fontId="0" fillId="0" borderId="23" xfId="0" applyNumberFormat="1" applyFont="1" applyFill="1" applyBorder="1"/>
    <xf numFmtId="164" fontId="0" fillId="0" borderId="0" xfId="0" applyNumberFormat="1" applyFont="1" applyFill="1" applyAlignment="1">
      <alignment horizontal="center"/>
    </xf>
    <xf numFmtId="169" fontId="0" fillId="0" borderId="48" xfId="0" applyNumberFormat="1" applyFont="1" applyFill="1" applyBorder="1" applyAlignment="1">
      <alignment horizontal="center"/>
    </xf>
    <xf numFmtId="168" fontId="0" fillId="0" borderId="48" xfId="0" applyNumberFormat="1" applyFont="1" applyFill="1" applyBorder="1" applyAlignment="1">
      <alignment horizontal="center"/>
    </xf>
    <xf numFmtId="167" fontId="0" fillId="0" borderId="0" xfId="0" applyNumberFormat="1" applyFont="1" applyFill="1" applyAlignment="1">
      <alignment horizontal="center"/>
    </xf>
    <xf numFmtId="166" fontId="34" fillId="0" borderId="0" xfId="0" applyNumberFormat="1" applyFont="1" applyFill="1" applyAlignment="1">
      <alignment horizontal="center"/>
    </xf>
    <xf numFmtId="174" fontId="0" fillId="0" borderId="44" xfId="0" applyNumberFormat="1" applyFont="1" applyFill="1" applyBorder="1"/>
    <xf numFmtId="171" fontId="0" fillId="0" borderId="44" xfId="0" applyNumberFormat="1" applyFont="1" applyFill="1" applyBorder="1"/>
    <xf numFmtId="2" fontId="34" fillId="0" borderId="0" xfId="0" applyNumberFormat="1" applyFont="1" applyFill="1" applyAlignment="1">
      <alignment horizontal="center"/>
    </xf>
    <xf numFmtId="170" fontId="34" fillId="0" borderId="0" xfId="0" applyNumberFormat="1" applyFont="1" applyFill="1" applyAlignment="1">
      <alignment horizontal="center"/>
    </xf>
    <xf numFmtId="173" fontId="34" fillId="0" borderId="0" xfId="0" applyNumberFormat="1" applyFont="1" applyFill="1" applyAlignment="1">
      <alignment horizontal="center"/>
    </xf>
    <xf numFmtId="170" fontId="34" fillId="0" borderId="0" xfId="0" applyNumberFormat="1" applyFont="1" applyFill="1" applyAlignment="1" applyProtection="1">
      <alignment horizontal="center" vertical="center"/>
      <protection hidden="1"/>
    </xf>
    <xf numFmtId="173" fontId="34" fillId="0" borderId="0" xfId="0" applyNumberFormat="1" applyFont="1" applyFill="1" applyAlignment="1" applyProtection="1">
      <alignment horizontal="center" vertical="center"/>
      <protection hidden="1"/>
    </xf>
    <xf numFmtId="171" fontId="6" fillId="0" borderId="44" xfId="0" applyNumberFormat="1" applyFont="1" applyFill="1" applyBorder="1"/>
    <xf numFmtId="0" fontId="1" fillId="0" borderId="0" xfId="0" applyFont="1" applyFill="1" applyAlignment="1" applyProtection="1">
      <alignment horizontal="center"/>
      <protection hidden="1"/>
    </xf>
    <xf numFmtId="166" fontId="0" fillId="0" borderId="0" xfId="0" applyNumberFormat="1" applyFont="1" applyFill="1"/>
    <xf numFmtId="0" fontId="0" fillId="0" borderId="48" xfId="0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9" fontId="0" fillId="0" borderId="47" xfId="0" applyNumberFormat="1" applyFont="1" applyFill="1" applyBorder="1" applyAlignment="1">
      <alignment horizontal="center"/>
    </xf>
    <xf numFmtId="0" fontId="0" fillId="0" borderId="47" xfId="0" applyFont="1" applyFill="1" applyBorder="1" applyAlignment="1">
      <alignment horizontal="center"/>
    </xf>
    <xf numFmtId="0" fontId="34" fillId="0" borderId="0" xfId="0" applyFont="1" applyFill="1" applyAlignment="1"/>
    <xf numFmtId="0" fontId="0" fillId="0" borderId="0" xfId="0" applyFont="1" applyFill="1" applyAlignment="1">
      <alignment horizontal="right"/>
    </xf>
    <xf numFmtId="0" fontId="34" fillId="0" borderId="0" xfId="0" applyFont="1" applyFill="1" applyAlignment="1">
      <alignment horizontal="left"/>
    </xf>
    <xf numFmtId="0" fontId="0" fillId="0" borderId="41" xfId="0" applyFont="1" applyFill="1" applyBorder="1" applyAlignment="1">
      <alignment horizontal="left"/>
    </xf>
    <xf numFmtId="0" fontId="6" fillId="0" borderId="41" xfId="0" applyFont="1" applyFill="1" applyBorder="1" applyAlignment="1">
      <alignment horizontal="left"/>
    </xf>
    <xf numFmtId="0" fontId="6" fillId="0" borderId="41" xfId="0" applyFont="1" applyFill="1" applyBorder="1" applyAlignment="1">
      <alignment horizontal="left" vertical="justify"/>
    </xf>
    <xf numFmtId="0" fontId="1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6" fontId="34" fillId="0" borderId="0" xfId="0" applyNumberFormat="1" applyFont="1" applyFill="1" applyAlignment="1">
      <alignment horizontal="left" vertical="center"/>
    </xf>
    <xf numFmtId="2" fontId="34" fillId="0" borderId="0" xfId="0" applyNumberFormat="1" applyFont="1" applyFill="1" applyAlignment="1" applyProtection="1">
      <alignment horizontal="left" vertical="center"/>
      <protection locked="0"/>
    </xf>
    <xf numFmtId="170" fontId="34" fillId="0" borderId="0" xfId="0" applyNumberFormat="1" applyFont="1" applyFill="1" applyAlignment="1">
      <alignment horizontal="left" vertical="center"/>
    </xf>
    <xf numFmtId="3" fontId="34" fillId="0" borderId="0" xfId="2" applyNumberFormat="1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/>
    </xf>
    <xf numFmtId="2" fontId="0" fillId="0" borderId="20" xfId="0" applyNumberFormat="1" applyFont="1" applyFill="1" applyBorder="1" applyAlignment="1">
      <alignment horizontal="left" vertical="center"/>
    </xf>
    <xf numFmtId="2" fontId="34" fillId="0" borderId="20" xfId="0" applyNumberFormat="1" applyFont="1" applyFill="1" applyBorder="1" applyAlignment="1">
      <alignment horizontal="left"/>
    </xf>
    <xf numFmtId="166" fontId="34" fillId="0" borderId="20" xfId="0" applyNumberFormat="1" applyFont="1" applyFill="1" applyBorder="1" applyAlignment="1">
      <alignment horizontal="left"/>
    </xf>
    <xf numFmtId="180" fontId="34" fillId="0" borderId="20" xfId="0" applyNumberFormat="1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/>
    </xf>
    <xf numFmtId="170" fontId="34" fillId="0" borderId="20" xfId="0" applyNumberFormat="1" applyFont="1" applyFill="1" applyBorder="1" applyAlignment="1" applyProtection="1">
      <alignment horizontal="left"/>
      <protection hidden="1"/>
    </xf>
    <xf numFmtId="2" fontId="34" fillId="0" borderId="21" xfId="0" applyNumberFormat="1" applyFont="1" applyFill="1" applyBorder="1" applyAlignment="1" applyProtection="1">
      <alignment horizontal="left"/>
      <protection hidden="1"/>
    </xf>
    <xf numFmtId="0" fontId="0" fillId="0" borderId="41" xfId="0" applyFont="1" applyFill="1" applyBorder="1" applyAlignment="1">
      <alignment horizontal="left" vertical="center"/>
    </xf>
    <xf numFmtId="166" fontId="34" fillId="0" borderId="41" xfId="0" applyNumberFormat="1" applyFont="1" applyFill="1" applyBorder="1" applyAlignment="1">
      <alignment horizontal="left"/>
    </xf>
    <xf numFmtId="166" fontId="34" fillId="0" borderId="41" xfId="0" applyNumberFormat="1" applyFont="1" applyFill="1" applyBorder="1" applyAlignment="1">
      <alignment horizontal="left" vertical="center"/>
    </xf>
    <xf numFmtId="2" fontId="6" fillId="0" borderId="41" xfId="0" applyNumberFormat="1" applyFont="1" applyFill="1" applyBorder="1" applyAlignment="1" applyProtection="1">
      <alignment horizontal="left"/>
      <protection hidden="1"/>
    </xf>
    <xf numFmtId="165" fontId="6" fillId="0" borderId="41" xfId="0" applyNumberFormat="1" applyFont="1" applyFill="1" applyBorder="1" applyAlignment="1" applyProtection="1">
      <alignment horizontal="left"/>
      <protection hidden="1"/>
    </xf>
    <xf numFmtId="166" fontId="34" fillId="0" borderId="0" xfId="0" applyNumberFormat="1" applyFont="1" applyFill="1" applyAlignment="1">
      <alignment horizontal="left"/>
    </xf>
    <xf numFmtId="2" fontId="34" fillId="0" borderId="0" xfId="0" applyNumberFormat="1" applyFont="1" applyFill="1" applyAlignment="1">
      <alignment horizontal="left"/>
    </xf>
    <xf numFmtId="170" fontId="6" fillId="0" borderId="0" xfId="0" applyNumberFormat="1" applyFont="1" applyFill="1" applyAlignment="1">
      <alignment horizontal="left"/>
    </xf>
    <xf numFmtId="173" fontId="6" fillId="0" borderId="0" xfId="0" applyNumberFormat="1" applyFont="1" applyFill="1" applyAlignment="1">
      <alignment horizontal="left"/>
    </xf>
    <xf numFmtId="170" fontId="15" fillId="0" borderId="0" xfId="0" applyNumberFormat="1" applyFont="1" applyFill="1" applyAlignment="1" applyProtection="1">
      <alignment horizontal="left" vertical="center"/>
      <protection hidden="1"/>
    </xf>
    <xf numFmtId="173" fontId="15" fillId="0" borderId="0" xfId="0" applyNumberFormat="1" applyFont="1" applyFill="1" applyAlignment="1" applyProtection="1">
      <alignment horizontal="left" vertical="center"/>
      <protection hidden="1"/>
    </xf>
    <xf numFmtId="0" fontId="0" fillId="0" borderId="54" xfId="0" applyFont="1" applyFill="1" applyBorder="1" applyAlignment="1">
      <alignment horizontal="left"/>
    </xf>
    <xf numFmtId="0" fontId="1" fillId="0" borderId="0" xfId="0" applyFont="1" applyFill="1" applyAlignment="1" applyProtection="1">
      <alignment horizontal="left"/>
      <protection hidden="1"/>
    </xf>
    <xf numFmtId="2" fontId="3" fillId="0" borderId="0" xfId="5" applyNumberFormat="1" applyFill="1" applyAlignment="1">
      <alignment horizontal="left"/>
    </xf>
    <xf numFmtId="0" fontId="3" fillId="0" borderId="0" xfId="5" applyFill="1" applyAlignment="1">
      <alignment horizontal="left"/>
    </xf>
    <xf numFmtId="0" fontId="36" fillId="0" borderId="0" xfId="5" applyFont="1" applyFill="1" applyAlignment="1">
      <alignment horizontal="left"/>
    </xf>
    <xf numFmtId="0" fontId="3" fillId="0" borderId="0" xfId="5" quotePrefix="1" applyFill="1" applyAlignment="1">
      <alignment horizontal="left"/>
    </xf>
    <xf numFmtId="1" fontId="3" fillId="0" borderId="0" xfId="5" applyNumberFormat="1" applyFill="1" applyAlignment="1">
      <alignment horizontal="left"/>
    </xf>
    <xf numFmtId="1" fontId="36" fillId="0" borderId="0" xfId="5" applyNumberFormat="1" applyFont="1" applyFill="1" applyAlignment="1">
      <alignment horizontal="left"/>
    </xf>
    <xf numFmtId="0" fontId="35" fillId="0" borderId="0" xfId="5" applyFont="1" applyFill="1" applyAlignment="1">
      <alignment horizontal="left"/>
    </xf>
    <xf numFmtId="2" fontId="35" fillId="0" borderId="0" xfId="5" applyNumberFormat="1" applyFont="1" applyFill="1" applyAlignment="1">
      <alignment horizontal="left"/>
    </xf>
    <xf numFmtId="0" fontId="37" fillId="0" borderId="0" xfId="5" applyFont="1" applyFill="1" applyAlignment="1">
      <alignment horizontal="left"/>
    </xf>
    <xf numFmtId="0" fontId="37" fillId="0" borderId="40" xfId="5" applyFont="1" applyFill="1" applyBorder="1" applyAlignment="1">
      <alignment horizontal="left"/>
    </xf>
    <xf numFmtId="0" fontId="37" fillId="0" borderId="41" xfId="5" applyFont="1" applyFill="1" applyBorder="1" applyAlignment="1">
      <alignment horizontal="left"/>
    </xf>
    <xf numFmtId="0" fontId="37" fillId="0" borderId="42" xfId="5" applyFont="1" applyFill="1" applyBorder="1" applyAlignment="1">
      <alignment horizontal="left"/>
    </xf>
    <xf numFmtId="0" fontId="3" fillId="0" borderId="40" xfId="5" applyFill="1" applyBorder="1" applyAlignment="1">
      <alignment horizontal="left"/>
    </xf>
    <xf numFmtId="0" fontId="35" fillId="0" borderId="41" xfId="5" applyFont="1" applyFill="1" applyBorder="1" applyAlignment="1">
      <alignment horizontal="left"/>
    </xf>
    <xf numFmtId="0" fontId="35" fillId="0" borderId="42" xfId="5" applyFont="1" applyFill="1" applyBorder="1" applyAlignment="1">
      <alignment horizontal="left"/>
    </xf>
    <xf numFmtId="0" fontId="38" fillId="0" borderId="0" xfId="5" applyFont="1" applyFill="1" applyAlignment="1">
      <alignment horizontal="left"/>
    </xf>
    <xf numFmtId="1" fontId="38" fillId="0" borderId="1" xfId="5" applyNumberFormat="1" applyFont="1" applyFill="1" applyBorder="1" applyAlignment="1">
      <alignment horizontal="left"/>
    </xf>
    <xf numFmtId="1" fontId="38" fillId="0" borderId="2" xfId="5" applyNumberFormat="1" applyFont="1" applyFill="1" applyBorder="1" applyAlignment="1">
      <alignment horizontal="left"/>
    </xf>
    <xf numFmtId="1" fontId="38" fillId="0" borderId="3" xfId="5" applyNumberFormat="1" applyFont="1" applyFill="1" applyBorder="1" applyAlignment="1">
      <alignment horizontal="left"/>
    </xf>
    <xf numFmtId="1" fontId="3" fillId="0" borderId="54" xfId="5" applyNumberFormat="1" applyFill="1" applyBorder="1" applyAlignment="1">
      <alignment horizontal="left"/>
    </xf>
    <xf numFmtId="1" fontId="3" fillId="0" borderId="19" xfId="5" applyNumberFormat="1" applyFill="1" applyBorder="1" applyAlignment="1">
      <alignment horizontal="left"/>
    </xf>
    <xf numFmtId="1" fontId="38" fillId="0" borderId="54" xfId="5" applyNumberFormat="1" applyFont="1" applyFill="1" applyBorder="1" applyAlignment="1">
      <alignment horizontal="left"/>
    </xf>
    <xf numFmtId="1" fontId="38" fillId="0" borderId="0" xfId="5" applyNumberFormat="1" applyFont="1" applyFill="1" applyAlignment="1">
      <alignment horizontal="left"/>
    </xf>
    <xf numFmtId="1" fontId="38" fillId="0" borderId="19" xfId="5" applyNumberFormat="1" applyFont="1" applyFill="1" applyBorder="1" applyAlignment="1">
      <alignment horizontal="left"/>
    </xf>
    <xf numFmtId="1" fontId="38" fillId="0" borderId="29" xfId="5" applyNumberFormat="1" applyFont="1" applyFill="1" applyBorder="1" applyAlignment="1">
      <alignment horizontal="left"/>
    </xf>
    <xf numFmtId="1" fontId="38" fillId="0" borderId="20" xfId="5" applyNumberFormat="1" applyFont="1" applyFill="1" applyBorder="1" applyAlignment="1">
      <alignment horizontal="left"/>
    </xf>
    <xf numFmtId="1" fontId="38" fillId="0" borderId="21" xfId="5" applyNumberFormat="1" applyFont="1" applyFill="1" applyBorder="1" applyAlignment="1">
      <alignment horizontal="left"/>
    </xf>
    <xf numFmtId="1" fontId="3" fillId="0" borderId="29" xfId="5" applyNumberFormat="1" applyFill="1" applyBorder="1" applyAlignment="1">
      <alignment horizontal="left"/>
    </xf>
    <xf numFmtId="1" fontId="3" fillId="0" borderId="20" xfId="5" applyNumberFormat="1" applyFill="1" applyBorder="1" applyAlignment="1">
      <alignment horizontal="left"/>
    </xf>
    <xf numFmtId="1" fontId="3" fillId="0" borderId="21" xfId="5" applyNumberFormat="1" applyFill="1" applyBorder="1" applyAlignment="1">
      <alignment horizontal="left"/>
    </xf>
    <xf numFmtId="0" fontId="2" fillId="0" borderId="0" xfId="5" applyFont="1" applyFill="1" applyAlignment="1">
      <alignment horizontal="left"/>
    </xf>
    <xf numFmtId="0" fontId="35" fillId="0" borderId="40" xfId="5" applyFont="1" applyFill="1" applyBorder="1" applyAlignment="1">
      <alignment horizontal="left"/>
    </xf>
    <xf numFmtId="164" fontId="0" fillId="0" borderId="0" xfId="0" applyNumberFormat="1" applyFill="1" applyAlignment="1">
      <alignment horizontal="left" vertical="center"/>
    </xf>
    <xf numFmtId="175" fontId="0" fillId="0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/>
    </xf>
    <xf numFmtId="178" fontId="0" fillId="0" borderId="0" xfId="0" applyNumberFormat="1" applyFill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1" fontId="0" fillId="0" borderId="0" xfId="0" applyNumberFormat="1" applyBorder="1" applyAlignment="1">
      <alignment horizontal="left"/>
    </xf>
    <xf numFmtId="8" fontId="0" fillId="0" borderId="0" xfId="0" applyNumberFormat="1" applyBorder="1" applyAlignment="1">
      <alignment horizontal="left"/>
    </xf>
    <xf numFmtId="177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9" fontId="0" fillId="0" borderId="0" xfId="1" applyFont="1" applyBorder="1" applyAlignment="1">
      <alignment horizontal="left"/>
    </xf>
    <xf numFmtId="0" fontId="0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Protection="1">
      <protection locked="0"/>
    </xf>
    <xf numFmtId="10" fontId="0" fillId="0" borderId="0" xfId="0" applyNumberFormat="1" applyFont="1" applyFill="1" applyBorder="1" applyProtection="1">
      <protection locked="0"/>
    </xf>
    <xf numFmtId="166" fontId="0" fillId="0" borderId="0" xfId="0" applyNumberFormat="1" applyFont="1" applyFill="1" applyBorder="1" applyAlignment="1" applyProtection="1">
      <alignment horizontal="center" vertical="center"/>
      <protection locked="0"/>
    </xf>
    <xf numFmtId="10" fontId="0" fillId="0" borderId="0" xfId="0" applyNumberFormat="1" applyFont="1" applyFill="1" applyBorder="1" applyAlignment="1">
      <alignment horizontal="center" vertical="center"/>
    </xf>
    <xf numFmtId="0" fontId="0" fillId="0" borderId="0" xfId="0" quotePrefix="1" applyFont="1" applyFill="1" applyBorder="1" applyAlignment="1" applyProtection="1">
      <alignment horizontal="left"/>
      <protection locked="0"/>
    </xf>
    <xf numFmtId="10" fontId="0" fillId="0" borderId="0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horizontal="center" wrapText="1" readingOrder="1"/>
    </xf>
    <xf numFmtId="0" fontId="30" fillId="0" borderId="0" xfId="0" applyFont="1" applyFill="1" applyBorder="1" applyAlignment="1">
      <alignment horizontal="left" vertical="center" wrapText="1" readingOrder="1"/>
    </xf>
    <xf numFmtId="0" fontId="30" fillId="0" borderId="0" xfId="0" applyFont="1" applyFill="1" applyBorder="1" applyAlignment="1">
      <alignment horizontal="center" vertical="center" wrapText="1" readingOrder="1"/>
    </xf>
    <xf numFmtId="2" fontId="30" fillId="0" borderId="0" xfId="0" applyNumberFormat="1" applyFont="1" applyFill="1" applyBorder="1" applyAlignment="1">
      <alignment horizontal="center" vertical="center" wrapText="1" readingOrder="1"/>
    </xf>
  </cellXfs>
  <cellStyles count="6">
    <cellStyle name="Hiperlink" xfId="3" builtinId="8"/>
    <cellStyle name="Normal" xfId="0" builtinId="0"/>
    <cellStyle name="Normal 2" xfId="4" xr:uid="{E7416F48-BDA8-4E38-BAE6-DE4C226E1388}"/>
    <cellStyle name="Normal 2 2" xfId="5" xr:uid="{A3F0C597-78D5-4061-92ED-A6AFB62FE2CC}"/>
    <cellStyle name="Porcentagem" xfId="1" builtinId="5"/>
    <cellStyle name="Vírgula" xfId="2" builtinId="3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9" tint="0.39994506668294322"/>
        </patternFill>
      </fill>
    </dxf>
    <dxf>
      <font>
        <b/>
        <i val="0"/>
        <color rgb="FFFF0000"/>
      </font>
      <fill>
        <patternFill>
          <bgColor theme="9" tint="0.39994506668294322"/>
        </patternFill>
      </fill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Estilo de Tabela Dinâmica 1" table="0" count="0" xr9:uid="{00000000-0011-0000-FFFF-FFFF00000000}"/>
  </tableStyles>
  <colors>
    <mruColors>
      <color rgb="FF00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PRODUTOR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'RELATÓRIO TÉCNICO'!$A$38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006600"/>
            </a:solidFill>
            <a:ln>
              <a:noFill/>
            </a:ln>
            <a:effectLst/>
          </c:spPr>
          <c:invertIfNegative val="0"/>
          <c:cat>
            <c:strRef>
              <c:f>'RELATÓRIO TÉCNICO'!$B$37</c:f>
              <c:strCache>
                <c:ptCount val="1"/>
                <c:pt idx="0">
                  <c:v>Produtor</c:v>
                </c:pt>
              </c:strCache>
            </c:strRef>
          </c:cat>
          <c:val>
            <c:numRef>
              <c:f>'RELATÓRIO TÉCNICO'!$B$38</c:f>
              <c:numCache>
                <c:formatCode>0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2-499F-9F36-5DF6F5FC6385}"/>
            </c:ext>
          </c:extLst>
        </c:ser>
        <c:ser>
          <c:idx val="1"/>
          <c:order val="1"/>
          <c:tx>
            <c:strRef>
              <c:f>'RELATÓRIO TÉCNICO'!$A$39</c:f>
              <c:strCache>
                <c:ptCount val="1"/>
                <c:pt idx="0">
                  <c:v>PM 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'RELATÓRIO TÉCNICO'!$B$37</c:f>
              <c:strCache>
                <c:ptCount val="1"/>
                <c:pt idx="0">
                  <c:v>Produtor</c:v>
                </c:pt>
              </c:strCache>
            </c:strRef>
          </c:cat>
          <c:val>
            <c:numRef>
              <c:f>'RELATÓRIO TÉCNICO'!$B$39</c:f>
              <c:numCache>
                <c:formatCode>0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2-499F-9F36-5DF6F5FC6385}"/>
            </c:ext>
          </c:extLst>
        </c:ser>
        <c:ser>
          <c:idx val="2"/>
          <c:order val="2"/>
          <c:tx>
            <c:strRef>
              <c:f>'RELATÓRIO TÉCNICO'!$A$40</c:f>
              <c:strCache>
                <c:ptCount val="1"/>
                <c:pt idx="0">
                  <c:v>EM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'RELATÓRIO TÉCNICO'!$B$37</c:f>
              <c:strCache>
                <c:ptCount val="1"/>
                <c:pt idx="0">
                  <c:v>Produtor</c:v>
                </c:pt>
              </c:strCache>
            </c:strRef>
          </c:cat>
          <c:val>
            <c:numRef>
              <c:f>'RELATÓRIO TÉCNICO'!$B$40</c:f>
              <c:numCache>
                <c:formatCode>0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72-499F-9F36-5DF6F5FC6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3544239"/>
        <c:axId val="1112621327"/>
      </c:barChart>
      <c:catAx>
        <c:axId val="1203544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12621327"/>
        <c:crosses val="autoZero"/>
        <c:auto val="1"/>
        <c:lblAlgn val="ctr"/>
        <c:lblOffset val="100"/>
        <c:noMultiLvlLbl val="0"/>
      </c:catAx>
      <c:valAx>
        <c:axId val="111262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35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AGRIFIRM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'RELATÓRIO TÉCNICO'!$A$38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006600"/>
            </a:solidFill>
            <a:ln>
              <a:noFill/>
            </a:ln>
            <a:effectLst/>
          </c:spPr>
          <c:invertIfNegative val="0"/>
          <c:cat>
            <c:strRef>
              <c:f>'RELATÓRIO TÉCNICO'!$C$37</c:f>
              <c:strCache>
                <c:ptCount val="1"/>
                <c:pt idx="0">
                  <c:v>Agrifirm</c:v>
                </c:pt>
              </c:strCache>
            </c:strRef>
          </c:cat>
          <c:val>
            <c:numRef>
              <c:f>'RELATÓRIO TÉCNICO'!$C$38</c:f>
              <c:numCache>
                <c:formatCode>0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8-4F8D-B5C5-9314E144828D}"/>
            </c:ext>
          </c:extLst>
        </c:ser>
        <c:ser>
          <c:idx val="1"/>
          <c:order val="1"/>
          <c:tx>
            <c:strRef>
              <c:f>'RELATÓRIO TÉCNICO'!$A$39</c:f>
              <c:strCache>
                <c:ptCount val="1"/>
                <c:pt idx="0">
                  <c:v>PM 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'RELATÓRIO TÉCNICO'!$C$37</c:f>
              <c:strCache>
                <c:ptCount val="1"/>
                <c:pt idx="0">
                  <c:v>Agrifirm</c:v>
                </c:pt>
              </c:strCache>
            </c:strRef>
          </c:cat>
          <c:val>
            <c:numRef>
              <c:f>'RELATÓRIO TÉCNICO'!$C$39</c:f>
              <c:numCache>
                <c:formatCode>0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8-4F8D-B5C5-9314E144828D}"/>
            </c:ext>
          </c:extLst>
        </c:ser>
        <c:ser>
          <c:idx val="2"/>
          <c:order val="2"/>
          <c:tx>
            <c:strRef>
              <c:f>'RELATÓRIO TÉCNICO'!$A$40</c:f>
              <c:strCache>
                <c:ptCount val="1"/>
                <c:pt idx="0">
                  <c:v>EM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'RELATÓRIO TÉCNICO'!$C$37</c:f>
              <c:strCache>
                <c:ptCount val="1"/>
                <c:pt idx="0">
                  <c:v>Agrifirm</c:v>
                </c:pt>
              </c:strCache>
            </c:strRef>
          </c:cat>
          <c:val>
            <c:numRef>
              <c:f>'RELATÓRIO TÉCNICO'!$C$40</c:f>
              <c:numCache>
                <c:formatCode>0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A8-4F8D-B5C5-9314E1448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3730575"/>
        <c:axId val="1110679375"/>
      </c:barChart>
      <c:catAx>
        <c:axId val="1193730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10679375"/>
        <c:crosses val="autoZero"/>
        <c:auto val="1"/>
        <c:lblAlgn val="ctr"/>
        <c:lblOffset val="100"/>
        <c:noMultiLvlLbl val="0"/>
      </c:catAx>
      <c:valAx>
        <c:axId val="111067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73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2" fmlaLink="$K$20" fmlaRange="Parâmetros!$B$26:$B$27" noThreeD="1" sel="2" val="0"/>
</file>

<file path=xl/ctrlProps/ctrlProp2.xml><?xml version="1.0" encoding="utf-8"?>
<formControlPr xmlns="http://schemas.microsoft.com/office/spreadsheetml/2009/9/main" objectType="Drop" dropLines="15" dropStyle="combo" dx="22" fmlaLink="$I$13" fmlaRange="dados2!$B$65:$B$79" noThreeD="1" sel="1" val="0"/>
</file>

<file path=xl/ctrlProps/ctrlProp3.xml><?xml version="1.0" encoding="utf-8"?>
<formControlPr xmlns="http://schemas.microsoft.com/office/spreadsheetml/2009/9/main" objectType="Drop" dropStyle="combo" dx="22" fmlaLink="Dados!$I$14" fmlaRange="dados2!$B$11:$B$19" noThreeD="1" sel="2" val="0"/>
</file>

<file path=xl/ctrlProps/ctrlProp4.xml><?xml version="1.0" encoding="utf-8"?>
<formControlPr xmlns="http://schemas.microsoft.com/office/spreadsheetml/2009/9/main" objectType="Drop" dropLines="15" dropStyle="combo" dx="22" fmlaLink="Dados!$I$21" fmlaRange="dados2!$B$65:$B$79" noThreeD="1" sel="10" val="0"/>
</file>

<file path=xl/ctrlProps/ctrlProp5.xml><?xml version="1.0" encoding="utf-8"?>
<formControlPr xmlns="http://schemas.microsoft.com/office/spreadsheetml/2009/9/main" objectType="Drop" dropStyle="combo" dx="22" fmlaLink="$I$22" fmlaRange="dados2!$B$11:$B$19" noThreeD="1" sel="4" val="0"/>
</file>

<file path=xl/ctrlProps/ctrlProp6.xml><?xml version="1.0" encoding="utf-8"?>
<formControlPr xmlns="http://schemas.microsoft.com/office/spreadsheetml/2009/9/main" objectType="Drop" dropLines="4" dropStyle="combo" dx="22" fmlaLink="$D$15" fmlaRange="dados2!$B$42:$B$45" noThreeD="1" sel="1" val="0"/>
</file>

<file path=xl/ctrlProps/ctrlProp7.xml><?xml version="1.0" encoding="utf-8"?>
<formControlPr xmlns="http://schemas.microsoft.com/office/spreadsheetml/2009/9/main" objectType="Drop" dropLines="3" dropStyle="combo" dx="22" fmlaLink="$J$11" fmlaRange="dados2!$B$21:$B$23" noThreeD="1" sel="3" val="0"/>
</file>

<file path=xl/ctrlProps/ctrlProp8.xml><?xml version="1.0" encoding="utf-8"?>
<formControlPr xmlns="http://schemas.microsoft.com/office/spreadsheetml/2009/9/main" objectType="Drop" dropLines="6" dropStyle="combo" dx="22" fmlaLink="Dados!$I$11" fmlaRange="dados2!$B$3:$B$8" noThreeD="1" sel="2" val="0"/>
</file>

<file path=xl/ctrlProps/ctrlProp9.xml><?xml version="1.0" encoding="utf-8"?>
<formControlPr xmlns="http://schemas.microsoft.com/office/spreadsheetml/2009/9/main" objectType="Drop" dropStyle="combo" dx="22" fmlaLink="$K$12" fmlaRange="dados2!$B$58:$B$62" noThreeD="1" sel="5" val="0"/>
</file>

<file path=xl/ctrlProps/ctrlProp10.xml><?xml version="1.0" encoding="utf-8"?>
<formControlPr xmlns="http://schemas.microsoft.com/office/spreadsheetml/2009/9/main" objectType="Drop" dropStyle="combo" dx="22" fmlaLink="$I$20" fmlaRange="dados2!$B$58:$B$62" noThreeD="1" sel="2" val="0"/>
</file>

<file path=xl/ctrlProps/ctrlProp11.xml><?xml version="1.0" encoding="utf-8"?>
<formControlPr xmlns="http://schemas.microsoft.com/office/spreadsheetml/2009/9/main" objectType="Drop" dropLines="6" dropStyle="combo" dx="22" fmlaLink="$I$19" fmlaRange="dados2!$B$3:$B$8" noThreeD="1" sel="1" val="0"/>
</file>

<file path=xl/ctrlProps/ctrlProp12.xml><?xml version="1.0" encoding="utf-8"?>
<formControlPr xmlns="http://schemas.microsoft.com/office/spreadsheetml/2009/9/main" objectType="Drop" dropLines="6" dropStyle="combo" dx="22" fmlaLink="$J$20" fmlaRange="dados2!$B$3:$B$8" noThreeD="1" sel="4" val="0"/>
</file>

<file path=xl/ctrlProps/ctrlProp13.xml><?xml version="1.0" encoding="utf-8"?>
<formControlPr xmlns="http://schemas.microsoft.com/office/spreadsheetml/2009/9/main" objectType="Drop" dropLines="6" dropStyle="combo" dx="22" fmlaLink="$I$12" fmlaRange="dados2!$B$3:$B$8" noThreeD="1" sel="4" val="0"/>
</file>

<file path=xl/ctrlProps/ctrlProp14.xml><?xml version="1.0" encoding="utf-8"?>
<formControlPr xmlns="http://schemas.microsoft.com/office/spreadsheetml/2009/9/main" objectType="Drop" dropLines="3" dropStyle="combo" dx="22" fmlaLink="$J$19" fmlaRange="dados2!$B$21:$B$23" noThreeD="1" sel="2" val="0"/>
</file>

<file path=xl/ctrlProps/ctrlProp15.xml><?xml version="1.0" encoding="utf-8"?>
<formControlPr xmlns="http://schemas.microsoft.com/office/spreadsheetml/2009/9/main" objectType="Drop" dropLines="3" dropStyle="combo" dx="22" fmlaLink="$J$21" fmlaRange="Parâmetros!$B$26:$B$28" noThreeD="1" sel="1" val="0"/>
</file>

<file path=xl/ctrlProps/ctrlProp16.xml><?xml version="1.0" encoding="utf-8"?>
<formControlPr xmlns="http://schemas.microsoft.com/office/spreadsheetml/2009/9/main" objectType="Drop" dropLines="4" dropStyle="combo" dx="22" fmlaLink="$J$14" fmlaRange="dados2!$B$94:$B$97" noThreeD="1" sel="1" val="0"/>
</file>

<file path=xl/ctrlProps/ctrlProp17.xml><?xml version="1.0" encoding="utf-8"?>
<formControlPr xmlns="http://schemas.microsoft.com/office/spreadsheetml/2009/9/main" objectType="Drop" dropLines="15" dropStyle="combo" dx="22" fmlaLink="$D$17" fmlaRange="dados2!$B$25:$B$39" noThreeD="1" sel="3" val="0"/>
</file>

<file path=xl/ctrlProps/ctrlProp18.xml><?xml version="1.0" encoding="utf-8"?>
<formControlPr xmlns="http://schemas.microsoft.com/office/spreadsheetml/2009/9/main" objectType="Drop" dropLines="15" dropStyle="combo" dx="22" fmlaLink="$D$18" fmlaRange="dados2!$B$25:$B$39" noThreeD="1" sel="4" val="0"/>
</file>

<file path=xl/ctrlProps/ctrlProp19.xml><?xml version="1.0" encoding="utf-8"?>
<formControlPr xmlns="http://schemas.microsoft.com/office/spreadsheetml/2009/9/main" objectType="Drop" dropStyle="combo" dx="22" fmlaLink="$I$22" fmlaRange="dados2!$B$11:$B$19" noThreeD="1" sel="4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chart" Target="../charts/chart2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&#225;lculo!A1"/><Relationship Id="rId2" Type="http://schemas.openxmlformats.org/officeDocument/2006/relationships/hyperlink" Target="#Viabilidade!A1"/><Relationship Id="rId1" Type="http://schemas.openxmlformats.org/officeDocument/2006/relationships/hyperlink" Target="#Dados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186731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rgbClr val="0066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0"/>
          <a:ext cx="729656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0</xdr:row>
      <xdr:rowOff>0</xdr:rowOff>
    </xdr:from>
    <xdr:to>
      <xdr:col>12</xdr:col>
      <xdr:colOff>142875</xdr:colOff>
      <xdr:row>3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rgbClr val="0066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0" y="0"/>
          <a:ext cx="714375" cy="571500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0</xdr:row>
      <xdr:rowOff>9525</xdr:rowOff>
    </xdr:from>
    <xdr:ext cx="729656" cy="571500"/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rgbClr val="0066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811125" y="9525"/>
          <a:ext cx="729656" cy="571500"/>
        </a:xfrm>
        <a:prstGeom prst="rect">
          <a:avLst/>
        </a:prstGeom>
      </xdr:spPr>
    </xdr:pic>
    <xdr:clientData/>
  </xdr:oneCellAnchor>
  <xdr:oneCellAnchor>
    <xdr:from>
      <xdr:col>22</xdr:col>
      <xdr:colOff>381000</xdr:colOff>
      <xdr:row>0</xdr:row>
      <xdr:rowOff>0</xdr:rowOff>
    </xdr:from>
    <xdr:ext cx="714375" cy="571500"/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rgbClr val="0066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26925" y="0"/>
          <a:ext cx="714375" cy="571500"/>
        </a:xfrm>
        <a:prstGeom prst="rect">
          <a:avLst/>
        </a:prstGeom>
      </xdr:spPr>
    </xdr:pic>
    <xdr:clientData/>
  </xdr:oneCellAnchor>
  <xdr:twoCellAnchor editAs="oneCell">
    <xdr:from>
      <xdr:col>1</xdr:col>
      <xdr:colOff>38101</xdr:colOff>
      <xdr:row>0</xdr:row>
      <xdr:rowOff>57150</xdr:rowOff>
    </xdr:from>
    <xdr:to>
      <xdr:col>2</xdr:col>
      <xdr:colOff>42862</xdr:colOff>
      <xdr:row>2</xdr:row>
      <xdr:rowOff>119890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2" y="57150"/>
          <a:ext cx="2047873" cy="44374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18</xdr:row>
          <xdr:rowOff>190500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2056" name="Drop Dow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12</xdr:row>
          <xdr:rowOff>12700</xdr:rowOff>
        </xdr:from>
        <xdr:to>
          <xdr:col>7</xdr:col>
          <xdr:colOff>0</xdr:colOff>
          <xdr:row>13</xdr:row>
          <xdr:rowOff>12700</xdr:rowOff>
        </xdr:to>
        <xdr:sp macro="" textlink="">
          <xdr:nvSpPr>
            <xdr:cNvPr id="2057" name="Drop Dow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12700</xdr:rowOff>
        </xdr:from>
        <xdr:to>
          <xdr:col>7</xdr:col>
          <xdr:colOff>0</xdr:colOff>
          <xdr:row>14</xdr:row>
          <xdr:rowOff>12700</xdr:rowOff>
        </xdr:to>
        <xdr:sp macro="" textlink="">
          <xdr:nvSpPr>
            <xdr:cNvPr id="2063" name="Drop Dow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20</xdr:row>
          <xdr:rowOff>25400</xdr:rowOff>
        </xdr:from>
        <xdr:to>
          <xdr:col>7</xdr:col>
          <xdr:colOff>0</xdr:colOff>
          <xdr:row>21</xdr:row>
          <xdr:rowOff>38100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21</xdr:row>
          <xdr:rowOff>38100</xdr:rowOff>
        </xdr:from>
        <xdr:to>
          <xdr:col>7</xdr:col>
          <xdr:colOff>0</xdr:colOff>
          <xdr:row>22</xdr:row>
          <xdr:rowOff>12700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14</xdr:row>
          <xdr:rowOff>12700</xdr:rowOff>
        </xdr:from>
        <xdr:to>
          <xdr:col>2</xdr:col>
          <xdr:colOff>482600</xdr:colOff>
          <xdr:row>15</xdr:row>
          <xdr:rowOff>25400</xdr:rowOff>
        </xdr:to>
        <xdr:sp macro="" textlink="">
          <xdr:nvSpPr>
            <xdr:cNvPr id="2070" name="Drop Dow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165100</xdr:colOff>
          <xdr:row>11</xdr:row>
          <xdr:rowOff>12700</xdr:rowOff>
        </xdr:to>
        <xdr:sp macro="" textlink="">
          <xdr:nvSpPr>
            <xdr:cNvPr id="2072" name="Drop Dow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177800</xdr:rowOff>
        </xdr:from>
        <xdr:to>
          <xdr:col>6</xdr:col>
          <xdr:colOff>25400</xdr:colOff>
          <xdr:row>11</xdr:row>
          <xdr:rowOff>25400</xdr:rowOff>
        </xdr:to>
        <xdr:sp macro="" textlink="">
          <xdr:nvSpPr>
            <xdr:cNvPr id="2086" name="Drop Down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2087" name="Drop Down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177800</xdr:rowOff>
        </xdr:from>
        <xdr:to>
          <xdr:col>7</xdr:col>
          <xdr:colOff>0</xdr:colOff>
          <xdr:row>20</xdr:row>
          <xdr:rowOff>0</xdr:rowOff>
        </xdr:to>
        <xdr:sp macro="" textlink="">
          <xdr:nvSpPr>
            <xdr:cNvPr id="2092" name="Drop Down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12700</xdr:rowOff>
        </xdr:from>
        <xdr:to>
          <xdr:col>6</xdr:col>
          <xdr:colOff>25400</xdr:colOff>
          <xdr:row>19</xdr:row>
          <xdr:rowOff>0</xdr:rowOff>
        </xdr:to>
        <xdr:sp macro="" textlink="">
          <xdr:nvSpPr>
            <xdr:cNvPr id="2093" name="Drop Down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12700</xdr:rowOff>
        </xdr:from>
        <xdr:to>
          <xdr:col>6</xdr:col>
          <xdr:colOff>25400</xdr:colOff>
          <xdr:row>20</xdr:row>
          <xdr:rowOff>0</xdr:rowOff>
        </xdr:to>
        <xdr:sp macro="" textlink="">
          <xdr:nvSpPr>
            <xdr:cNvPr id="2095" name="Drop Down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12700</xdr:rowOff>
        </xdr:from>
        <xdr:to>
          <xdr:col>6</xdr:col>
          <xdr:colOff>25400</xdr:colOff>
          <xdr:row>11</xdr:row>
          <xdr:rowOff>177800</xdr:rowOff>
        </xdr:to>
        <xdr:sp macro="" textlink="">
          <xdr:nvSpPr>
            <xdr:cNvPr id="2102" name="Drop Down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177800</xdr:rowOff>
        </xdr:from>
        <xdr:to>
          <xdr:col>4</xdr:col>
          <xdr:colOff>800100</xdr:colOff>
          <xdr:row>19</xdr:row>
          <xdr:rowOff>0</xdr:rowOff>
        </xdr:to>
        <xdr:sp macro="" textlink="">
          <xdr:nvSpPr>
            <xdr:cNvPr id="2104" name="Drop Down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6</xdr:col>
          <xdr:colOff>0</xdr:colOff>
          <xdr:row>21</xdr:row>
          <xdr:rowOff>12700</xdr:rowOff>
        </xdr:to>
        <xdr:sp macro="" textlink="">
          <xdr:nvSpPr>
            <xdr:cNvPr id="2109" name="Drop Down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330200</xdr:colOff>
          <xdr:row>13</xdr:row>
          <xdr:rowOff>25400</xdr:rowOff>
        </xdr:from>
        <xdr:to>
          <xdr:col>4</xdr:col>
          <xdr:colOff>800100</xdr:colOff>
          <xdr:row>14</xdr:row>
          <xdr:rowOff>0</xdr:rowOff>
        </xdr:to>
        <xdr:sp macro="" textlink="">
          <xdr:nvSpPr>
            <xdr:cNvPr id="2110" name="Drop Down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177800</xdr:rowOff>
        </xdr:from>
        <xdr:to>
          <xdr:col>3</xdr:col>
          <xdr:colOff>0</xdr:colOff>
          <xdr:row>17</xdr:row>
          <xdr:rowOff>0</xdr:rowOff>
        </xdr:to>
        <xdr:sp macro="" textlink="">
          <xdr:nvSpPr>
            <xdr:cNvPr id="2112" name="Drop Down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12700</xdr:rowOff>
        </xdr:from>
        <xdr:to>
          <xdr:col>3</xdr:col>
          <xdr:colOff>0</xdr:colOff>
          <xdr:row>17</xdr:row>
          <xdr:rowOff>177800</xdr:rowOff>
        </xdr:to>
        <xdr:sp macro="" textlink="">
          <xdr:nvSpPr>
            <xdr:cNvPr id="2114" name="Drop Down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349063</xdr:colOff>
      <xdr:row>24</xdr:row>
      <xdr:rowOff>132221</xdr:rowOff>
    </xdr:from>
    <xdr:to>
      <xdr:col>7</xdr:col>
      <xdr:colOff>78720</xdr:colOff>
      <xdr:row>33</xdr:row>
      <xdr:rowOff>170321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113737</xdr:colOff>
      <xdr:row>24</xdr:row>
      <xdr:rowOff>116532</xdr:rowOff>
    </xdr:from>
    <xdr:to>
      <xdr:col>12</xdr:col>
      <xdr:colOff>201704</xdr:colOff>
      <xdr:row>33</xdr:row>
      <xdr:rowOff>183208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13</xdr:row>
          <xdr:rowOff>38100</xdr:rowOff>
        </xdr:from>
        <xdr:to>
          <xdr:col>7</xdr:col>
          <xdr:colOff>0</xdr:colOff>
          <xdr:row>14</xdr:row>
          <xdr:rowOff>12700</xdr:rowOff>
        </xdr:to>
        <xdr:sp macro="" textlink="">
          <xdr:nvSpPr>
            <xdr:cNvPr id="2115" name="Drop Down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104776</xdr:rowOff>
    </xdr:from>
    <xdr:to>
      <xdr:col>3</xdr:col>
      <xdr:colOff>57150</xdr:colOff>
      <xdr:row>3</xdr:row>
      <xdr:rowOff>9526</xdr:rowOff>
    </xdr:to>
    <xdr:sp macro="" textlink="">
      <xdr:nvSpPr>
        <xdr:cNvPr id="5" name="Retângulo Arredondad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924050" y="2200276"/>
          <a:ext cx="1790700" cy="476250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Dados</a:t>
          </a:r>
        </a:p>
      </xdr:txBody>
    </xdr:sp>
    <xdr:clientData/>
  </xdr:twoCellAnchor>
  <xdr:twoCellAnchor>
    <xdr:from>
      <xdr:col>0</xdr:col>
      <xdr:colOff>95250</xdr:colOff>
      <xdr:row>4</xdr:row>
      <xdr:rowOff>95250</xdr:rowOff>
    </xdr:from>
    <xdr:to>
      <xdr:col>3</xdr:col>
      <xdr:colOff>66675</xdr:colOff>
      <xdr:row>7</xdr:row>
      <xdr:rowOff>9525</xdr:rowOff>
    </xdr:to>
    <xdr:sp macro="" textlink="">
      <xdr:nvSpPr>
        <xdr:cNvPr id="8" name="Retângulo Arredondado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924050" y="2952750"/>
          <a:ext cx="1800225" cy="485775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Viabilidade</a:t>
          </a:r>
          <a:r>
            <a:rPr lang="pt-BR" sz="1200" b="1" baseline="0"/>
            <a:t> econômica</a:t>
          </a:r>
          <a:endParaRPr lang="pt-BR" sz="1200" b="1"/>
        </a:p>
      </xdr:txBody>
    </xdr:sp>
    <xdr:clientData/>
  </xdr:twoCellAnchor>
  <xdr:twoCellAnchor>
    <xdr:from>
      <xdr:col>0</xdr:col>
      <xdr:colOff>123825</xdr:colOff>
      <xdr:row>8</xdr:row>
      <xdr:rowOff>0</xdr:rowOff>
    </xdr:from>
    <xdr:to>
      <xdr:col>3</xdr:col>
      <xdr:colOff>95250</xdr:colOff>
      <xdr:row>10</xdr:row>
      <xdr:rowOff>114300</xdr:rowOff>
    </xdr:to>
    <xdr:sp macro="" textlink="">
      <xdr:nvSpPr>
        <xdr:cNvPr id="13" name="Retângulo Arredondado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952625" y="3619500"/>
          <a:ext cx="1800225" cy="495300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Avaliador de dieta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2552944</xdr:colOff>
      <xdr:row>1</xdr:row>
      <xdr:rowOff>113337</xdr:rowOff>
    </xdr:from>
    <xdr:to>
      <xdr:col>5</xdr:col>
      <xdr:colOff>1852506</xdr:colOff>
      <xdr:row>1</xdr:row>
      <xdr:rowOff>733425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394" y="303837"/>
          <a:ext cx="1937987" cy="620088"/>
        </a:xfrm>
        <a:prstGeom prst="rect">
          <a:avLst/>
        </a:prstGeom>
      </xdr:spPr>
    </xdr:pic>
    <xdr:clientData/>
  </xdr:twoCellAnchor>
  <xdr:twoCellAnchor editAs="oneCell">
    <xdr:from>
      <xdr:col>1</xdr:col>
      <xdr:colOff>92319</xdr:colOff>
      <xdr:row>1</xdr:row>
      <xdr:rowOff>106987</xdr:rowOff>
    </xdr:from>
    <xdr:to>
      <xdr:col>2</xdr:col>
      <xdr:colOff>14181</xdr:colOff>
      <xdr:row>1</xdr:row>
      <xdr:rowOff>723901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344" y="297487"/>
          <a:ext cx="1941162" cy="6169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ATERIAL%20T&#201;CNICO/BEZERRAS/PLANILHAS/Necessidades%20bezerras%20Vers&#227;o%20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álculo "/>
      <sheetName val="Parâmetros"/>
      <sheetName val="Necessidades"/>
    </sheetNames>
    <sheetDataSet>
      <sheetData sheetId="0" refreshError="1"/>
      <sheetData sheetId="1">
        <row r="3">
          <cell r="L3" t="str">
            <v>Leite</v>
          </cell>
        </row>
        <row r="4">
          <cell r="L4" t="str">
            <v>Sucedâneo lácteo</v>
          </cell>
        </row>
        <row r="8">
          <cell r="B8" t="str">
            <v>Leite in natura</v>
          </cell>
        </row>
        <row r="9">
          <cell r="B9" t="str">
            <v>Leite descarte</v>
          </cell>
        </row>
        <row r="10">
          <cell r="B10" t="str">
            <v>Vetilac Premium Azul</v>
          </cell>
        </row>
        <row r="11">
          <cell r="B11" t="str">
            <v>Vetilac Ultra</v>
          </cell>
        </row>
        <row r="12">
          <cell r="B12" t="str">
            <v>Vetilac Premium</v>
          </cell>
        </row>
        <row r="13">
          <cell r="B13" t="str">
            <v>-----</v>
          </cell>
        </row>
        <row r="15">
          <cell r="B15" t="str">
            <v>Toplac pré-inicial</v>
          </cell>
        </row>
        <row r="16">
          <cell r="B16" t="str">
            <v>Ração comercial</v>
          </cell>
        </row>
      </sheetData>
      <sheetData sheetId="2">
        <row r="2">
          <cell r="A2">
            <v>400</v>
          </cell>
        </row>
        <row r="3">
          <cell r="A3">
            <v>500</v>
          </cell>
        </row>
        <row r="4">
          <cell r="A4">
            <v>600</v>
          </cell>
        </row>
        <row r="5">
          <cell r="A5">
            <v>700</v>
          </cell>
        </row>
        <row r="6">
          <cell r="A6">
            <v>800</v>
          </cell>
        </row>
        <row r="7">
          <cell r="A7">
            <v>900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DD1D1-80B7-4CA0-871E-F9E05211C428}" name="Tabela1" displayName="Tabela1" ref="E10:G13" totalsRowShown="0" headerRowDxfId="17">
  <autoFilter ref="E10:G13" xr:uid="{A7DDD1D1-80B7-4CA0-871E-F9E05211C428}">
    <filterColumn colId="0" hiddenButton="1"/>
    <filterColumn colId="1" hiddenButton="1"/>
    <filterColumn colId="2" hiddenButton="1"/>
  </autoFilter>
  <tableColumns count="3">
    <tableColumn id="2" xr3:uid="{A6D24E0E-25FE-4B66-922F-B3D6E67B669B}" name="Coluna1" dataDxfId="16"/>
    <tableColumn id="5" xr3:uid="{7CA339F0-2D88-4AF0-818C-B1BB4ADA867A}" name="kg ou lt"/>
    <tableColumn id="3" xr3:uid="{1C7E4655-A06F-4D7D-A568-498706D48134}" name="kg ou lt2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M5:S9" totalsRowShown="0" headerRowDxfId="14" dataDxfId="13">
  <autoFilter ref="M5:S9" xr:uid="{00000000-0009-0000-0100-000002000000}"/>
  <tableColumns count="7">
    <tableColumn id="1" xr3:uid="{00000000-0010-0000-0100-000001000000}" name="Idade dias" dataDxfId="12">
      <calculatedColumnFormula>B6</calculatedColumnFormula>
    </tableColumn>
    <tableColumn id="5" xr3:uid="{00000000-0010-0000-0100-000005000000}" name="PESO1" dataDxfId="11">
      <calculatedColumnFormula>IF($N$4="Holandês",VLOOKUP(M6,$B$6:$K$9,2,FALSE),IF($N$4="Girolando",VLOOKUP(M6,$B$6:$K$9,5,FALSE),IF($N$4="Jersey",VLOOKUP(M6,$B$6:$K$9,8,FALSE))))*$N$2</calculatedColumnFormula>
    </tableColumn>
    <tableColumn id="2" xr3:uid="{00000000-0010-0000-0100-000002000000}" name="PESO2" dataDxfId="10">
      <calculatedColumnFormula>IF($N$4="Holandês",VLOOKUP(M6,$B$6:$K$9,2,FALSE),IF($N$4="Girolando",VLOOKUP(M6,$B$6:$K$9,5,FALSE),IF($N$4="Jersey",VLOOKUP(M6,$B$6:$K$9,8,FALSE))))*$O$2</calculatedColumnFormula>
    </tableColumn>
    <tableColumn id="6" xr3:uid="{00000000-0010-0000-0100-000006000000}" name="ALTURA1" dataDxfId="9">
      <calculatedColumnFormula>IF($N$4="Holandês",VLOOKUP(M6,$B$6:$K$9,3,FALSE),IF($N$4="Girolando",VLOOKUP(M6,$B$6:$K$9,6,FALSE),IF($N$4="Jersey",VLOOKUP(M6,$B$6:$K$9,9,FALSE))))*$P$2</calculatedColumnFormula>
    </tableColumn>
    <tableColumn id="3" xr3:uid="{00000000-0010-0000-0100-000003000000}" name="ALTURA2" dataDxfId="8">
      <calculatedColumnFormula>IF($N$4="Holandês",VLOOKUP(M6,$B$6:$K$9,3,FALSE),IF($N$4="Girolando",VLOOKUP(M6,$B$6:$K$9,6,FALSE),IF($N$4="Jersey",VLOOKUP(M6,$B$6:$K$9,9,FALSE))))*$Q$2</calculatedColumnFormula>
    </tableColumn>
    <tableColumn id="7" xr3:uid="{00000000-0010-0000-0100-000007000000}" name="Peso x Altura1" dataDxfId="7">
      <calculatedColumnFormula>N6/P6</calculatedColumnFormula>
    </tableColumn>
    <tableColumn id="4" xr3:uid="{00000000-0010-0000-0100-000004000000}" name="Peso x Altura2" dataDxfId="6">
      <calculatedColumnFormula>O6/Q6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j.silva@gmail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table" Target="../tables/table1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X34"/>
  <sheetViews>
    <sheetView showFormulas="1" showGridLines="0" tabSelected="1" zoomScaleNormal="100" workbookViewId="0">
      <selection activeCell="E43" sqref="E43"/>
    </sheetView>
  </sheetViews>
  <sheetFormatPr baseColWidth="10" defaultColWidth="9.1640625" defaultRowHeight="15" x14ac:dyDescent="0.2"/>
  <cols>
    <col min="1" max="1" width="8.1640625" style="38" customWidth="1"/>
    <col min="2" max="2" width="15.33203125" style="38" customWidth="1"/>
    <col min="3" max="3" width="12.1640625" style="38" customWidth="1"/>
    <col min="4" max="4" width="5" style="38" customWidth="1"/>
    <col min="5" max="5" width="12.1640625" style="38" customWidth="1"/>
    <col min="6" max="7" width="7.33203125" style="38" customWidth="1"/>
    <col min="8" max="8" width="5.5" style="38" customWidth="1"/>
    <col min="9" max="9" width="3.1640625" style="38" customWidth="1"/>
    <col min="10" max="10" width="4.1640625" style="38" customWidth="1"/>
    <col min="11" max="11" width="2.5" style="38" customWidth="1"/>
    <col min="12" max="12" width="6.1640625" style="38" customWidth="1"/>
    <col min="13" max="14" width="3.5" style="38" customWidth="1"/>
    <col min="15" max="23" width="9.1640625" style="38"/>
    <col min="24" max="24" width="6.6640625" style="38" customWidth="1"/>
    <col min="25" max="16384" width="9.1640625" style="38"/>
  </cols>
  <sheetData>
    <row r="1" spans="1:24" ht="15" customHeight="1" x14ac:dyDescent="0.2">
      <c r="A1" s="97" t="s">
        <v>214</v>
      </c>
      <c r="B1" s="97"/>
      <c r="C1" s="97"/>
      <c r="D1" s="97"/>
      <c r="E1" s="97"/>
      <c r="F1" s="97"/>
      <c r="G1" s="97"/>
      <c r="H1" s="97"/>
      <c r="I1" s="97"/>
      <c r="J1" s="97"/>
      <c r="K1" s="97" t="s">
        <v>0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4" ht="15" customHeight="1" x14ac:dyDescent="0.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</row>
    <row r="3" spans="1:24" ht="15" customHeight="1" x14ac:dyDescent="0.2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</row>
    <row r="4" spans="1:24" ht="15" customHeight="1" x14ac:dyDescent="0.2">
      <c r="A4" s="98" t="s">
        <v>43</v>
      </c>
      <c r="B4" s="98"/>
      <c r="C4" s="98"/>
      <c r="D4" s="98"/>
      <c r="E4" s="98"/>
      <c r="F4" s="98"/>
      <c r="G4" s="98"/>
      <c r="H4" s="98"/>
      <c r="I4" s="98"/>
      <c r="J4" s="98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spans="1:24" ht="16" thickBot="1" x14ac:dyDescent="0.25">
      <c r="B5" s="38" t="s">
        <v>239</v>
      </c>
      <c r="G5" s="38" t="s">
        <v>240</v>
      </c>
      <c r="H5" s="39"/>
    </row>
    <row r="6" spans="1:24" x14ac:dyDescent="0.2">
      <c r="A6" s="80"/>
      <c r="B6" s="81"/>
      <c r="C6" s="81"/>
      <c r="D6" s="81"/>
      <c r="E6" s="80"/>
      <c r="F6" s="81"/>
      <c r="G6" s="90"/>
      <c r="H6" s="81"/>
      <c r="I6" s="81"/>
      <c r="J6" s="81"/>
      <c r="K6" s="81"/>
      <c r="L6" s="81"/>
      <c r="M6" s="81"/>
      <c r="N6" s="82"/>
    </row>
    <row r="7" spans="1:24" x14ac:dyDescent="0.2">
      <c r="A7" s="83"/>
      <c r="B7" s="84" t="s">
        <v>2</v>
      </c>
      <c r="C7" s="56" t="s">
        <v>150</v>
      </c>
      <c r="E7" s="83"/>
      <c r="N7" s="85"/>
    </row>
    <row r="8" spans="1:24" x14ac:dyDescent="0.2">
      <c r="A8" s="83"/>
      <c r="B8" s="84" t="s">
        <v>1</v>
      </c>
      <c r="C8" s="56" t="s">
        <v>151</v>
      </c>
      <c r="E8" s="83"/>
      <c r="N8" s="85"/>
    </row>
    <row r="9" spans="1:24" ht="16" thickBot="1" x14ac:dyDescent="0.25">
      <c r="A9" s="83"/>
      <c r="B9" s="84" t="s">
        <v>3</v>
      </c>
      <c r="C9" s="56" t="s">
        <v>152</v>
      </c>
      <c r="E9" s="91" t="s">
        <v>209</v>
      </c>
      <c r="F9" s="77"/>
      <c r="G9" s="77"/>
      <c r="L9" s="38" t="s">
        <v>219</v>
      </c>
      <c r="M9" s="38" t="s">
        <v>220</v>
      </c>
      <c r="N9" s="85"/>
    </row>
    <row r="10" spans="1:24" x14ac:dyDescent="0.2">
      <c r="A10" s="83"/>
      <c r="B10" s="84" t="s">
        <v>75</v>
      </c>
      <c r="C10" s="56" t="s">
        <v>153</v>
      </c>
      <c r="E10" s="58" t="s">
        <v>145</v>
      </c>
      <c r="F10" s="72" t="s">
        <v>143</v>
      </c>
      <c r="G10" s="59" t="s">
        <v>173</v>
      </c>
      <c r="H10" s="65" t="s">
        <v>158</v>
      </c>
      <c r="L10" s="38" t="s">
        <v>35</v>
      </c>
      <c r="M10" s="92">
        <v>20</v>
      </c>
      <c r="N10" s="85"/>
    </row>
    <row r="11" spans="1:24" x14ac:dyDescent="0.2">
      <c r="A11" s="83"/>
      <c r="B11" s="84" t="s">
        <v>144</v>
      </c>
      <c r="C11" s="63" t="s">
        <v>154</v>
      </c>
      <c r="E11" s="61"/>
      <c r="F11" s="68"/>
      <c r="G11" s="68"/>
      <c r="H11" s="66">
        <v>2.8</v>
      </c>
      <c r="I11" s="38">
        <v>2</v>
      </c>
      <c r="J11" s="38">
        <v>3</v>
      </c>
      <c r="L11" s="38" t="s">
        <v>38</v>
      </c>
      <c r="M11" s="92">
        <v>20</v>
      </c>
      <c r="N11" s="85"/>
    </row>
    <row r="12" spans="1:24" x14ac:dyDescent="0.2">
      <c r="A12" s="83"/>
      <c r="B12" s="84" t="s">
        <v>4</v>
      </c>
      <c r="C12" s="56" t="s">
        <v>156</v>
      </c>
      <c r="E12" s="78" t="s">
        <v>11</v>
      </c>
      <c r="F12" s="68"/>
      <c r="G12" s="73"/>
      <c r="H12" s="67">
        <v>22</v>
      </c>
      <c r="I12" s="38">
        <v>4</v>
      </c>
      <c r="K12" s="38">
        <v>5</v>
      </c>
      <c r="L12" s="38" t="s">
        <v>39</v>
      </c>
      <c r="M12" s="92">
        <v>40</v>
      </c>
      <c r="N12" s="85"/>
    </row>
    <row r="13" spans="1:24" x14ac:dyDescent="0.2">
      <c r="A13" s="83"/>
      <c r="B13" s="84" t="s">
        <v>100</v>
      </c>
      <c r="C13" s="53" t="s">
        <v>155</v>
      </c>
      <c r="E13" s="68" t="s">
        <v>10</v>
      </c>
      <c r="F13" s="79" t="s">
        <v>215</v>
      </c>
      <c r="G13" s="64"/>
      <c r="H13" s="69">
        <v>16</v>
      </c>
      <c r="I13" s="38">
        <v>1</v>
      </c>
      <c r="J13" s="38">
        <v>1</v>
      </c>
      <c r="L13" s="38" t="s">
        <v>218</v>
      </c>
      <c r="M13" s="92">
        <v>0.4</v>
      </c>
      <c r="N13" s="85"/>
    </row>
    <row r="14" spans="1:24" ht="16" thickBot="1" x14ac:dyDescent="0.25">
      <c r="A14" s="83"/>
      <c r="E14" s="68"/>
      <c r="F14" s="74"/>
      <c r="G14" s="70">
        <v>0.25</v>
      </c>
      <c r="H14" s="71">
        <v>2.5</v>
      </c>
      <c r="I14" s="38">
        <v>2</v>
      </c>
      <c r="J14" s="38">
        <v>1</v>
      </c>
      <c r="L14" s="38" t="s">
        <v>222</v>
      </c>
      <c r="M14" s="92">
        <v>9.5</v>
      </c>
      <c r="N14" s="85"/>
    </row>
    <row r="15" spans="1:24" x14ac:dyDescent="0.2">
      <c r="A15" s="83"/>
      <c r="B15" s="84" t="s">
        <v>5</v>
      </c>
      <c r="C15" s="55"/>
      <c r="D15" s="38">
        <v>1</v>
      </c>
      <c r="E15" s="83"/>
      <c r="F15" s="99" t="s">
        <v>259</v>
      </c>
      <c r="G15" s="99"/>
      <c r="H15" s="95">
        <f>'RELATÓRIO TÉCNICO'!B28</f>
        <v>10</v>
      </c>
      <c r="L15" s="38" t="s">
        <v>221</v>
      </c>
      <c r="M15" s="38">
        <f>(IF(M10="","",IF(M10&gt;0.001,(((100-3.5)/100)*(M10*0.057)+(0.092*M11)+(0.0395*M12))*3.77)))*238.85</f>
        <v>4070.1895864500002</v>
      </c>
      <c r="N15" s="85"/>
    </row>
    <row r="16" spans="1:24" x14ac:dyDescent="0.2">
      <c r="A16" s="83"/>
      <c r="B16" s="86" t="s">
        <v>92</v>
      </c>
      <c r="C16" s="55">
        <v>20</v>
      </c>
      <c r="E16" s="83"/>
      <c r="N16" s="85"/>
    </row>
    <row r="17" spans="1:14" ht="16" thickBot="1" x14ac:dyDescent="0.25">
      <c r="A17" s="83"/>
      <c r="B17" s="86" t="s">
        <v>85</v>
      </c>
      <c r="C17" s="54"/>
      <c r="D17" s="38">
        <v>3</v>
      </c>
      <c r="E17" s="93" t="s">
        <v>148</v>
      </c>
      <c r="F17" s="94"/>
      <c r="G17" s="94"/>
      <c r="N17" s="85"/>
    </row>
    <row r="18" spans="1:14" x14ac:dyDescent="0.2">
      <c r="A18" s="83"/>
      <c r="B18" s="86" t="s">
        <v>161</v>
      </c>
      <c r="C18" s="54"/>
      <c r="D18" s="38">
        <v>4</v>
      </c>
      <c r="E18" s="58" t="s">
        <v>6</v>
      </c>
      <c r="F18" s="72" t="s">
        <v>143</v>
      </c>
      <c r="G18" s="72"/>
      <c r="H18" s="60" t="s">
        <v>158</v>
      </c>
      <c r="N18" s="85"/>
    </row>
    <row r="19" spans="1:14" ht="16" thickBot="1" x14ac:dyDescent="0.25">
      <c r="A19" s="83"/>
      <c r="B19" s="86" t="s">
        <v>185</v>
      </c>
      <c r="C19" s="54">
        <v>10</v>
      </c>
      <c r="E19" s="61"/>
      <c r="F19" s="75"/>
      <c r="G19" s="75"/>
      <c r="H19" s="76">
        <v>2.8</v>
      </c>
      <c r="I19" s="38">
        <v>1</v>
      </c>
      <c r="J19" s="38">
        <v>2</v>
      </c>
      <c r="N19" s="85"/>
    </row>
    <row r="20" spans="1:14" ht="16" thickBot="1" x14ac:dyDescent="0.25">
      <c r="A20" s="83"/>
      <c r="B20" s="86" t="s">
        <v>186</v>
      </c>
      <c r="C20" s="54">
        <f>(VLOOKUP(D17,dados2!A25:B39,2,0))*2</f>
        <v>80</v>
      </c>
      <c r="E20" s="61"/>
      <c r="F20" s="75"/>
      <c r="G20" s="75"/>
      <c r="H20" s="76">
        <v>22</v>
      </c>
      <c r="I20" s="38">
        <v>2</v>
      </c>
      <c r="J20" s="38">
        <v>4</v>
      </c>
      <c r="K20" s="38">
        <v>2</v>
      </c>
      <c r="N20" s="85"/>
    </row>
    <row r="21" spans="1:14" x14ac:dyDescent="0.2">
      <c r="A21" s="83"/>
      <c r="B21" s="86" t="s">
        <v>23</v>
      </c>
      <c r="C21" s="54">
        <v>60</v>
      </c>
      <c r="E21" s="57" t="s">
        <v>10</v>
      </c>
      <c r="F21" s="73"/>
      <c r="G21" s="73"/>
      <c r="H21" s="64">
        <v>16</v>
      </c>
      <c r="I21" s="38">
        <v>10</v>
      </c>
      <c r="J21" s="38">
        <v>1</v>
      </c>
      <c r="N21" s="85"/>
    </row>
    <row r="22" spans="1:14" ht="16" thickBot="1" x14ac:dyDescent="0.25">
      <c r="A22" s="83"/>
      <c r="B22" s="86" t="s">
        <v>29</v>
      </c>
      <c r="C22" s="54">
        <v>10</v>
      </c>
      <c r="E22" s="62" t="s">
        <v>147</v>
      </c>
      <c r="F22" s="76"/>
      <c r="G22" s="76"/>
      <c r="H22" s="76">
        <v>2.5</v>
      </c>
      <c r="I22" s="38">
        <v>4</v>
      </c>
      <c r="N22" s="85"/>
    </row>
    <row r="23" spans="1:14" ht="16" thickBot="1" x14ac:dyDescent="0.25">
      <c r="A23" s="87"/>
      <c r="B23" s="88"/>
      <c r="C23" s="88"/>
      <c r="D23" s="88"/>
      <c r="E23" s="83"/>
      <c r="F23" s="99" t="s">
        <v>259</v>
      </c>
      <c r="G23" s="99"/>
      <c r="H23" s="95">
        <f>'RELATÓRIO TÉCNICO'!C28</f>
        <v>14.285714285714285</v>
      </c>
      <c r="N23" s="85"/>
    </row>
    <row r="24" spans="1:14" x14ac:dyDescent="0.2">
      <c r="E24" s="83"/>
      <c r="N24" s="85"/>
    </row>
    <row r="25" spans="1:14" x14ac:dyDescent="0.2">
      <c r="E25" s="83"/>
      <c r="N25" s="85"/>
    </row>
    <row r="26" spans="1:14" x14ac:dyDescent="0.2">
      <c r="E26" s="83"/>
      <c r="N26" s="85"/>
    </row>
    <row r="27" spans="1:14" x14ac:dyDescent="0.2">
      <c r="A27" s="96"/>
      <c r="B27" s="96"/>
      <c r="E27" s="83"/>
      <c r="N27" s="85"/>
    </row>
    <row r="28" spans="1:14" x14ac:dyDescent="0.2">
      <c r="E28" s="83"/>
      <c r="N28" s="85"/>
    </row>
    <row r="29" spans="1:14" x14ac:dyDescent="0.2">
      <c r="E29" s="83"/>
      <c r="N29" s="85"/>
    </row>
    <row r="30" spans="1:14" x14ac:dyDescent="0.2">
      <c r="E30" s="83"/>
      <c r="N30" s="85"/>
    </row>
    <row r="31" spans="1:14" x14ac:dyDescent="0.2">
      <c r="E31" s="83"/>
      <c r="N31" s="85"/>
    </row>
    <row r="32" spans="1:14" x14ac:dyDescent="0.2">
      <c r="E32" s="83"/>
      <c r="N32" s="85"/>
    </row>
    <row r="33" spans="5:14" x14ac:dyDescent="0.2">
      <c r="E33" s="83"/>
      <c r="N33" s="85"/>
    </row>
    <row r="34" spans="5:14" ht="16" thickBot="1" x14ac:dyDescent="0.25">
      <c r="E34" s="87"/>
      <c r="F34" s="88"/>
      <c r="G34" s="88"/>
      <c r="H34" s="88"/>
      <c r="I34" s="88"/>
      <c r="J34" s="88"/>
      <c r="K34" s="88"/>
      <c r="L34" s="88"/>
      <c r="M34" s="88"/>
      <c r="N34" s="89"/>
    </row>
  </sheetData>
  <mergeCells count="6">
    <mergeCell ref="A27:B27"/>
    <mergeCell ref="A1:J3"/>
    <mergeCell ref="K1:X3"/>
    <mergeCell ref="A4:J4"/>
    <mergeCell ref="F23:G23"/>
    <mergeCell ref="F15:G15"/>
  </mergeCells>
  <phoneticPr fontId="26" type="noConversion"/>
  <dataValidations disablePrompts="1" count="1">
    <dataValidation type="list" allowBlank="1" showInputMessage="1" showErrorMessage="1" sqref="G14" xr:uid="{00000000-0002-0000-0100-000001000000}">
      <formula1>Ração</formula1>
    </dataValidation>
  </dataValidations>
  <hyperlinks>
    <hyperlink ref="C11" r:id="rId1" xr:uid="{246E76DD-1046-435E-8456-035F738AF184}"/>
  </hyperlinks>
  <pageMargins left="0.511811024" right="0.511811024" top="0.78740157499999996" bottom="0.78740157499999996" header="0.31496062000000002" footer="0.31496062000000002"/>
  <pageSetup paperSize="9" orientation="portrait" verticalDpi="30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5" name="Drop Down 8">
              <controlPr defaultSize="0" autoLine="0" autoPict="0">
                <anchor moveWithCells="1">
                  <from>
                    <xdr:col>4</xdr:col>
                    <xdr:colOff>12700</xdr:colOff>
                    <xdr:row>18</xdr:row>
                    <xdr:rowOff>190500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6" name="Drop Down 9">
              <controlPr defaultSize="0" autoLine="0" autoPict="0">
                <anchor moveWithCells="1">
                  <from>
                    <xdr:col>5</xdr:col>
                    <xdr:colOff>495300</xdr:colOff>
                    <xdr:row>12</xdr:row>
                    <xdr:rowOff>12700</xdr:rowOff>
                  </from>
                  <to>
                    <xdr:col>7</xdr:col>
                    <xdr:colOff>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Drop Down 15">
              <controlPr defaultSize="0" autoLine="0" autoPict="0">
                <anchor moveWithCells="1">
                  <from>
                    <xdr:col>6</xdr:col>
                    <xdr:colOff>0</xdr:colOff>
                    <xdr:row>13</xdr:row>
                    <xdr:rowOff>12700</xdr:rowOff>
                  </from>
                  <to>
                    <xdr:col>7</xdr:col>
                    <xdr:colOff>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Drop Down 16">
              <controlPr defaultSize="0" autoLine="0" autoPict="0">
                <anchor moveWithCells="1">
                  <from>
                    <xdr:col>5</xdr:col>
                    <xdr:colOff>495300</xdr:colOff>
                    <xdr:row>20</xdr:row>
                    <xdr:rowOff>25400</xdr:rowOff>
                  </from>
                  <to>
                    <xdr:col>7</xdr:col>
                    <xdr:colOff>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" name="Drop Down 17">
              <controlPr defaultSize="0" autoLine="0" autoPict="0">
                <anchor moveWithCells="1">
                  <from>
                    <xdr:col>5</xdr:col>
                    <xdr:colOff>495300</xdr:colOff>
                    <xdr:row>21</xdr:row>
                    <xdr:rowOff>38100</xdr:rowOff>
                  </from>
                  <to>
                    <xdr:col>7</xdr:col>
                    <xdr:colOff>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0" name="Drop Down 22">
              <controlPr defaultSize="0" autoLine="0" autoPict="0">
                <anchor moveWithCells="1">
                  <from>
                    <xdr:col>2</xdr:col>
                    <xdr:colOff>12700</xdr:colOff>
                    <xdr:row>14</xdr:row>
                    <xdr:rowOff>12700</xdr:rowOff>
                  </from>
                  <to>
                    <xdr:col>2</xdr:col>
                    <xdr:colOff>482600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1" name="Drop Down 24">
              <controlPr defaultSize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2" name="Drop Down 38">
              <controlPr defaultSize="0" autoLine="0" autoPict="0">
                <anchor moveWithCells="1">
                  <from>
                    <xdr:col>5</xdr:col>
                    <xdr:colOff>0</xdr:colOff>
                    <xdr:row>9</xdr:row>
                    <xdr:rowOff>177800</xdr:rowOff>
                  </from>
                  <to>
                    <xdr:col>6</xdr:col>
                    <xdr:colOff>25400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3" name="Drop Down 39">
              <controlPr defaultSize="0" autoLine="0" autoPict="0">
                <anchor moveWithCells="1">
                  <from>
                    <xdr:col>6</xdr:col>
                    <xdr:colOff>0</xdr:colOff>
                    <xdr:row>11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4" name="Drop Down 44">
              <controlPr defaultSize="0" autoLine="0" autoPict="0">
                <anchor moveWithCells="1">
                  <from>
                    <xdr:col>6</xdr:col>
                    <xdr:colOff>0</xdr:colOff>
                    <xdr:row>18</xdr:row>
                    <xdr:rowOff>177800</xdr:rowOff>
                  </from>
                  <to>
                    <xdr:col>7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5" name="Drop Down 45">
              <controlPr defaultSize="0" autoLine="0" autoPict="0">
                <anchor moveWithCells="1">
                  <from>
                    <xdr:col>5</xdr:col>
                    <xdr:colOff>0</xdr:colOff>
                    <xdr:row>18</xdr:row>
                    <xdr:rowOff>12700</xdr:rowOff>
                  </from>
                  <to>
                    <xdr:col>6</xdr:col>
                    <xdr:colOff>25400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6" name="Drop Down 47">
              <controlPr defaultSize="0" autoLine="0" autoPict="0">
                <anchor moveWithCells="1">
                  <from>
                    <xdr:col>5</xdr:col>
                    <xdr:colOff>0</xdr:colOff>
                    <xdr:row>19</xdr:row>
                    <xdr:rowOff>12700</xdr:rowOff>
                  </from>
                  <to>
                    <xdr:col>6</xdr:col>
                    <xdr:colOff>25400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7" name="Drop Down 54">
              <controlPr defaultSize="0" autoLine="0" autoPict="0">
                <anchor moveWithCells="1">
                  <from>
                    <xdr:col>5</xdr:col>
                    <xdr:colOff>0</xdr:colOff>
                    <xdr:row>11</xdr:row>
                    <xdr:rowOff>12700</xdr:rowOff>
                  </from>
                  <to>
                    <xdr:col>6</xdr:col>
                    <xdr:colOff>25400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8" name="Drop Down 56">
              <controlPr defaultSize="0" autoLine="0" autoPict="0">
                <anchor moveWithCells="1">
                  <from>
                    <xdr:col>4</xdr:col>
                    <xdr:colOff>0</xdr:colOff>
                    <xdr:row>17</xdr:row>
                    <xdr:rowOff>177800</xdr:rowOff>
                  </from>
                  <to>
                    <xdr:col>4</xdr:col>
                    <xdr:colOff>800100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9" name="Drop Down 61">
              <controlPr defaultSize="0" autoLine="0" autoPict="0">
                <anchor moveWithCells="1">
                  <from>
                    <xdr:col>5</xdr:col>
                    <xdr:colOff>0</xdr:colOff>
                    <xdr:row>20</xdr:row>
                    <xdr:rowOff>0</xdr:rowOff>
                  </from>
                  <to>
                    <xdr:col>6</xdr:col>
                    <xdr:colOff>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20" name="Drop Down 62">
              <controlPr defaultSize="0" autoLine="0" autoPict="0">
                <anchor moveWithCells="1">
                  <from>
                    <xdr:col>3</xdr:col>
                    <xdr:colOff>330200</xdr:colOff>
                    <xdr:row>13</xdr:row>
                    <xdr:rowOff>25400</xdr:rowOff>
                  </from>
                  <to>
                    <xdr:col>4</xdr:col>
                    <xdr:colOff>800100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21" name="Drop Down 64">
              <controlPr defaultSize="0" autoLine="0" autoPict="0">
                <anchor moveWithCells="1">
                  <from>
                    <xdr:col>2</xdr:col>
                    <xdr:colOff>0</xdr:colOff>
                    <xdr:row>15</xdr:row>
                    <xdr:rowOff>177800</xdr:rowOff>
                  </from>
                  <to>
                    <xdr:col>3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22" name="Drop Down 66">
              <controlPr defaultSize="0" autoLine="0" autoPict="0">
                <anchor moveWithCells="1">
                  <from>
                    <xdr:col>2</xdr:col>
                    <xdr:colOff>0</xdr:colOff>
                    <xdr:row>17</xdr:row>
                    <xdr:rowOff>12700</xdr:rowOff>
                  </from>
                  <to>
                    <xdr:col>3</xdr:col>
                    <xdr:colOff>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23" name="Drop Down 67">
              <controlPr defaultSize="0" autoLine="0" autoPict="0">
                <anchor moveWithCells="1">
                  <from>
                    <xdr:col>5</xdr:col>
                    <xdr:colOff>495300</xdr:colOff>
                    <xdr:row>13</xdr:row>
                    <xdr:rowOff>38100</xdr:rowOff>
                  </from>
                  <to>
                    <xdr:col>7</xdr:col>
                    <xdr:colOff>0</xdr:colOff>
                    <xdr:row>14</xdr:row>
                    <xdr:rowOff>12700</xdr:rowOff>
                  </to>
                </anchor>
              </controlPr>
            </control>
          </mc:Choice>
        </mc:AlternateContent>
      </controls>
    </mc:Choice>
  </mc:AlternateContent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4964-818A-42E4-9870-34F2B89EDD51}">
  <dimension ref="A1:K73"/>
  <sheetViews>
    <sheetView zoomScale="85" zoomScaleNormal="85" workbookViewId="0">
      <selection activeCell="B39" sqref="B39"/>
    </sheetView>
  </sheetViews>
  <sheetFormatPr baseColWidth="10" defaultColWidth="8.83203125" defaultRowHeight="19" x14ac:dyDescent="0.25"/>
  <cols>
    <col min="1" max="1" width="43.6640625" style="119" bestFit="1" customWidth="1"/>
    <col min="2" max="2" width="20.1640625" style="119" bestFit="1" customWidth="1"/>
    <col min="3" max="3" width="49.5" style="118" bestFit="1" customWidth="1"/>
    <col min="4" max="4" width="25" style="118" customWidth="1"/>
    <col min="5" max="5" width="12.6640625" style="118" bestFit="1" customWidth="1"/>
    <col min="6" max="6" width="12.6640625" style="119" bestFit="1" customWidth="1"/>
    <col min="7" max="7" width="6.6640625" style="119" bestFit="1" customWidth="1"/>
    <col min="8" max="8" width="11" style="119" bestFit="1" customWidth="1"/>
    <col min="9" max="9" width="32.5" style="118" customWidth="1"/>
    <col min="10" max="11" width="16.83203125" style="118" bestFit="1" customWidth="1"/>
    <col min="12" max="12" width="8.83203125" style="119"/>
    <col min="13" max="13" width="23.6640625" style="119" customWidth="1"/>
    <col min="14" max="14" width="15.33203125" style="119" customWidth="1"/>
    <col min="15" max="15" width="15.5" style="119" customWidth="1"/>
    <col min="16" max="16" width="14" style="119" customWidth="1"/>
    <col min="17" max="17" width="12.6640625" style="119" bestFit="1" customWidth="1"/>
    <col min="18" max="16384" width="8.83203125" style="119"/>
  </cols>
  <sheetData>
    <row r="1" spans="1:11" ht="20" thickBot="1" x14ac:dyDescent="0.3">
      <c r="A1" s="117" t="s">
        <v>2</v>
      </c>
      <c r="B1" s="117" t="str">
        <f>Dados!C7</f>
        <v>José da Silva</v>
      </c>
      <c r="D1" s="121" t="s">
        <v>82</v>
      </c>
      <c r="E1" s="122" t="s">
        <v>83</v>
      </c>
      <c r="F1" s="123" t="s">
        <v>101</v>
      </c>
    </row>
    <row r="2" spans="1:11" ht="14.25" customHeight="1" x14ac:dyDescent="0.25">
      <c r="A2" s="117" t="s">
        <v>1</v>
      </c>
      <c r="B2" s="117" t="str">
        <f>Dados!C8</f>
        <v>Montes Claros</v>
      </c>
      <c r="D2" s="125" t="s">
        <v>232</v>
      </c>
      <c r="E2" s="126">
        <f>Viabilidade!F2</f>
        <v>239.25</v>
      </c>
      <c r="F2" s="126">
        <f>Viabilidade!G2</f>
        <v>232.32142857142858</v>
      </c>
    </row>
    <row r="3" spans="1:11" ht="18.75" customHeight="1" thickBot="1" x14ac:dyDescent="0.3">
      <c r="A3" s="117" t="s">
        <v>3</v>
      </c>
      <c r="B3" s="120" t="str">
        <f>Dados!C9</f>
        <v>Castro/PR</v>
      </c>
      <c r="D3" s="128"/>
      <c r="E3" s="129"/>
      <c r="F3" s="129"/>
    </row>
    <row r="4" spans="1:11" ht="15.75" customHeight="1" x14ac:dyDescent="0.25">
      <c r="A4" s="117" t="s">
        <v>75</v>
      </c>
      <c r="B4" s="120" t="str">
        <f>Dados!C10</f>
        <v>042 99915-2168</v>
      </c>
      <c r="D4" s="132" t="s">
        <v>88</v>
      </c>
      <c r="E4" s="126">
        <f>Viabilidade!F4</f>
        <v>47.85</v>
      </c>
      <c r="F4" s="126">
        <f>Viabilidade!G4</f>
        <v>46.464285714285715</v>
      </c>
    </row>
    <row r="5" spans="1:11" ht="15.75" customHeight="1" x14ac:dyDescent="0.25">
      <c r="A5" s="117" t="s">
        <v>144</v>
      </c>
      <c r="B5" s="120" t="str">
        <f>Dados!C11</f>
        <v>j.silva@gmail.com</v>
      </c>
      <c r="D5" s="133"/>
      <c r="E5" s="129"/>
      <c r="F5" s="129"/>
    </row>
    <row r="6" spans="1:11" ht="16.5" customHeight="1" x14ac:dyDescent="0.25">
      <c r="A6" s="117" t="s">
        <v>4</v>
      </c>
      <c r="B6" s="120" t="str">
        <f>Dados!C12</f>
        <v>Pedro da Silva</v>
      </c>
      <c r="D6" s="134"/>
      <c r="E6" s="135"/>
      <c r="F6" s="136"/>
    </row>
    <row r="7" spans="1:11" ht="17.25" customHeight="1" x14ac:dyDescent="0.25">
      <c r="A7" s="117" t="s">
        <v>100</v>
      </c>
      <c r="B7" s="120" t="str">
        <f>Dados!C13</f>
        <v>Elinton W. Carneiro</v>
      </c>
      <c r="D7" s="137" t="s">
        <v>233</v>
      </c>
      <c r="E7" s="138">
        <f>Viabilidade!F8</f>
        <v>23.925000000000001</v>
      </c>
      <c r="F7" s="138">
        <f>Viabilidade!G8</f>
        <v>23.232142857142858</v>
      </c>
    </row>
    <row r="8" spans="1:11" ht="15.75" customHeight="1" x14ac:dyDescent="0.25">
      <c r="A8" s="117" t="s">
        <v>5</v>
      </c>
      <c r="B8" s="120" t="str">
        <f>VLOOKUP(Dados!D15,dados2!A41:B45,2,0)</f>
        <v>Holandês</v>
      </c>
      <c r="D8" s="137"/>
      <c r="E8" s="138"/>
      <c r="F8" s="138"/>
      <c r="I8" s="119"/>
      <c r="J8" s="119"/>
      <c r="K8" s="119"/>
    </row>
    <row r="9" spans="1:11" ht="18.75" customHeight="1" thickBot="1" x14ac:dyDescent="0.3">
      <c r="A9" s="117"/>
      <c r="B9" s="124"/>
      <c r="D9" s="139"/>
      <c r="E9" s="140"/>
      <c r="F9" s="140"/>
      <c r="I9" s="119"/>
      <c r="J9" s="119"/>
      <c r="K9" s="119"/>
    </row>
    <row r="10" spans="1:11" ht="15.75" customHeight="1" x14ac:dyDescent="0.25">
      <c r="A10" s="118"/>
      <c r="B10" s="127" t="s">
        <v>209</v>
      </c>
      <c r="C10" s="127" t="s">
        <v>204</v>
      </c>
      <c r="D10" s="137" t="s">
        <v>252</v>
      </c>
      <c r="E10" s="138">
        <f>Viabilidade!F11</f>
        <v>1196.25</v>
      </c>
      <c r="F10" s="138">
        <f>Viabilidade!G11</f>
        <v>1161.6071428571429</v>
      </c>
      <c r="I10" s="119"/>
      <c r="J10" s="119"/>
      <c r="K10" s="119"/>
    </row>
    <row r="11" spans="1:11" ht="18" customHeight="1" x14ac:dyDescent="0.25">
      <c r="A11" s="130" t="s">
        <v>250</v>
      </c>
      <c r="B11" s="131">
        <f>Viabilidade!B11</f>
        <v>4</v>
      </c>
      <c r="C11" s="131">
        <f>Viabilidade!C11</f>
        <v>0</v>
      </c>
      <c r="D11" s="137"/>
      <c r="E11" s="138"/>
      <c r="F11" s="138"/>
      <c r="I11" s="119"/>
      <c r="J11" s="119"/>
      <c r="K11" s="119"/>
    </row>
    <row r="12" spans="1:11" ht="10.5" hidden="1" customHeight="1" x14ac:dyDescent="0.3">
      <c r="A12" s="130" t="s">
        <v>250</v>
      </c>
      <c r="B12" s="131">
        <f>Viabilidade!B12</f>
        <v>200</v>
      </c>
      <c r="C12" s="131">
        <f>Viabilidade!C12</f>
        <v>0</v>
      </c>
      <c r="D12" s="139"/>
      <c r="E12" s="140"/>
      <c r="F12" s="140"/>
      <c r="I12" s="119"/>
      <c r="J12" s="119"/>
      <c r="K12" s="119"/>
    </row>
    <row r="13" spans="1:11" ht="17.25" customHeight="1" x14ac:dyDescent="0.25">
      <c r="A13" s="130" t="s">
        <v>250</v>
      </c>
      <c r="B13" s="131">
        <f>Viabilidade!B12</f>
        <v>200</v>
      </c>
      <c r="C13" s="131">
        <f>Viabilidade!C12</f>
        <v>0</v>
      </c>
      <c r="D13" s="137" t="s">
        <v>234</v>
      </c>
      <c r="E13" s="138">
        <f>Viabilidade!F14</f>
        <v>1435.5</v>
      </c>
      <c r="F13" s="138">
        <f>Viabilidade!G14</f>
        <v>1393.9285714285716</v>
      </c>
      <c r="I13" s="119"/>
      <c r="J13" s="119"/>
      <c r="K13" s="119"/>
    </row>
    <row r="14" spans="1:11" ht="17.25" customHeight="1" x14ac:dyDescent="0.25">
      <c r="A14" s="130" t="s">
        <v>149</v>
      </c>
      <c r="B14" s="131">
        <f>Viabilidade!B14</f>
        <v>0.4</v>
      </c>
      <c r="C14" s="131">
        <f>Viabilidade!C14</f>
        <v>0</v>
      </c>
      <c r="D14" s="137"/>
      <c r="E14" s="138"/>
      <c r="F14" s="138"/>
      <c r="I14" s="119"/>
      <c r="J14" s="119"/>
      <c r="K14" s="119"/>
    </row>
    <row r="15" spans="1:11" ht="17.25" customHeight="1" thickBot="1" x14ac:dyDescent="0.3">
      <c r="A15" s="130" t="s">
        <v>172</v>
      </c>
      <c r="B15" s="131">
        <f>Viabilidade!B15</f>
        <v>0</v>
      </c>
      <c r="C15" s="131">
        <f>Viabilidade!C15</f>
        <v>0</v>
      </c>
      <c r="D15" s="139"/>
      <c r="E15" s="140"/>
      <c r="F15" s="140"/>
      <c r="I15" s="119"/>
      <c r="J15" s="119"/>
      <c r="K15" s="119"/>
    </row>
    <row r="16" spans="1:11" ht="17.25" customHeight="1" thickBot="1" x14ac:dyDescent="0.3">
      <c r="A16" s="130" t="s">
        <v>256</v>
      </c>
      <c r="B16" s="131">
        <f>Viabilidade!B16</f>
        <v>0.60000000000000009</v>
      </c>
      <c r="C16" s="131">
        <f>Viabilidade!C16</f>
        <v>0.8571428571428571</v>
      </c>
      <c r="F16" s="118"/>
      <c r="I16" s="119"/>
      <c r="J16" s="119"/>
      <c r="K16" s="119"/>
    </row>
    <row r="17" spans="1:11" ht="17.25" customHeight="1" x14ac:dyDescent="0.25">
      <c r="A17" s="130" t="s">
        <v>251</v>
      </c>
      <c r="B17" s="131">
        <f>Viabilidade!B17</f>
        <v>30.000000000000004</v>
      </c>
      <c r="C17" s="131">
        <f>Viabilidade!C17</f>
        <v>42.857142857142854</v>
      </c>
      <c r="D17" s="143" t="str">
        <f>Agrifirm!B12</f>
        <v>Kalvolac Quick</v>
      </c>
      <c r="E17" s="144"/>
      <c r="F17" s="145">
        <f>C17/25</f>
        <v>1.7142857142857142</v>
      </c>
      <c r="G17" s="146">
        <f>Dados!H20</f>
        <v>22</v>
      </c>
      <c r="H17" s="138">
        <f>(G17*25)*F17</f>
        <v>942.85714285714278</v>
      </c>
      <c r="I17" s="119"/>
      <c r="J17" s="119"/>
      <c r="K17" s="119"/>
    </row>
    <row r="18" spans="1:11" ht="17.25" customHeight="1" x14ac:dyDescent="0.25">
      <c r="A18" s="118"/>
      <c r="B18" s="118"/>
      <c r="D18" s="147"/>
      <c r="E18" s="148" t="s">
        <v>257</v>
      </c>
      <c r="F18" s="149"/>
      <c r="G18" s="146"/>
      <c r="H18" s="138"/>
      <c r="I18" s="119"/>
      <c r="J18" s="119"/>
      <c r="K18" s="119"/>
    </row>
    <row r="19" spans="1:11" ht="17.25" customHeight="1" thickBot="1" x14ac:dyDescent="0.3">
      <c r="A19" s="130" t="s">
        <v>225</v>
      </c>
      <c r="B19" s="131">
        <f>Viabilidade!B19</f>
        <v>0.25</v>
      </c>
      <c r="C19" s="131">
        <f>Viabilidade!C19</f>
        <v>0.35</v>
      </c>
      <c r="D19" s="147"/>
      <c r="E19" s="148"/>
      <c r="F19" s="151"/>
      <c r="G19" s="152"/>
      <c r="H19" s="140"/>
      <c r="I19" s="119"/>
      <c r="J19" s="119"/>
      <c r="K19" s="119"/>
    </row>
    <row r="20" spans="1:11" ht="17.25" customHeight="1" x14ac:dyDescent="0.25">
      <c r="A20" s="130" t="s">
        <v>254</v>
      </c>
      <c r="B20" s="131">
        <f>Viabilidade!B20</f>
        <v>12.5</v>
      </c>
      <c r="C20" s="131">
        <f>Viabilidade!C20</f>
        <v>17.5</v>
      </c>
      <c r="D20" s="143" t="s">
        <v>258</v>
      </c>
      <c r="E20" s="153" t="s">
        <v>257</v>
      </c>
      <c r="F20" s="145">
        <f>C20/15</f>
        <v>1.1666666666666667</v>
      </c>
      <c r="G20" s="146">
        <f>Dados!H22</f>
        <v>2.5</v>
      </c>
      <c r="H20" s="138">
        <f>(G20*15)*F20</f>
        <v>43.75</v>
      </c>
      <c r="I20" s="119"/>
      <c r="J20" s="119"/>
      <c r="K20" s="119"/>
    </row>
    <row r="21" spans="1:11" ht="17.25" customHeight="1" x14ac:dyDescent="0.25">
      <c r="A21" s="130" t="s">
        <v>255</v>
      </c>
      <c r="B21" s="131">
        <f>Viabilidade!B21</f>
        <v>61.25</v>
      </c>
      <c r="C21" s="131">
        <f>Viabilidade!C21</f>
        <v>58.607142857142854</v>
      </c>
      <c r="D21" s="147"/>
      <c r="E21" s="154"/>
      <c r="F21" s="149"/>
      <c r="G21" s="146"/>
      <c r="H21" s="138"/>
      <c r="I21" s="119"/>
      <c r="J21" s="119"/>
      <c r="K21" s="119"/>
    </row>
    <row r="22" spans="1:11" ht="17.25" customHeight="1" thickBot="1" x14ac:dyDescent="0.3">
      <c r="A22" s="130" t="s">
        <v>241</v>
      </c>
      <c r="B22" s="131">
        <f>Viabilidade!B23</f>
        <v>20.8</v>
      </c>
      <c r="C22" s="131">
        <f>Viabilidade!C23</f>
        <v>18.857142857142858</v>
      </c>
      <c r="D22" s="155"/>
      <c r="E22" s="156"/>
      <c r="F22" s="151"/>
      <c r="G22" s="152"/>
      <c r="H22" s="140"/>
      <c r="I22" s="119"/>
      <c r="J22" s="119"/>
      <c r="K22" s="119"/>
    </row>
    <row r="23" spans="1:11" ht="17.25" customHeight="1" x14ac:dyDescent="0.25">
      <c r="A23" s="118"/>
      <c r="B23" s="118"/>
      <c r="D23" s="119"/>
      <c r="E23" s="119"/>
      <c r="I23" s="119"/>
      <c r="J23" s="119"/>
      <c r="K23" s="119"/>
    </row>
    <row r="24" spans="1:11" ht="17.25" customHeight="1" x14ac:dyDescent="0.25">
      <c r="A24" s="141" t="s">
        <v>230</v>
      </c>
      <c r="B24" s="142">
        <f>Viabilidade!B24</f>
        <v>208</v>
      </c>
      <c r="C24" s="142">
        <f>Viabilidade!C24</f>
        <v>188.57142857142858</v>
      </c>
      <c r="D24" s="119"/>
      <c r="E24" s="119"/>
      <c r="I24" s="119"/>
      <c r="J24" s="119"/>
      <c r="K24" s="119"/>
    </row>
    <row r="25" spans="1:11" ht="17.25" customHeight="1" x14ac:dyDescent="0.25">
      <c r="A25" s="141" t="s">
        <v>231</v>
      </c>
      <c r="B25" s="142">
        <f>Viabilidade!B25</f>
        <v>31.25</v>
      </c>
      <c r="C25" s="142">
        <f>Viabilidade!C25</f>
        <v>43.75</v>
      </c>
      <c r="D25" s="119"/>
      <c r="E25" s="119"/>
      <c r="I25" s="119"/>
      <c r="J25" s="119"/>
      <c r="K25" s="119"/>
    </row>
    <row r="26" spans="1:11" ht="17.25" customHeight="1" x14ac:dyDescent="0.25">
      <c r="A26" s="141" t="s">
        <v>87</v>
      </c>
      <c r="B26" s="150">
        <f>Viabilidade!B26</f>
        <v>45</v>
      </c>
      <c r="C26" s="150">
        <f>Viabilidade!C26</f>
        <v>45</v>
      </c>
      <c r="D26" s="119"/>
      <c r="E26" s="119"/>
      <c r="I26" s="119"/>
      <c r="J26" s="119"/>
      <c r="K26" s="119"/>
    </row>
    <row r="27" spans="1:11" ht="17.25" customHeight="1" x14ac:dyDescent="0.25">
      <c r="I27" s="119"/>
      <c r="J27" s="119"/>
      <c r="K27" s="119"/>
    </row>
    <row r="28" spans="1:11" ht="17.25" customHeight="1" x14ac:dyDescent="0.25">
      <c r="A28" s="118"/>
      <c r="B28" s="157" t="s">
        <v>83</v>
      </c>
      <c r="C28" s="157" t="s">
        <v>101</v>
      </c>
      <c r="I28" s="119"/>
      <c r="J28" s="119"/>
      <c r="K28" s="119"/>
    </row>
    <row r="29" spans="1:11" ht="17.25" customHeight="1" x14ac:dyDescent="0.25">
      <c r="A29" s="118" t="s">
        <v>235</v>
      </c>
      <c r="B29" s="158">
        <f>Concorrente!B4</f>
        <v>700</v>
      </c>
      <c r="C29" s="159">
        <f>Agrifirm!B4</f>
        <v>700</v>
      </c>
      <c r="I29" s="119"/>
      <c r="J29" s="119"/>
      <c r="K29" s="119"/>
    </row>
    <row r="30" spans="1:11" ht="17.25" customHeight="1" x14ac:dyDescent="0.25">
      <c r="A30" s="118" t="s">
        <v>236</v>
      </c>
      <c r="B30" s="158">
        <f>Concorrente!C4</f>
        <v>700</v>
      </c>
      <c r="C30" s="159">
        <f>Agrifirm!C4</f>
        <v>700</v>
      </c>
    </row>
    <row r="31" spans="1:11" ht="17.25" customHeight="1" x14ac:dyDescent="0.25">
      <c r="A31" s="118" t="s">
        <v>237</v>
      </c>
      <c r="B31" s="158">
        <f>Concorrente!D4</f>
        <v>750</v>
      </c>
      <c r="C31" s="159">
        <f>Agrifirm!D4</f>
        <v>550</v>
      </c>
    </row>
    <row r="32" spans="1:11" ht="17.25" customHeight="1" x14ac:dyDescent="0.25">
      <c r="A32" s="118"/>
      <c r="B32" s="158"/>
      <c r="C32" s="159"/>
    </row>
    <row r="33" spans="1:5" ht="17.25" customHeight="1" x14ac:dyDescent="0.25">
      <c r="A33" s="118"/>
      <c r="B33" s="157" t="s">
        <v>83</v>
      </c>
      <c r="C33" s="157" t="s">
        <v>101</v>
      </c>
    </row>
    <row r="34" spans="1:5" ht="17.25" customHeight="1" x14ac:dyDescent="0.25">
      <c r="A34" s="118" t="s">
        <v>235</v>
      </c>
      <c r="B34" s="157">
        <f>B9</f>
        <v>0</v>
      </c>
      <c r="C34" s="157">
        <f>B9</f>
        <v>0</v>
      </c>
    </row>
    <row r="35" spans="1:5" ht="17.25" customHeight="1" x14ac:dyDescent="0.25">
      <c r="A35" s="118" t="s">
        <v>238</v>
      </c>
      <c r="B35" s="158">
        <f>MIN(Concorrente!C4:D4)</f>
        <v>700</v>
      </c>
      <c r="C35" s="158">
        <f>MIN(Agrifirm!C4:D4)</f>
        <v>550</v>
      </c>
    </row>
    <row r="36" spans="1:5" ht="17.25" customHeight="1" x14ac:dyDescent="0.25"/>
    <row r="37" spans="1:5" ht="17.25" customHeight="1" x14ac:dyDescent="0.25"/>
    <row r="38" spans="1:5" ht="17.25" customHeight="1" x14ac:dyDescent="0.25"/>
    <row r="39" spans="1:5" ht="17.25" customHeight="1" x14ac:dyDescent="0.25"/>
    <row r="40" spans="1:5" ht="17.25" customHeight="1" x14ac:dyDescent="0.25">
      <c r="C40" s="119"/>
      <c r="D40" s="119"/>
      <c r="E40" s="119"/>
    </row>
    <row r="41" spans="1:5" ht="17.25" customHeight="1" x14ac:dyDescent="0.25">
      <c r="C41" s="119"/>
      <c r="D41" s="119"/>
      <c r="E41" s="119"/>
    </row>
    <row r="42" spans="1:5" ht="17.25" customHeight="1" x14ac:dyDescent="0.25">
      <c r="C42" s="119"/>
      <c r="D42" s="119"/>
      <c r="E42" s="119"/>
    </row>
    <row r="43" spans="1:5" ht="17.25" customHeight="1" x14ac:dyDescent="0.25">
      <c r="C43" s="119"/>
      <c r="D43" s="119"/>
      <c r="E43" s="119"/>
    </row>
    <row r="44" spans="1:5" ht="17.25" customHeight="1" x14ac:dyDescent="0.25">
      <c r="C44" s="119"/>
      <c r="D44" s="119"/>
      <c r="E44" s="119"/>
    </row>
    <row r="45" spans="1:5" ht="17.25" customHeight="1" x14ac:dyDescent="0.25">
      <c r="C45" s="119"/>
      <c r="D45" s="119"/>
      <c r="E45" s="119"/>
    </row>
    <row r="46" spans="1:5" ht="17.25" customHeight="1" x14ac:dyDescent="0.25">
      <c r="C46" s="119"/>
      <c r="D46" s="119"/>
      <c r="E46" s="119"/>
    </row>
    <row r="47" spans="1:5" ht="17.25" customHeight="1" x14ac:dyDescent="0.25">
      <c r="C47" s="119"/>
      <c r="D47" s="119"/>
      <c r="E47" s="119"/>
    </row>
    <row r="48" spans="1:5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</sheetData>
  <mergeCells count="18">
    <mergeCell ref="D7:D9"/>
    <mergeCell ref="E7:E9"/>
    <mergeCell ref="F7:F9"/>
    <mergeCell ref="D10:D12"/>
    <mergeCell ref="E10:E12"/>
    <mergeCell ref="F10:F12"/>
    <mergeCell ref="H17:H19"/>
    <mergeCell ref="H20:H22"/>
    <mergeCell ref="E20:E22"/>
    <mergeCell ref="D13:D15"/>
    <mergeCell ref="E13:E15"/>
    <mergeCell ref="F13:F15"/>
    <mergeCell ref="D17:D19"/>
    <mergeCell ref="F17:F19"/>
    <mergeCell ref="G17:G19"/>
    <mergeCell ref="D20:D22"/>
    <mergeCell ref="F20:F22"/>
    <mergeCell ref="G20:G22"/>
  </mergeCells>
  <pageMargins left="0.511811024" right="0.511811024" top="0.78740157499999996" bottom="0.78740157499999996" header="0.31496062000000002" footer="0.31496062000000002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3D57-E0C1-40E2-8720-43A21FD53E80}">
  <dimension ref="A1:L73"/>
  <sheetViews>
    <sheetView zoomScale="85" zoomScaleNormal="85" workbookViewId="0">
      <selection activeCell="I17" sqref="I17:I19"/>
    </sheetView>
  </sheetViews>
  <sheetFormatPr baseColWidth="10" defaultColWidth="8.83203125" defaultRowHeight="19" x14ac:dyDescent="0.25"/>
  <cols>
    <col min="1" max="1" width="31" style="119" bestFit="1" customWidth="1"/>
    <col min="2" max="2" width="16" style="119" bestFit="1" customWidth="1"/>
    <col min="3" max="3" width="38.1640625" style="119" bestFit="1" customWidth="1"/>
    <col min="4" max="4" width="19.1640625" style="119" customWidth="1"/>
    <col min="5" max="5" width="11.6640625" style="119" customWidth="1"/>
    <col min="6" max="7" width="9.1640625" style="119"/>
    <col min="8" max="8" width="8.83203125" style="119"/>
    <col min="9" max="9" width="47.5" style="118" customWidth="1"/>
    <col min="10" max="11" width="16.83203125" style="118" bestFit="1" customWidth="1"/>
    <col min="12" max="16384" width="8.83203125" style="119"/>
  </cols>
  <sheetData>
    <row r="1" spans="1:12" x14ac:dyDescent="0.25">
      <c r="A1" s="161" t="s">
        <v>2</v>
      </c>
      <c r="B1" s="162" t="str">
        <f>Dados!C7</f>
        <v>José da Silva</v>
      </c>
    </row>
    <row r="2" spans="1:12" ht="14.25" customHeight="1" x14ac:dyDescent="0.25">
      <c r="A2" s="164" t="s">
        <v>1</v>
      </c>
      <c r="B2" s="165" t="str">
        <f>Dados!C8</f>
        <v>Montes Claros</v>
      </c>
      <c r="I2" s="117"/>
      <c r="J2" s="166"/>
      <c r="K2" s="166"/>
    </row>
    <row r="3" spans="1:12" ht="18.75" customHeight="1" x14ac:dyDescent="0.25">
      <c r="A3" s="164" t="s">
        <v>3</v>
      </c>
      <c r="B3" s="165" t="str">
        <f>Dados!C9</f>
        <v>Castro/PR</v>
      </c>
      <c r="I3" s="117"/>
      <c r="J3" s="166"/>
      <c r="K3" s="166"/>
    </row>
    <row r="4" spans="1:12" ht="15.75" customHeight="1" x14ac:dyDescent="0.25">
      <c r="A4" s="164" t="s">
        <v>75</v>
      </c>
      <c r="B4" s="165" t="str">
        <f>Dados!C10</f>
        <v>042 99915-2168</v>
      </c>
      <c r="I4" s="117"/>
      <c r="J4" s="167"/>
      <c r="K4" s="167"/>
    </row>
    <row r="5" spans="1:12" ht="15.75" customHeight="1" x14ac:dyDescent="0.25">
      <c r="A5" s="164" t="s">
        <v>144</v>
      </c>
      <c r="B5" s="165" t="str">
        <f>Dados!C11</f>
        <v>j.silva@gmail.com</v>
      </c>
    </row>
    <row r="6" spans="1:12" ht="16.5" customHeight="1" x14ac:dyDescent="0.25">
      <c r="A6" s="164" t="s">
        <v>4</v>
      </c>
      <c r="B6" s="165" t="str">
        <f>Dados!C12</f>
        <v>Pedro da Silva</v>
      </c>
    </row>
    <row r="7" spans="1:12" ht="17.25" customHeight="1" x14ac:dyDescent="0.25">
      <c r="A7" s="164" t="s">
        <v>100</v>
      </c>
      <c r="B7" s="165" t="str">
        <f>Dados!C13</f>
        <v>Elinton W. Carneiro</v>
      </c>
    </row>
    <row r="8" spans="1:12" ht="15.75" customHeight="1" thickBot="1" x14ac:dyDescent="0.3">
      <c r="A8" s="168" t="s">
        <v>5</v>
      </c>
      <c r="B8" s="169" t="str">
        <f>VLOOKUP(Dados!D15,dados2!A41:B45,2,0)</f>
        <v>Holandês</v>
      </c>
      <c r="I8" s="170"/>
      <c r="J8" s="170"/>
      <c r="K8" s="170"/>
    </row>
    <row r="9" spans="1:12" ht="18.75" customHeight="1" thickBot="1" x14ac:dyDescent="0.25">
      <c r="I9" s="171"/>
      <c r="J9" s="172"/>
      <c r="K9" s="172"/>
      <c r="L9" s="173"/>
    </row>
    <row r="10" spans="1:12" ht="15.75" customHeight="1" x14ac:dyDescent="0.2">
      <c r="A10" s="176" t="s">
        <v>82</v>
      </c>
      <c r="B10" s="177"/>
      <c r="I10" s="171"/>
      <c r="J10" s="172"/>
      <c r="K10" s="172"/>
      <c r="L10" s="173"/>
    </row>
    <row r="11" spans="1:12" ht="18" customHeight="1" x14ac:dyDescent="0.2">
      <c r="A11" s="179" t="s">
        <v>85</v>
      </c>
      <c r="B11" s="180">
        <f>Viabilidade!B2</f>
        <v>40</v>
      </c>
      <c r="I11" s="171"/>
      <c r="J11" s="172"/>
      <c r="K11" s="172"/>
      <c r="L11" s="174"/>
    </row>
    <row r="12" spans="1:12" ht="10.5" hidden="1" customHeight="1" x14ac:dyDescent="0.2">
      <c r="A12" s="179" t="s">
        <v>84</v>
      </c>
      <c r="B12" s="180">
        <f>Viabilidade!B3</f>
        <v>10</v>
      </c>
      <c r="I12" s="171"/>
      <c r="J12" s="172"/>
      <c r="K12" s="172"/>
      <c r="L12" s="175"/>
    </row>
    <row r="13" spans="1:12" ht="17.25" customHeight="1" x14ac:dyDescent="0.2">
      <c r="A13" s="184" t="s">
        <v>90</v>
      </c>
      <c r="B13" s="185">
        <f>Viabilidade!B4</f>
        <v>0.5</v>
      </c>
      <c r="I13" s="171"/>
      <c r="J13" s="178"/>
      <c r="K13" s="178"/>
      <c r="L13" s="175"/>
    </row>
    <row r="14" spans="1:12" ht="17.25" customHeight="1" x14ac:dyDescent="0.2">
      <c r="A14" s="179" t="s">
        <v>86</v>
      </c>
      <c r="B14" s="180">
        <f>Viabilidade!B5</f>
        <v>5</v>
      </c>
      <c r="I14" s="181"/>
      <c r="J14" s="182"/>
      <c r="K14" s="182"/>
      <c r="L14" s="175"/>
    </row>
    <row r="15" spans="1:12" ht="17.25" customHeight="1" thickBot="1" x14ac:dyDescent="0.25">
      <c r="I15" s="181"/>
      <c r="J15" s="182"/>
      <c r="K15" s="182"/>
      <c r="L15" s="183"/>
    </row>
    <row r="16" spans="1:12" ht="17.25" customHeight="1" x14ac:dyDescent="0.2">
      <c r="A16" s="176" t="s">
        <v>82</v>
      </c>
      <c r="B16" s="177"/>
      <c r="I16" s="181"/>
      <c r="J16" s="182"/>
      <c r="K16" s="182"/>
      <c r="L16" s="175"/>
    </row>
    <row r="17" spans="1:11" ht="17.25" customHeight="1" x14ac:dyDescent="0.2">
      <c r="A17" s="184" t="s">
        <v>223</v>
      </c>
      <c r="B17" s="180">
        <f>Viabilidade!B6</f>
        <v>80</v>
      </c>
      <c r="I17" s="181"/>
      <c r="J17" s="182"/>
      <c r="K17" s="182"/>
    </row>
    <row r="18" spans="1:11" ht="17.25" customHeight="1" x14ac:dyDescent="0.2">
      <c r="A18" s="179" t="s">
        <v>190</v>
      </c>
      <c r="B18" s="180">
        <f>Viabilidade!B7</f>
        <v>50</v>
      </c>
      <c r="I18" s="181"/>
      <c r="J18" s="182"/>
      <c r="K18" s="182"/>
    </row>
    <row r="19" spans="1:11" ht="17.25" customHeight="1" thickBot="1" x14ac:dyDescent="0.25">
      <c r="A19" s="186" t="s">
        <v>228</v>
      </c>
      <c r="B19" s="187">
        <f>Viabilidade!B8</f>
        <v>700</v>
      </c>
      <c r="I19" s="181"/>
      <c r="J19" s="182"/>
      <c r="K19" s="182"/>
    </row>
    <row r="20" spans="1:11" ht="17.25" customHeight="1" x14ac:dyDescent="0.25"/>
    <row r="21" spans="1:11" ht="17.25" customHeight="1" x14ac:dyDescent="0.25">
      <c r="B21" s="127" t="s">
        <v>209</v>
      </c>
      <c r="C21" s="127" t="s">
        <v>204</v>
      </c>
    </row>
    <row r="22" spans="1:11" ht="17.25" customHeight="1" x14ac:dyDescent="0.25">
      <c r="A22" s="188" t="s">
        <v>249</v>
      </c>
      <c r="B22" s="189">
        <f>Viabilidade!B11</f>
        <v>4</v>
      </c>
      <c r="C22" s="190">
        <f>Viabilidade!C11</f>
        <v>0</v>
      </c>
    </row>
    <row r="23" spans="1:11" ht="17.25" customHeight="1" x14ac:dyDescent="0.25">
      <c r="A23" s="188" t="s">
        <v>247</v>
      </c>
      <c r="B23" s="189">
        <f>Viabilidade!B12</f>
        <v>200</v>
      </c>
      <c r="C23" s="190">
        <f>Viabilidade!C12</f>
        <v>0</v>
      </c>
    </row>
    <row r="24" spans="1:11" ht="17.25" customHeight="1" x14ac:dyDescent="0.25">
      <c r="A24" s="188" t="s">
        <v>89</v>
      </c>
      <c r="B24" s="190">
        <f>Viabilidade!B13</f>
        <v>10</v>
      </c>
      <c r="C24" s="190">
        <f>Viabilidade!C13</f>
        <v>12.5</v>
      </c>
    </row>
    <row r="25" spans="1:11" ht="17.25" customHeight="1" x14ac:dyDescent="0.25">
      <c r="A25" s="188" t="s">
        <v>149</v>
      </c>
      <c r="B25" s="190">
        <f>Viabilidade!B14</f>
        <v>0.4</v>
      </c>
      <c r="C25" s="190">
        <f>Viabilidade!C14</f>
        <v>0</v>
      </c>
    </row>
    <row r="26" spans="1:11" ht="17.25" customHeight="1" x14ac:dyDescent="0.25">
      <c r="A26" s="188" t="s">
        <v>172</v>
      </c>
      <c r="B26" s="190">
        <f>Viabilidade!B15</f>
        <v>0</v>
      </c>
      <c r="C26" s="190">
        <f>Viabilidade!C15</f>
        <v>0</v>
      </c>
    </row>
    <row r="27" spans="1:11" ht="17.25" customHeight="1" x14ac:dyDescent="0.25">
      <c r="A27" s="188" t="s">
        <v>174</v>
      </c>
      <c r="B27" s="190">
        <f>Viabilidade!B16</f>
        <v>0.60000000000000009</v>
      </c>
      <c r="C27" s="190">
        <f>Viabilidade!C16</f>
        <v>0.8571428571428571</v>
      </c>
    </row>
    <row r="28" spans="1:11" ht="17.25" customHeight="1" x14ac:dyDescent="0.25">
      <c r="A28" s="188" t="s">
        <v>89</v>
      </c>
      <c r="B28" s="191">
        <f>Concorrente!C18</f>
        <v>10</v>
      </c>
      <c r="C28" s="191">
        <f>Agrifirm!C18</f>
        <v>14.285714285714285</v>
      </c>
    </row>
    <row r="29" spans="1:11" ht="17.25" customHeight="1" x14ac:dyDescent="0.25"/>
    <row r="30" spans="1:11" ht="17.25" customHeight="1" x14ac:dyDescent="0.25">
      <c r="A30" s="188" t="s">
        <v>225</v>
      </c>
      <c r="B30" s="191">
        <f>Viabilidade!B19</f>
        <v>0.25</v>
      </c>
      <c r="C30" s="191">
        <f>Viabilidade!C19</f>
        <v>0.35</v>
      </c>
    </row>
    <row r="31" spans="1:11" ht="17.25" customHeight="1" x14ac:dyDescent="0.25">
      <c r="A31" s="188" t="s">
        <v>146</v>
      </c>
      <c r="B31" s="191">
        <f>Viabilidade!B20</f>
        <v>12.5</v>
      </c>
      <c r="C31" s="191">
        <f>Viabilidade!C20</f>
        <v>17.5</v>
      </c>
    </row>
    <row r="32" spans="1:11" ht="17.25" customHeight="1" x14ac:dyDescent="0.25">
      <c r="A32" s="188" t="s">
        <v>242</v>
      </c>
      <c r="B32" s="191">
        <f>Concorrente!D7</f>
        <v>0.97321927448018775</v>
      </c>
      <c r="C32" s="191">
        <f>Agrifirm!D7</f>
        <v>0.97321927448018775</v>
      </c>
    </row>
    <row r="33" spans="1:4" ht="17.25" customHeight="1" x14ac:dyDescent="0.25">
      <c r="A33" s="188" t="s">
        <v>243</v>
      </c>
      <c r="B33" s="191">
        <f>Concorrente!C19</f>
        <v>1.2175</v>
      </c>
      <c r="C33" s="191">
        <f>Agrifirm!C19</f>
        <v>1.1616428571428572</v>
      </c>
    </row>
    <row r="34" spans="1:4" ht="17.25" customHeight="1" x14ac:dyDescent="0.25">
      <c r="A34" s="188" t="s">
        <v>176</v>
      </c>
      <c r="B34" s="191">
        <f>Viabilidade!B21</f>
        <v>61.25</v>
      </c>
      <c r="C34" s="191">
        <f>Viabilidade!C21</f>
        <v>58.607142857142854</v>
      </c>
    </row>
    <row r="35" spans="1:4" ht="17.25" customHeight="1" x14ac:dyDescent="0.25">
      <c r="A35" s="188" t="s">
        <v>97</v>
      </c>
      <c r="B35" s="191">
        <f>Viabilidade!B23</f>
        <v>20.8</v>
      </c>
      <c r="C35" s="191">
        <f>Viabilidade!C23</f>
        <v>18.857142857142858</v>
      </c>
    </row>
    <row r="36" spans="1:4" ht="17.25" customHeight="1" x14ac:dyDescent="0.25"/>
    <row r="37" spans="1:4" ht="17.25" customHeight="1" x14ac:dyDescent="0.25">
      <c r="B37" s="192" t="s">
        <v>83</v>
      </c>
      <c r="C37" s="192" t="s">
        <v>101</v>
      </c>
    </row>
    <row r="38" spans="1:4" ht="17.25" customHeight="1" x14ac:dyDescent="0.25">
      <c r="A38" s="119" t="s">
        <v>235</v>
      </c>
      <c r="B38" s="193">
        <f>Concorrente!B4</f>
        <v>700</v>
      </c>
      <c r="C38" s="194">
        <f>Agrifirm!B4</f>
        <v>700</v>
      </c>
    </row>
    <row r="39" spans="1:4" ht="17.25" customHeight="1" x14ac:dyDescent="0.25">
      <c r="A39" s="119" t="s">
        <v>236</v>
      </c>
      <c r="B39" s="193">
        <f>Concorrente!C4</f>
        <v>700</v>
      </c>
      <c r="C39" s="194">
        <f>Agrifirm!C4</f>
        <v>700</v>
      </c>
    </row>
    <row r="40" spans="1:4" ht="17.25" customHeight="1" x14ac:dyDescent="0.25">
      <c r="A40" s="119" t="s">
        <v>237</v>
      </c>
      <c r="B40" s="193">
        <f>Concorrente!D4</f>
        <v>750</v>
      </c>
      <c r="C40" s="194">
        <f>Agrifirm!D4</f>
        <v>550</v>
      </c>
    </row>
    <row r="41" spans="1:4" ht="17.25" customHeight="1" x14ac:dyDescent="0.25">
      <c r="B41" s="193"/>
      <c r="C41" s="194"/>
    </row>
    <row r="42" spans="1:4" ht="17.25" customHeight="1" x14ac:dyDescent="0.25">
      <c r="B42" s="192" t="s">
        <v>83</v>
      </c>
      <c r="C42" s="192" t="s">
        <v>101</v>
      </c>
    </row>
    <row r="43" spans="1:4" ht="17.25" customHeight="1" x14ac:dyDescent="0.25">
      <c r="A43" s="119" t="s">
        <v>235</v>
      </c>
      <c r="B43" s="192">
        <f>B19</f>
        <v>700</v>
      </c>
      <c r="C43" s="192">
        <f>B19</f>
        <v>700</v>
      </c>
    </row>
    <row r="44" spans="1:4" ht="17.25" customHeight="1" x14ac:dyDescent="0.25">
      <c r="A44" s="119" t="s">
        <v>238</v>
      </c>
      <c r="B44" s="193">
        <f>MIN(Concorrente!C4:D4)</f>
        <v>700</v>
      </c>
      <c r="C44" s="193">
        <f>MIN(Agrifirm!C4:D4)</f>
        <v>550</v>
      </c>
    </row>
    <row r="45" spans="1:4" ht="17.25" customHeight="1" x14ac:dyDescent="0.25"/>
    <row r="46" spans="1:4" ht="17.25" customHeight="1" x14ac:dyDescent="0.25"/>
    <row r="47" spans="1:4" ht="17.25" customHeight="1" x14ac:dyDescent="0.25">
      <c r="B47" s="192" t="s">
        <v>245</v>
      </c>
      <c r="C47" s="192">
        <f>B12</f>
        <v>10</v>
      </c>
      <c r="D47" s="192">
        <f>Dados!C21</f>
        <v>60</v>
      </c>
    </row>
    <row r="48" spans="1:4" ht="17.25" customHeight="1" x14ac:dyDescent="0.25">
      <c r="A48" s="119" t="s">
        <v>209</v>
      </c>
      <c r="B48" s="192">
        <f>B11</f>
        <v>40</v>
      </c>
      <c r="C48" s="192">
        <f>B11+B14</f>
        <v>45</v>
      </c>
      <c r="D48" s="193">
        <f>D54</f>
        <v>80</v>
      </c>
    </row>
    <row r="49" spans="1:5" ht="17.25" customHeight="1" x14ac:dyDescent="0.25">
      <c r="A49" s="119" t="s">
        <v>204</v>
      </c>
      <c r="B49" s="192">
        <f>B11</f>
        <v>40</v>
      </c>
      <c r="C49" s="192">
        <f>B11+B14</f>
        <v>45</v>
      </c>
      <c r="D49" s="193">
        <f>E54</f>
        <v>72.5</v>
      </c>
    </row>
    <row r="50" spans="1:5" ht="17.25" customHeight="1" x14ac:dyDescent="0.25">
      <c r="A50" s="119" t="s">
        <v>244</v>
      </c>
      <c r="B50" s="192">
        <f>B11</f>
        <v>40</v>
      </c>
      <c r="C50" s="193">
        <f>(((((B50*2)-B50))/60)*B12)+B50</f>
        <v>46.666666666666664</v>
      </c>
      <c r="D50" s="192">
        <f>B50*2</f>
        <v>80</v>
      </c>
    </row>
    <row r="51" spans="1:5" ht="17.25" customHeight="1" x14ac:dyDescent="0.25"/>
    <row r="52" spans="1:5" ht="17.25" customHeight="1" x14ac:dyDescent="0.25">
      <c r="D52" s="192" t="s">
        <v>83</v>
      </c>
      <c r="E52" s="192" t="s">
        <v>101</v>
      </c>
    </row>
    <row r="53" spans="1:5" ht="17.25" customHeight="1" x14ac:dyDescent="0.25">
      <c r="D53" s="192">
        <f>(B43*B18)/1000+(B11+B14)</f>
        <v>80</v>
      </c>
      <c r="E53" s="192">
        <f>(C43*B18)/1000+(B11+B14)</f>
        <v>80</v>
      </c>
    </row>
    <row r="54" spans="1:5" ht="17.25" customHeight="1" x14ac:dyDescent="0.25">
      <c r="D54" s="193">
        <f>(B44*B18)/1000+(B11+B14)</f>
        <v>80</v>
      </c>
      <c r="E54" s="193">
        <f>(C44*B18)/1000+(B11+B14)</f>
        <v>72.5</v>
      </c>
    </row>
    <row r="55" spans="1:5" ht="17.25" customHeight="1" x14ac:dyDescent="0.25"/>
    <row r="56" spans="1:5" ht="17.25" customHeight="1" x14ac:dyDescent="0.25"/>
    <row r="57" spans="1:5" ht="17.25" customHeight="1" x14ac:dyDescent="0.25"/>
    <row r="58" spans="1:5" ht="17.25" customHeight="1" x14ac:dyDescent="0.25"/>
    <row r="59" spans="1:5" ht="17.25" customHeight="1" x14ac:dyDescent="0.25"/>
    <row r="60" spans="1:5" ht="17.25" customHeight="1" x14ac:dyDescent="0.25"/>
    <row r="61" spans="1:5" ht="17.25" customHeight="1" x14ac:dyDescent="0.25"/>
    <row r="62" spans="1:5" ht="17.25" customHeight="1" x14ac:dyDescent="0.25"/>
    <row r="63" spans="1:5" ht="17.25" customHeight="1" x14ac:dyDescent="0.25"/>
    <row r="64" spans="1:5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</sheetData>
  <mergeCells count="6">
    <mergeCell ref="I14:I16"/>
    <mergeCell ref="J14:J16"/>
    <mergeCell ref="K14:K16"/>
    <mergeCell ref="I17:I19"/>
    <mergeCell ref="J17:J19"/>
    <mergeCell ref="K17:K19"/>
  </mergeCells>
  <pageMargins left="0.511811024" right="0.511811024" top="0.78740157499999996" bottom="0.78740157499999996" header="0.31496062000000002" footer="0.31496062000000002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V29"/>
  <sheetViews>
    <sheetView zoomScaleNormal="100" workbookViewId="0">
      <pane xSplit="21" ySplit="28" topLeftCell="V29" activePane="bottomRight" state="frozen"/>
      <selection pane="topRight" activeCell="V1" sqref="V1"/>
      <selection pane="bottomLeft" activeCell="A29" sqref="A29"/>
      <selection pane="bottomRight" activeCell="I20" sqref="I20"/>
    </sheetView>
  </sheetViews>
  <sheetFormatPr baseColWidth="10" defaultColWidth="0" defaultRowHeight="15" x14ac:dyDescent="0.2"/>
  <cols>
    <col min="1" max="19" width="9.1640625" style="119" customWidth="1"/>
    <col min="20" max="20" width="14.33203125" style="119" customWidth="1"/>
    <col min="21" max="21" width="9.5" style="119" customWidth="1"/>
    <col min="22" max="22" width="4.33203125" style="119" hidden="1" customWidth="1"/>
    <col min="23" max="16384" width="9.1640625" style="119" hidden="1"/>
  </cols>
  <sheetData>
    <row r="1" spans="5:21" ht="15" customHeight="1" x14ac:dyDescent="0.2"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</row>
    <row r="2" spans="5:21" ht="15" customHeight="1" x14ac:dyDescent="0.2"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</row>
    <row r="3" spans="5:21" ht="15" customHeight="1" x14ac:dyDescent="0.2"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</row>
    <row r="4" spans="5:21" ht="15" customHeight="1" x14ac:dyDescent="0.2"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</row>
    <row r="5" spans="5:21" ht="15" customHeight="1" x14ac:dyDescent="0.2"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</row>
    <row r="26" spans="1:21" x14ac:dyDescent="0.2">
      <c r="A26" s="195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S26" s="195"/>
      <c r="T26" s="195"/>
      <c r="U26" s="195"/>
    </row>
    <row r="27" spans="1:21" ht="35.25" customHeight="1" x14ac:dyDescent="0.2">
      <c r="A27" s="196"/>
      <c r="B27" s="196"/>
      <c r="C27" s="196"/>
      <c r="D27" s="196"/>
      <c r="E27" s="196"/>
      <c r="F27" s="196"/>
    </row>
    <row r="28" spans="1:21" ht="23.25" customHeight="1" x14ac:dyDescent="0.2"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</row>
    <row r="29" spans="1:21" ht="8.25" customHeight="1" x14ac:dyDescent="0.2"/>
  </sheetData>
  <mergeCells count="1">
    <mergeCell ref="A27:F27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9"/>
  <dimension ref="A1:AG37"/>
  <sheetViews>
    <sheetView zoomScaleNormal="100" workbookViewId="0">
      <selection activeCell="G36" sqref="G36"/>
    </sheetView>
  </sheetViews>
  <sheetFormatPr baseColWidth="10" defaultColWidth="9.1640625" defaultRowHeight="15" x14ac:dyDescent="0.2"/>
  <cols>
    <col min="1" max="1" width="31" style="205" bestFit="1" customWidth="1"/>
    <col min="2" max="3" width="9" style="205" bestFit="1" customWidth="1"/>
    <col min="4" max="4" width="13" style="205" customWidth="1"/>
    <col min="5" max="5" width="21.33203125" style="205" customWidth="1"/>
    <col min="6" max="6" width="14" style="205" bestFit="1" customWidth="1"/>
    <col min="7" max="7" width="22.83203125" style="205" customWidth="1"/>
    <col min="8" max="9" width="17.5" style="205" customWidth="1"/>
    <col min="10" max="10" width="35" style="205" customWidth="1"/>
    <col min="11" max="18" width="9.1640625" style="205"/>
    <col min="19" max="19" width="6.33203125" style="205" customWidth="1"/>
    <col min="20" max="20" width="10.33203125" style="205" customWidth="1"/>
    <col min="21" max="21" width="20.33203125" style="205" bestFit="1" customWidth="1"/>
    <col min="22" max="23" width="9.1640625" style="205"/>
    <col min="24" max="24" width="10.33203125" style="205" customWidth="1"/>
    <col min="25" max="30" width="9.1640625" style="205"/>
    <col min="31" max="31" width="13.1640625" style="205" customWidth="1"/>
    <col min="32" max="16384" width="9.1640625" style="205"/>
  </cols>
  <sheetData>
    <row r="1" spans="1:33" ht="15" customHeight="1" thickBot="1" x14ac:dyDescent="0.25">
      <c r="A1" s="208" t="s">
        <v>82</v>
      </c>
      <c r="B1" s="209" t="s">
        <v>83</v>
      </c>
      <c r="C1" s="210"/>
      <c r="D1" s="211"/>
      <c r="E1" s="213" t="s">
        <v>82</v>
      </c>
      <c r="F1" s="214" t="s">
        <v>83</v>
      </c>
      <c r="G1" s="215" t="s">
        <v>101</v>
      </c>
      <c r="I1" s="206"/>
      <c r="J1" s="206"/>
      <c r="K1" s="206"/>
      <c r="L1" s="206"/>
      <c r="M1" s="206"/>
      <c r="N1" s="206"/>
      <c r="AF1" s="206"/>
      <c r="AG1" s="206"/>
    </row>
    <row r="2" spans="1:33" ht="15" customHeight="1" x14ac:dyDescent="0.2">
      <c r="A2" s="179" t="s">
        <v>85</v>
      </c>
      <c r="B2" s="212">
        <f>Dados!C20/2</f>
        <v>40</v>
      </c>
      <c r="C2" s="210"/>
      <c r="D2" s="211"/>
      <c r="E2" s="247" t="s">
        <v>260</v>
      </c>
      <c r="F2" s="248">
        <f>B24+B25</f>
        <v>239.25</v>
      </c>
      <c r="G2" s="249">
        <f>C24+C25</f>
        <v>232.32142857142858</v>
      </c>
      <c r="H2" s="203">
        <f>-(1-(G2/F2))</f>
        <v>-2.8959546200925446E-2</v>
      </c>
      <c r="I2" s="206"/>
      <c r="J2" s="206"/>
      <c r="K2" s="206"/>
      <c r="L2" s="206"/>
      <c r="M2" s="206"/>
      <c r="N2" s="206"/>
      <c r="AF2" s="206"/>
      <c r="AG2" s="206"/>
    </row>
    <row r="3" spans="1:33" ht="15" customHeight="1" x14ac:dyDescent="0.2">
      <c r="A3" s="179" t="s">
        <v>84</v>
      </c>
      <c r="B3" s="216">
        <f>Dados!C19</f>
        <v>10</v>
      </c>
      <c r="C3" s="204"/>
      <c r="D3" s="207"/>
      <c r="E3" s="250"/>
      <c r="F3" s="251"/>
      <c r="G3" s="252"/>
      <c r="H3" s="203"/>
      <c r="I3" s="206"/>
      <c r="J3" s="206"/>
      <c r="K3" s="206"/>
      <c r="L3" s="206"/>
      <c r="M3" s="206"/>
      <c r="N3" s="206"/>
      <c r="AF3" s="206"/>
      <c r="AG3" s="206"/>
    </row>
    <row r="4" spans="1:33" ht="17" x14ac:dyDescent="0.2">
      <c r="A4" s="179" t="s">
        <v>90</v>
      </c>
      <c r="B4" s="217">
        <f>((VLOOKUP(Dados!D18,dados2!A25:B39,2,0))-Viabilidade!B2)/Viabilidade!B3</f>
        <v>0.5</v>
      </c>
      <c r="C4" s="218"/>
      <c r="D4" s="219"/>
      <c r="E4" s="253" t="s">
        <v>88</v>
      </c>
      <c r="F4" s="254">
        <f>F2/B5</f>
        <v>47.85</v>
      </c>
      <c r="G4" s="255">
        <f>G2/B5</f>
        <v>46.464285714285715</v>
      </c>
      <c r="H4" s="222"/>
    </row>
    <row r="5" spans="1:33" ht="15" customHeight="1" x14ac:dyDescent="0.2">
      <c r="A5" s="179" t="s">
        <v>86</v>
      </c>
      <c r="B5" s="220">
        <f>B3*B4</f>
        <v>5</v>
      </c>
      <c r="C5" s="221"/>
      <c r="D5" s="222"/>
      <c r="E5" s="250"/>
      <c r="F5" s="251"/>
      <c r="G5" s="252"/>
      <c r="H5" s="204"/>
    </row>
    <row r="6" spans="1:33" ht="15.75" customHeight="1" x14ac:dyDescent="0.2">
      <c r="A6" s="179" t="s">
        <v>223</v>
      </c>
      <c r="B6" s="223">
        <f>B2*2</f>
        <v>80</v>
      </c>
      <c r="D6" s="222"/>
      <c r="E6" s="225" t="s">
        <v>175</v>
      </c>
      <c r="F6" s="225">
        <f>B21/B5</f>
        <v>12.25</v>
      </c>
      <c r="G6" s="226">
        <f>C21/B5</f>
        <v>11.721428571428572</v>
      </c>
    </row>
    <row r="7" spans="1:33" ht="15" customHeight="1" x14ac:dyDescent="0.2">
      <c r="A7" s="179" t="s">
        <v>190</v>
      </c>
      <c r="B7" s="220">
        <f>Dados!C21-Dados!C19</f>
        <v>50</v>
      </c>
      <c r="C7" s="224"/>
      <c r="E7" s="228"/>
      <c r="F7" s="229"/>
      <c r="G7" s="230"/>
      <c r="H7" s="204"/>
    </row>
    <row r="8" spans="1:33" ht="15" customHeight="1" thickBot="1" x14ac:dyDescent="0.25">
      <c r="A8" s="186" t="s">
        <v>228</v>
      </c>
      <c r="B8" s="227">
        <f>((B6-(B2+B5))/B7)*1000</f>
        <v>700</v>
      </c>
      <c r="C8" s="218"/>
      <c r="D8" s="222"/>
      <c r="E8" s="256" t="s">
        <v>91</v>
      </c>
      <c r="F8" s="257">
        <f>F2/B3</f>
        <v>23.925000000000001</v>
      </c>
      <c r="G8" s="264">
        <f>G2/B3</f>
        <v>23.232142857142858</v>
      </c>
      <c r="H8" s="183">
        <f>-(1-(G8/F8))</f>
        <v>-2.8959546200925557E-2</v>
      </c>
    </row>
    <row r="9" spans="1:33" ht="15" customHeight="1" x14ac:dyDescent="0.2">
      <c r="D9" s="231"/>
      <c r="E9" s="258"/>
      <c r="F9" s="259"/>
      <c r="G9" s="265"/>
    </row>
    <row r="10" spans="1:33" ht="15" customHeight="1" thickBot="1" x14ac:dyDescent="0.25">
      <c r="E10" s="260"/>
      <c r="F10" s="261"/>
      <c r="G10" s="266"/>
      <c r="H10" s="204"/>
    </row>
    <row r="11" spans="1:33" ht="15" customHeight="1" x14ac:dyDescent="0.2">
      <c r="A11" s="200" t="s">
        <v>248</v>
      </c>
      <c r="B11" s="232">
        <f>VLOOKUP(Dados!I11,dados2!A3:B8,2,0)</f>
        <v>4</v>
      </c>
      <c r="C11" s="232">
        <f>VLOOKUP(Dados!I19,dados2!A3:B8,2,0)</f>
        <v>0</v>
      </c>
      <c r="D11" s="233"/>
      <c r="E11" s="262" t="s">
        <v>253</v>
      </c>
      <c r="F11" s="263">
        <f>F8*B7</f>
        <v>1196.25</v>
      </c>
      <c r="G11" s="263">
        <f>G8*B7</f>
        <v>1161.6071428571429</v>
      </c>
    </row>
    <row r="12" spans="1:33" ht="15" customHeight="1" x14ac:dyDescent="0.2">
      <c r="A12" s="200" t="s">
        <v>247</v>
      </c>
      <c r="B12" s="232">
        <f>B11*B7</f>
        <v>200</v>
      </c>
      <c r="C12" s="232">
        <f>C11*B7</f>
        <v>0</v>
      </c>
      <c r="D12" s="234"/>
      <c r="E12" s="258"/>
      <c r="F12" s="259"/>
      <c r="G12" s="259"/>
    </row>
    <row r="13" spans="1:33" ht="15" customHeight="1" thickBot="1" x14ac:dyDescent="0.25">
      <c r="A13" s="200" t="s">
        <v>89</v>
      </c>
      <c r="B13" s="235" cm="1">
        <f t="array" ref="B13">_xlfn.IFS(Dados!J11=1,0,Dados!J11=2,Parâmetros!C3,Dados!J11=3,Parâmetros!C4)*100</f>
        <v>10</v>
      </c>
      <c r="C13" s="235" cm="1">
        <f t="array" ref="C13">_xlfn.IFS(Dados!J19=1,0,Dados!J19=2,Parâmetros!C3,Dados!J19=3,Parâmetros!C4)*100</f>
        <v>12.5</v>
      </c>
      <c r="D13" s="234"/>
      <c r="E13" s="260"/>
      <c r="F13" s="261"/>
      <c r="G13" s="261"/>
    </row>
    <row r="14" spans="1:33" ht="15.75" customHeight="1" x14ac:dyDescent="0.2">
      <c r="A14" s="200" t="s">
        <v>149</v>
      </c>
      <c r="B14" s="236">
        <f>IF(B11&gt;0,(B11*(B13/100)),0)</f>
        <v>0.4</v>
      </c>
      <c r="C14" s="236">
        <f>IF(C11&gt;0,(C11*(C13/100)),0)</f>
        <v>0</v>
      </c>
      <c r="E14" s="262" t="s">
        <v>200</v>
      </c>
      <c r="F14" s="263">
        <f>F8*60</f>
        <v>1435.5</v>
      </c>
      <c r="G14" s="263">
        <f>G8*60</f>
        <v>1393.9285714285716</v>
      </c>
    </row>
    <row r="15" spans="1:33" ht="16" customHeight="1" x14ac:dyDescent="0.2">
      <c r="A15" s="200" t="s">
        <v>172</v>
      </c>
      <c r="B15" s="237">
        <f>(IF(Dados!I13&gt;=2,((VLOOKUP(Dados!I13,dados2!A65:B79,2,0))))/1000)*B11</f>
        <v>0</v>
      </c>
      <c r="C15" s="236">
        <f>(IF(Dados!I21&gt;=2,(((VLOOKUP(Dados!I21,dados2!A65:B79,2,0))*C11)))/1000)</f>
        <v>0</v>
      </c>
      <c r="D15" s="238"/>
      <c r="E15" s="258"/>
      <c r="F15" s="259"/>
      <c r="G15" s="259"/>
    </row>
    <row r="16" spans="1:33" ht="15" customHeight="1" thickBot="1" x14ac:dyDescent="0.25">
      <c r="A16" s="200" t="s">
        <v>256</v>
      </c>
      <c r="B16" s="237">
        <f>IF(Dados!I12&gt;1,(VLOOKUP(Dados!I12,dados2!A3:B8,2,0)*(VLOOKUP(Dados!K12,dados2!A58:C62,3))),0)</f>
        <v>0.60000000000000009</v>
      </c>
      <c r="C16" s="236">
        <f>(VLOOKUP(Dados!J20,dados2!A3:B8,2,0)*(VLOOKUP(Dados!I20,dados2!A58:C62,3)))</f>
        <v>0.8571428571428571</v>
      </c>
      <c r="E16" s="260"/>
      <c r="F16" s="261"/>
      <c r="G16" s="261"/>
    </row>
    <row r="17" spans="1:5" ht="15.75" customHeight="1" x14ac:dyDescent="0.2">
      <c r="A17" s="200" t="s">
        <v>246</v>
      </c>
      <c r="B17" s="200">
        <f>(B16+B15)*B7</f>
        <v>30.000000000000004</v>
      </c>
      <c r="C17" s="239">
        <f>(C16+C15)*B7</f>
        <v>42.857142857142854</v>
      </c>
    </row>
    <row r="18" spans="1:5" ht="15" customHeight="1" x14ac:dyDescent="0.2">
      <c r="E18" s="240"/>
    </row>
    <row r="19" spans="1:5" ht="15" customHeight="1" x14ac:dyDescent="0.2">
      <c r="A19" s="188" t="s">
        <v>225</v>
      </c>
      <c r="B19" s="241">
        <f>VLOOKUP(Dados!I14,dados2!A10:B18,2,0)</f>
        <v>0.25</v>
      </c>
      <c r="C19" s="242">
        <f>VLOOKUP(Dados!I22,dados2!A10:B19,2,0)</f>
        <v>0.35</v>
      </c>
    </row>
    <row r="20" spans="1:5" ht="15" customHeight="1" x14ac:dyDescent="0.2">
      <c r="A20" s="188" t="s">
        <v>146</v>
      </c>
      <c r="B20" s="243">
        <f>B19*B7</f>
        <v>12.5</v>
      </c>
      <c r="C20" s="243">
        <f>C19*B7</f>
        <v>17.5</v>
      </c>
    </row>
    <row r="21" spans="1:5" ht="14.25" customHeight="1" x14ac:dyDescent="0.2">
      <c r="A21" s="188" t="s">
        <v>176</v>
      </c>
      <c r="B21" s="243">
        <f>(SUM(IF(B14&gt;0,B14,0)+IF(B15&gt;0,B15,0)+IF(B16&gt;0,B16,))*B7+(B20*0.9))</f>
        <v>61.25</v>
      </c>
      <c r="C21" s="243">
        <f>(SUM(IF(C14&gt;0,C14,0)+IF(C15&gt;0,C15,0)+IF(C16&gt;0,C16,))*B7+(C20*0.9))</f>
        <v>58.607142857142854</v>
      </c>
    </row>
    <row r="23" spans="1:5" x14ac:dyDescent="0.2">
      <c r="A23" s="188" t="s">
        <v>97</v>
      </c>
      <c r="B23" s="244">
        <f>IF(Dados!I11&gt;=2,(((Dados!H11*1000)/125))*(Viabilidade!B11*0.125),0)+IF(Dados!I11=3,(((Dados!H11*1000)/100)*(Viabilidade!B11*0.1)),0)+(IF(Dados!I13&gt;=2,(Dados!H13*Viabilidade!B15),0)+IF(Dados!I12&gt;=2,(Viabilidade!B16*Dados!H13),0))</f>
        <v>20.8</v>
      </c>
      <c r="C23" s="244">
        <f>IF(Dados!I19&gt;=2,(((Dados!H19*1000)/125)*Viabilidade!C11*0.125),0)+IF(Dados!J19=3,(((Dados!H19*1000)/100)*(Viabilidade!C11*0.1)),0)+(IF(Dados!I21&gt;=2,(Dados!H21*Viabilidade!C15),0)+IF(Dados!J20&gt;=2,(Viabilidade!C16*Dados!H20),0))</f>
        <v>18.857142857142858</v>
      </c>
    </row>
    <row r="24" spans="1:5" x14ac:dyDescent="0.2">
      <c r="A24" s="202" t="s">
        <v>98</v>
      </c>
      <c r="B24" s="244">
        <f>B23*B3</f>
        <v>208</v>
      </c>
      <c r="C24" s="244">
        <f>C23*B3</f>
        <v>188.57142857142858</v>
      </c>
    </row>
    <row r="25" spans="1:5" x14ac:dyDescent="0.2">
      <c r="A25" s="202" t="s">
        <v>99</v>
      </c>
      <c r="B25" s="244">
        <f>Dados!H14*B20</f>
        <v>31.25</v>
      </c>
      <c r="C25" s="244">
        <f>Dados!H22*C20</f>
        <v>43.75</v>
      </c>
    </row>
    <row r="26" spans="1:5" ht="16" x14ac:dyDescent="0.2">
      <c r="A26" s="202" t="s">
        <v>87</v>
      </c>
      <c r="B26" s="246">
        <f>B2+B5</f>
        <v>45</v>
      </c>
      <c r="C26" s="246">
        <f>B2+B5</f>
        <v>45</v>
      </c>
    </row>
    <row r="30" spans="1:5" x14ac:dyDescent="0.2">
      <c r="A30" s="245"/>
    </row>
    <row r="31" spans="1:5" x14ac:dyDescent="0.2">
      <c r="A31" s="245"/>
    </row>
    <row r="32" spans="1:5" x14ac:dyDescent="0.2">
      <c r="A32" s="245"/>
    </row>
    <row r="33" spans="1:1" x14ac:dyDescent="0.2">
      <c r="A33" s="245"/>
    </row>
    <row r="34" spans="1:1" x14ac:dyDescent="0.2">
      <c r="A34" s="245"/>
    </row>
    <row r="35" spans="1:1" x14ac:dyDescent="0.2">
      <c r="A35" s="245"/>
    </row>
    <row r="36" spans="1:1" x14ac:dyDescent="0.2">
      <c r="A36" s="245"/>
    </row>
    <row r="37" spans="1:1" x14ac:dyDescent="0.2">
      <c r="A37" s="245"/>
    </row>
  </sheetData>
  <conditionalFormatting sqref="C3 C5 C8 B13:C13 C15:C16 C19:C21">
    <cfRule type="cellIs" dxfId="5" priority="4" operator="equal">
      <formula>"Valores inválidos"</formula>
    </cfRule>
  </conditionalFormatting>
  <conditionalFormatting sqref="C25:C26">
    <cfRule type="cellIs" dxfId="4" priority="3" operator="equal">
      <formula>"Valores inválidos"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B191-3914-4BB4-962E-4C13AF1EACF3}">
  <dimension ref="A1:W49"/>
  <sheetViews>
    <sheetView topLeftCell="A7" zoomScale="115" zoomScaleNormal="115" workbookViewId="0">
      <selection activeCell="A26" sqref="A26"/>
    </sheetView>
  </sheetViews>
  <sheetFormatPr baseColWidth="10" defaultColWidth="8.83203125" defaultRowHeight="15" x14ac:dyDescent="0.2"/>
  <cols>
    <col min="1" max="1" width="23" style="119" customWidth="1"/>
    <col min="2" max="2" width="23.1640625" style="119" customWidth="1"/>
    <col min="3" max="3" width="40.33203125" style="119" customWidth="1"/>
    <col min="4" max="4" width="42.33203125" style="119" customWidth="1"/>
    <col min="5" max="5" width="23" style="119" customWidth="1"/>
    <col min="6" max="6" width="23.6640625" style="119" customWidth="1"/>
    <col min="7" max="7" width="7.33203125" style="119" customWidth="1"/>
    <col min="8" max="8" width="10.6640625" style="119" bestFit="1" customWidth="1"/>
    <col min="9" max="9" width="10" style="119" customWidth="1"/>
    <col min="10" max="10" width="12.83203125" style="119" customWidth="1"/>
    <col min="11" max="11" width="4" style="119" customWidth="1"/>
    <col min="12" max="12" width="9.5" style="119" bestFit="1" customWidth="1"/>
    <col min="13" max="13" width="12.1640625" style="119" customWidth="1"/>
    <col min="14" max="14" width="9.5" style="119" customWidth="1"/>
    <col min="15" max="15" width="14.1640625" style="119" customWidth="1"/>
    <col min="16" max="16" width="14" style="119" customWidth="1"/>
    <col min="17" max="17" width="11.5" style="119" customWidth="1"/>
    <col min="18" max="18" width="15.33203125" style="119" customWidth="1"/>
    <col min="19" max="19" width="12" style="119" bestFit="1" customWidth="1"/>
    <col min="20" max="20" width="6.33203125" style="119" customWidth="1"/>
    <col min="21" max="21" width="9.1640625" style="119"/>
    <col min="22" max="22" width="28.33203125" style="119" customWidth="1"/>
    <col min="23" max="24" width="9.1640625" style="119"/>
    <col min="25" max="25" width="16.5" style="119" customWidth="1"/>
    <col min="26" max="29" width="9.1640625" style="119"/>
    <col min="30" max="16384" width="8.83203125" style="119"/>
  </cols>
  <sheetData>
    <row r="1" spans="1:23" ht="17" thickBot="1" x14ac:dyDescent="0.25">
      <c r="A1" s="267" t="s">
        <v>224</v>
      </c>
      <c r="B1" s="268">
        <f>Viabilidade!B2+Viabilidade!B5</f>
        <v>45</v>
      </c>
      <c r="C1" s="192"/>
      <c r="E1" s="198"/>
      <c r="F1" s="198"/>
    </row>
    <row r="2" spans="1:23" ht="14.25" customHeight="1" thickBot="1" x14ac:dyDescent="0.25">
      <c r="C2" s="270"/>
      <c r="U2" s="269"/>
      <c r="V2" s="269"/>
      <c r="W2" s="163"/>
    </row>
    <row r="3" spans="1:23" ht="18.75" customHeight="1" thickBot="1" x14ac:dyDescent="0.25">
      <c r="C3" s="272" t="s">
        <v>211</v>
      </c>
      <c r="D3" s="273" t="s">
        <v>195</v>
      </c>
      <c r="F3" s="271"/>
      <c r="U3" s="269"/>
      <c r="V3" s="269"/>
      <c r="W3" s="163"/>
    </row>
    <row r="4" spans="1:23" ht="15.75" customHeight="1" thickBot="1" x14ac:dyDescent="0.25">
      <c r="A4" s="274" t="s">
        <v>162</v>
      </c>
      <c r="B4" s="275">
        <f>Viabilidade!B8</f>
        <v>700</v>
      </c>
      <c r="C4" s="275">
        <f>Necessidades!G3</f>
        <v>700</v>
      </c>
      <c r="D4" s="275">
        <f>Necessidades!G32</f>
        <v>550</v>
      </c>
      <c r="U4" s="269"/>
      <c r="V4" s="269"/>
      <c r="W4" s="163"/>
    </row>
    <row r="5" spans="1:23" ht="15.75" customHeight="1" thickBot="1" x14ac:dyDescent="0.25">
      <c r="U5" s="269"/>
      <c r="V5" s="269"/>
      <c r="W5" s="163"/>
    </row>
    <row r="6" spans="1:23" ht="24" x14ac:dyDescent="0.2">
      <c r="A6" s="277" t="s">
        <v>163</v>
      </c>
      <c r="B6" s="278" t="s">
        <v>164</v>
      </c>
      <c r="C6" s="278" t="s">
        <v>165</v>
      </c>
      <c r="D6" s="279" t="s">
        <v>182</v>
      </c>
      <c r="K6" s="276"/>
      <c r="U6" s="269"/>
      <c r="V6" s="269"/>
      <c r="W6" s="163"/>
    </row>
    <row r="7" spans="1:23" ht="25" thickBot="1" x14ac:dyDescent="0.25">
      <c r="A7" s="168"/>
      <c r="B7" s="280">
        <f>(6.25*(1/0.8*(0.2*$B$1^0.75+(30*($B$4/1000))+(1.9*$D$7)*D7)))/0.9</f>
        <v>228.07701816564509</v>
      </c>
      <c r="C7" s="281">
        <f>(((0.1*(B1^0.75)+(0.84*(B1^0.355))*((B4/1000)^1.2))*1000)*1.2)</f>
        <v>4622.7915537808922</v>
      </c>
      <c r="D7" s="282">
        <f>((C7*1000)/4750)/1000</f>
        <v>0.97321927448018775</v>
      </c>
      <c r="G7" s="198"/>
      <c r="H7" s="198"/>
      <c r="U7" s="163"/>
      <c r="V7" s="163"/>
      <c r="W7" s="163"/>
    </row>
    <row r="8" spans="1:23" ht="15.75" customHeight="1" x14ac:dyDescent="0.2">
      <c r="U8" s="163"/>
      <c r="V8" s="163"/>
      <c r="W8" s="163"/>
    </row>
    <row r="9" spans="1:23" ht="18.75" customHeight="1" thickBot="1" x14ac:dyDescent="0.3">
      <c r="A9" s="356" t="s">
        <v>166</v>
      </c>
      <c r="B9" s="356"/>
      <c r="C9" s="356"/>
      <c r="U9" s="163"/>
      <c r="V9" s="163"/>
      <c r="W9" s="163"/>
    </row>
    <row r="10" spans="1:23" ht="15.75" customHeight="1" thickBot="1" x14ac:dyDescent="0.25">
      <c r="A10" s="296"/>
      <c r="B10" s="296"/>
      <c r="C10" s="297" t="s">
        <v>179</v>
      </c>
      <c r="D10" s="297" t="s">
        <v>178</v>
      </c>
      <c r="E10" s="297" t="s">
        <v>35</v>
      </c>
      <c r="F10" s="298" t="s">
        <v>189</v>
      </c>
      <c r="U10" s="163"/>
      <c r="V10" s="163"/>
      <c r="W10" s="163"/>
    </row>
    <row r="11" spans="1:23" ht="19" x14ac:dyDescent="0.2">
      <c r="A11" s="304" t="s">
        <v>167</v>
      </c>
      <c r="B11" s="305" t="str">
        <f>VLOOKUP(Dados!J19,dados2!A22:B23,2,0)</f>
        <v>Leite in natura</v>
      </c>
      <c r="C11" s="306">
        <f>(IF(D11&gt;1,VLOOKUP(B25,Parâmetros!A2:C3,3,0),0))</f>
        <v>0</v>
      </c>
      <c r="D11" s="307">
        <f>IF(Dados!I19&gt;=2,VLOOKUP(Dados!I19,dados2!A3:B8,2,0),0)</f>
        <v>0</v>
      </c>
      <c r="E11" s="308">
        <f>IF(B33&gt;0,B33,0)</f>
        <v>0</v>
      </c>
      <c r="F11" s="309" t="str">
        <f>IF(D36&gt;1,D36,"0")</f>
        <v>0</v>
      </c>
    </row>
    <row r="12" spans="1:23" ht="15" customHeight="1" x14ac:dyDescent="0.2">
      <c r="A12" s="304" t="s">
        <v>177</v>
      </c>
      <c r="B12" s="270" t="str">
        <f>VLOOKUP(Dados!K20,Parâmetros!A26:F28,2,0)</f>
        <v>Kalvolac Quick</v>
      </c>
      <c r="C12" s="306">
        <f>IF(D12&gt;0,VLOOKUP(Dados!I20,dados2!A58:C62,3,0),0)</f>
        <v>0.14285714285714285</v>
      </c>
      <c r="D12" s="307">
        <f>IF(Dados!J20&gt;=2,VLOOKUP(Dados!J20,dados2!A3:B8,2,0),0)</f>
        <v>6</v>
      </c>
      <c r="E12" s="308">
        <f>IF(E33&gt;0,E33,0)</f>
        <v>188.57142857142856</v>
      </c>
      <c r="F12" s="311">
        <f>IF(F36&gt;0,F36,"0")</f>
        <v>3574.2857142857142</v>
      </c>
    </row>
    <row r="13" spans="1:23" ht="15" customHeight="1" thickBot="1" x14ac:dyDescent="0.3">
      <c r="A13" s="318" t="s">
        <v>168</v>
      </c>
      <c r="B13" s="319" t="str">
        <f>IF(Dados!J21&gt;=1,VLOOKUP(Dados!J21,Parâmetros!A26:F28,2,0),0)</f>
        <v>Kalvolac</v>
      </c>
      <c r="C13" s="320">
        <f>IF(Dados!I21&gt;=2,VLOOKUP(Dados!I21,dados2!A65:B79,2,0),0)/1000</f>
        <v>4.4999999999999998E-2</v>
      </c>
      <c r="D13" s="320">
        <f>(IF(Dados!I21&gt;=2,VLOOKUP(Dados!I21,dados2!A65:B79,2,0),0)*D11)/1000</f>
        <v>0</v>
      </c>
      <c r="E13" s="321">
        <f>IF(G33&gt;0,G33,0)</f>
        <v>0</v>
      </c>
      <c r="F13" s="322" t="str">
        <f>IF(H36&gt;0,H36,"0")</f>
        <v>0</v>
      </c>
    </row>
    <row r="14" spans="1:23" ht="18.75" customHeight="1" thickBot="1" x14ac:dyDescent="0.3">
      <c r="C14" s="199"/>
      <c r="D14" s="323"/>
      <c r="E14" s="324">
        <f>B33+E33+G33</f>
        <v>188.57142857142856</v>
      </c>
      <c r="F14" s="325">
        <f>D36+F36+H36</f>
        <v>3574.2857142857142</v>
      </c>
    </row>
    <row r="15" spans="1:23" ht="22.5" customHeight="1" x14ac:dyDescent="0.25">
      <c r="B15" s="326" t="s">
        <v>169</v>
      </c>
    </row>
    <row r="16" spans="1:23" ht="15" hidden="1" customHeight="1" x14ac:dyDescent="0.3">
      <c r="A16" s="297" t="s">
        <v>8</v>
      </c>
      <c r="B16" s="330" t="str">
        <f>Dados!E22</f>
        <v>Ração Pré Inicial Agrifirm</v>
      </c>
      <c r="C16" s="331">
        <f>D16*0.87</f>
        <v>0.30449999999999999</v>
      </c>
      <c r="D16" s="332">
        <f>IF(Dados!I22&gt;=1,VLOOKUP(Dados!I22,dados2!A11:B19,2,0),0)</f>
        <v>0.35</v>
      </c>
      <c r="E16" s="333">
        <f>IF(B40&gt;0,B40,0)</f>
        <v>72.257849999999991</v>
      </c>
      <c r="F16" s="334">
        <f>(IF(D16&gt;0,D16*dados2!C98,0))*1000</f>
        <v>1036</v>
      </c>
    </row>
    <row r="17" spans="1:8" ht="21.75" customHeight="1" x14ac:dyDescent="0.25">
      <c r="B17" s="119" t="s">
        <v>216</v>
      </c>
      <c r="C17" s="341">
        <f>(C12*D12)+(C11*D11)+(C13*D11)</f>
        <v>0.8571428571428571</v>
      </c>
    </row>
    <row r="18" spans="1:8" ht="15.75" customHeight="1" x14ac:dyDescent="0.25">
      <c r="A18" s="199"/>
      <c r="B18" s="119" t="s">
        <v>229</v>
      </c>
      <c r="C18" s="344">
        <f>(C17/(D12+D11)*100)</f>
        <v>14.285714285714285</v>
      </c>
      <c r="D18" s="118" t="s">
        <v>171</v>
      </c>
      <c r="E18" s="345">
        <f>B7</f>
        <v>228.07701816564509</v>
      </c>
      <c r="F18" s="346">
        <f>C7</f>
        <v>4622.7915537808922</v>
      </c>
    </row>
    <row r="19" spans="1:8" ht="19" x14ac:dyDescent="0.25">
      <c r="B19" s="119" t="s">
        <v>217</v>
      </c>
      <c r="C19" s="341">
        <f>C16+C17</f>
        <v>1.1616428571428572</v>
      </c>
      <c r="D19" s="326" t="s">
        <v>36</v>
      </c>
      <c r="E19" s="347">
        <f>SUM((E12+E13)*0.93,E11*0.95,E16*0.81)</f>
        <v>233.90028707142858</v>
      </c>
      <c r="F19" s="348">
        <f>SUM((F11*0.93)+(F12+F13)*0.91)+(F16*0.83)</f>
        <v>4112.4799999999996</v>
      </c>
    </row>
    <row r="20" spans="1:8" ht="19" x14ac:dyDescent="0.25">
      <c r="A20" s="164"/>
      <c r="D20" s="118" t="s">
        <v>113</v>
      </c>
      <c r="E20" s="345">
        <f>E19-B7</f>
        <v>5.8232689057834932</v>
      </c>
      <c r="F20" s="346">
        <f>F19-F18</f>
        <v>-510.31155378089261</v>
      </c>
    </row>
    <row r="21" spans="1:8" ht="16" x14ac:dyDescent="0.2">
      <c r="E21" s="350">
        <f>IF(AND(E20&gt;0,F20&gt;0),1,-1)</f>
        <v>-1</v>
      </c>
      <c r="F21" s="350">
        <f>IF(AND(F20&gt;0,0),1,-1)</f>
        <v>-1</v>
      </c>
    </row>
    <row r="23" spans="1:8" x14ac:dyDescent="0.2">
      <c r="D23" s="192" t="s">
        <v>184</v>
      </c>
      <c r="E23" s="192" t="s">
        <v>183</v>
      </c>
    </row>
    <row r="24" spans="1:8" x14ac:dyDescent="0.2">
      <c r="B24" s="119">
        <f>Dados!K20</f>
        <v>2</v>
      </c>
      <c r="D24" s="353">
        <f>B7/32</f>
        <v>7.1274068176764089</v>
      </c>
      <c r="E24" s="353">
        <f>B7/31.5</f>
        <v>7.2405402592268278</v>
      </c>
    </row>
    <row r="25" spans="1:8" x14ac:dyDescent="0.2">
      <c r="B25" s="119">
        <f>Dados!J19</f>
        <v>2</v>
      </c>
      <c r="D25" s="353">
        <f>C7/650</f>
        <v>7.1119870058167569</v>
      </c>
      <c r="E25" s="353">
        <f>C7/622.75</f>
        <v>7.423189969941216</v>
      </c>
    </row>
    <row r="26" spans="1:8" ht="20.25" customHeight="1" x14ac:dyDescent="0.2">
      <c r="B26" s="119">
        <f>Dados!I21</f>
        <v>10</v>
      </c>
      <c r="F26" s="351"/>
    </row>
    <row r="27" spans="1:8" x14ac:dyDescent="0.2">
      <c r="E27" s="351"/>
    </row>
    <row r="28" spans="1:8" x14ac:dyDescent="0.2">
      <c r="D28" s="119" t="s">
        <v>187</v>
      </c>
      <c r="E28" s="201"/>
    </row>
    <row r="30" spans="1:8" x14ac:dyDescent="0.2">
      <c r="E30" s="119">
        <f>(((0.057* E33) + (0.092*E34) + (0.0395*E35))*0.97*0.96)*100</f>
        <v>3636.4690285714282</v>
      </c>
    </row>
    <row r="31" spans="1:8" ht="16" thickBot="1" x14ac:dyDescent="0.25"/>
    <row r="32" spans="1:8" ht="16" thickBot="1" x14ac:dyDescent="0.25">
      <c r="A32" s="283"/>
      <c r="B32" s="284" t="s">
        <v>37</v>
      </c>
      <c r="C32" s="285"/>
      <c r="D32" s="286"/>
      <c r="E32" s="284" t="s">
        <v>11</v>
      </c>
      <c r="F32" s="286"/>
      <c r="G32" s="287" t="s">
        <v>10</v>
      </c>
      <c r="H32" s="288"/>
    </row>
    <row r="33" spans="1:8" x14ac:dyDescent="0.2">
      <c r="A33" s="283" t="s">
        <v>35</v>
      </c>
      <c r="B33" s="289">
        <f>(VLOOKUP($B$25,Parâmetros!$A$2:$F$3,4,FALSE))*$D$11*1000</f>
        <v>0</v>
      </c>
      <c r="C33" s="290">
        <v>4</v>
      </c>
      <c r="D33" s="291">
        <f>C33*B33</f>
        <v>0</v>
      </c>
      <c r="E33" s="292">
        <f>(((IF(D12&gt;0,VLOOKUP($B$24,Parâmetros!A26:F28,4,0),0)))*10*($C$12*D12))</f>
        <v>188.57142857142856</v>
      </c>
      <c r="F33" s="293">
        <f>C33*E33</f>
        <v>754.28571428571422</v>
      </c>
      <c r="G33" s="294">
        <f>(Dados!M10*10)*D13</f>
        <v>0</v>
      </c>
      <c r="H33" s="295">
        <f>G33*C33</f>
        <v>0</v>
      </c>
    </row>
    <row r="34" spans="1:8" x14ac:dyDescent="0.2">
      <c r="A34" s="283" t="s">
        <v>38</v>
      </c>
      <c r="B34" s="299">
        <f>(VLOOKUP($B$25,Parâmetros!$A$2:$F$3,5,FALSE))*$D$11*1000</f>
        <v>0</v>
      </c>
      <c r="C34" s="160">
        <v>9</v>
      </c>
      <c r="D34" s="300">
        <f t="shared" ref="D34" si="0">C34*B34</f>
        <v>0</v>
      </c>
      <c r="E34" s="292">
        <f>(((IF(D12&gt;0,VLOOKUP($B$24,Parâmetros!A26:F28,5,0),0)))*$C$12*10)*D12</f>
        <v>145.71428571428572</v>
      </c>
      <c r="F34" s="301">
        <f>C34*E34</f>
        <v>1311.4285714285716</v>
      </c>
      <c r="G34" s="302">
        <f>(Dados!M11*10)*D13</f>
        <v>0</v>
      </c>
      <c r="H34" s="303">
        <f>G34*C34</f>
        <v>0</v>
      </c>
    </row>
    <row r="35" spans="1:8" x14ac:dyDescent="0.2">
      <c r="A35" s="283" t="s">
        <v>39</v>
      </c>
      <c r="B35" s="299">
        <f>(VLOOKUP($B$25,Parâmetros!$A$2:$F$3,6,FALSE))*$D$11*1000</f>
        <v>0</v>
      </c>
      <c r="C35" s="160">
        <v>4</v>
      </c>
      <c r="D35" s="300">
        <f>C35*B35</f>
        <v>0</v>
      </c>
      <c r="E35" s="292">
        <f>(((IF(D12&gt;0,VLOOKUP($B$24,Parâmetros!A26:F28,6,0),0)))*$C$12*10)*D12</f>
        <v>377.14285714285711</v>
      </c>
      <c r="F35" s="301">
        <f>C35*E35</f>
        <v>1508.5714285714284</v>
      </c>
      <c r="G35" s="310">
        <f>(Dados!M12*10)*D13</f>
        <v>0</v>
      </c>
      <c r="H35" s="303">
        <f>G35*C35</f>
        <v>0</v>
      </c>
    </row>
    <row r="36" spans="1:8" ht="16" thickBot="1" x14ac:dyDescent="0.25">
      <c r="A36" s="283"/>
      <c r="B36" s="312">
        <f>SUM(B33:B35)</f>
        <v>0</v>
      </c>
      <c r="C36" s="313"/>
      <c r="D36" s="314">
        <f>SUM(D33:D35)</f>
        <v>0</v>
      </c>
      <c r="E36" s="315"/>
      <c r="F36" s="316">
        <f>SUM(F33:F35)</f>
        <v>3574.2857142857142</v>
      </c>
      <c r="G36" s="317"/>
      <c r="H36" s="314">
        <f>SUM(H33:H35)</f>
        <v>0</v>
      </c>
    </row>
    <row r="37" spans="1:8" x14ac:dyDescent="0.2">
      <c r="H37" s="201">
        <f>((IF(G33="","",IF(G33&gt;0.001,(((100-3.5)/100)*(G33*0.057)+(0.092*G34)+(0.0395*G35))*3.77)))*238.85)/10</f>
        <v>0</v>
      </c>
    </row>
    <row r="38" spans="1:8" ht="16" thickBot="1" x14ac:dyDescent="0.25"/>
    <row r="39" spans="1:8" ht="16" thickBot="1" x14ac:dyDescent="0.25">
      <c r="A39" s="283"/>
      <c r="B39" s="272" t="s">
        <v>8</v>
      </c>
      <c r="C39" s="327"/>
      <c r="D39" s="328"/>
      <c r="F39" s="329" t="s">
        <v>7</v>
      </c>
      <c r="G39" s="329" t="s">
        <v>10</v>
      </c>
      <c r="H39" s="327" t="s">
        <v>8</v>
      </c>
    </row>
    <row r="40" spans="1:8" x14ac:dyDescent="0.2">
      <c r="A40" s="160" t="s">
        <v>35</v>
      </c>
      <c r="B40" s="335">
        <f>IF($D$16&gt;0,((Parâmetros!D10*1.13)*$C$16)*10,0)</f>
        <v>72.257849999999991</v>
      </c>
      <c r="C40" s="290">
        <v>4</v>
      </c>
      <c r="D40" s="336">
        <f>C40*B40</f>
        <v>289.03139999999996</v>
      </c>
      <c r="E40" s="337"/>
      <c r="F40" s="338">
        <v>1</v>
      </c>
      <c r="G40" s="339">
        <v>0</v>
      </c>
      <c r="H40" s="340">
        <v>0</v>
      </c>
    </row>
    <row r="41" spans="1:8" x14ac:dyDescent="0.2">
      <c r="A41" s="160" t="s">
        <v>38</v>
      </c>
      <c r="B41" s="342">
        <f>IF($D$16&gt;0,((Parâmetros!E10*1.13)*$C$16)*1000,0)</f>
        <v>13.763399999999999</v>
      </c>
      <c r="C41" s="160">
        <v>9</v>
      </c>
      <c r="D41" s="343">
        <f t="shared" ref="D41" si="1">C41*B41</f>
        <v>123.8706</v>
      </c>
      <c r="E41" s="337"/>
      <c r="F41" s="338">
        <v>2</v>
      </c>
      <c r="G41" s="339">
        <v>50</v>
      </c>
      <c r="H41" s="340">
        <v>0.1</v>
      </c>
    </row>
    <row r="42" spans="1:8" x14ac:dyDescent="0.2">
      <c r="A42" s="160" t="s">
        <v>39</v>
      </c>
      <c r="B42" s="342">
        <v>0</v>
      </c>
      <c r="C42" s="160">
        <v>4</v>
      </c>
      <c r="D42" s="343">
        <f>C42*B42</f>
        <v>0</v>
      </c>
      <c r="E42" s="337"/>
      <c r="F42" s="338">
        <v>3</v>
      </c>
      <c r="G42" s="339">
        <v>100</v>
      </c>
      <c r="H42" s="340">
        <v>0.15</v>
      </c>
    </row>
    <row r="43" spans="1:8" x14ac:dyDescent="0.2">
      <c r="A43" s="160" t="s">
        <v>188</v>
      </c>
      <c r="B43" s="342">
        <v>0</v>
      </c>
      <c r="C43" s="160">
        <v>4</v>
      </c>
      <c r="D43" s="343">
        <f>C43*B43</f>
        <v>0</v>
      </c>
      <c r="F43" s="338">
        <v>4</v>
      </c>
      <c r="G43" s="339">
        <v>150</v>
      </c>
      <c r="H43" s="340">
        <v>0.2</v>
      </c>
    </row>
    <row r="44" spans="1:8" x14ac:dyDescent="0.2">
      <c r="A44" s="160"/>
      <c r="B44" s="160"/>
      <c r="C44" s="160"/>
      <c r="D44" s="349">
        <f>SUM(D40:D42)</f>
        <v>412.90199999999993</v>
      </c>
      <c r="F44" s="338">
        <v>5</v>
      </c>
      <c r="G44" s="339">
        <v>200</v>
      </c>
      <c r="H44" s="340">
        <v>0.25</v>
      </c>
    </row>
    <row r="45" spans="1:8" x14ac:dyDescent="0.2">
      <c r="B45" s="351"/>
      <c r="F45" s="338">
        <v>6</v>
      </c>
      <c r="G45" s="339">
        <v>250</v>
      </c>
      <c r="H45" s="340">
        <v>0.3</v>
      </c>
    </row>
    <row r="46" spans="1:8" x14ac:dyDescent="0.2">
      <c r="F46" s="338">
        <v>7</v>
      </c>
      <c r="G46" s="352" t="s">
        <v>170</v>
      </c>
      <c r="H46" s="340">
        <v>0.35</v>
      </c>
    </row>
    <row r="47" spans="1:8" x14ac:dyDescent="0.2">
      <c r="F47" s="338">
        <v>8</v>
      </c>
      <c r="G47" s="352"/>
      <c r="H47" s="340">
        <v>0.4</v>
      </c>
    </row>
    <row r="48" spans="1:8" x14ac:dyDescent="0.2">
      <c r="F48" s="338">
        <v>9</v>
      </c>
      <c r="G48" s="352"/>
      <c r="H48" s="340">
        <v>0.45</v>
      </c>
    </row>
    <row r="49" spans="6:8" ht="16" thickBot="1" x14ac:dyDescent="0.25">
      <c r="F49" s="354">
        <v>10</v>
      </c>
      <c r="G49" s="355"/>
      <c r="H49" s="340">
        <v>0.5</v>
      </c>
    </row>
  </sheetData>
  <mergeCells count="1">
    <mergeCell ref="U2:V6"/>
  </mergeCells>
  <dataValidations disablePrompts="1" count="2">
    <dataValidation type="list" allowBlank="1" showInputMessage="1" showErrorMessage="1" sqref="A18" xr:uid="{7A2FD4F3-613E-4924-94F3-6225078BF7C6}">
      <formula1>Vetilac</formula1>
    </dataValidation>
    <dataValidation type="list" allowBlank="1" showInputMessage="1" showErrorMessage="1" sqref="C14" xr:uid="{1405653E-4E1C-45F1-98C5-D49B14DC2E5B}">
      <formula1>Leites</formula1>
    </dataValidation>
  </dataValidations>
  <pageMargins left="0.511811024" right="0.511811024" top="0.78740157499999996" bottom="0.78740157499999996" header="0.31496062000000002" footer="0.31496062000000002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F2D831A-FC4E-4E80-B4EF-735742DE060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1"/>
              <x14:cfIcon iconSet="3Symbols2" iconId="2"/>
            </x14:iconSet>
          </x14:cfRule>
          <xm:sqref>E21:F21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06D3-15EE-412F-A7AF-7BEDE1BF93DA}">
  <dimension ref="A1:W49"/>
  <sheetViews>
    <sheetView zoomScale="115" zoomScaleNormal="115" workbookViewId="0">
      <selection activeCell="H24" sqref="H1:H1048576"/>
    </sheetView>
  </sheetViews>
  <sheetFormatPr baseColWidth="10" defaultColWidth="8.83203125" defaultRowHeight="15" x14ac:dyDescent="0.2"/>
  <cols>
    <col min="1" max="1" width="23" style="119" customWidth="1"/>
    <col min="2" max="2" width="23.1640625" style="119" customWidth="1"/>
    <col min="3" max="3" width="24" style="119" customWidth="1"/>
    <col min="4" max="4" width="20.6640625" style="119" customWidth="1"/>
    <col min="5" max="5" width="23" style="119" customWidth="1"/>
    <col min="6" max="6" width="23.6640625" style="119" customWidth="1"/>
    <col min="7" max="7" width="7.33203125" style="119" customWidth="1"/>
    <col min="8" max="8" width="10.6640625" style="119" bestFit="1" customWidth="1"/>
    <col min="9" max="9" width="10" style="119" customWidth="1"/>
    <col min="10" max="10" width="12.83203125" style="119" customWidth="1"/>
    <col min="11" max="11" width="4" style="119" customWidth="1"/>
    <col min="12" max="12" width="9.5" style="119" bestFit="1" customWidth="1"/>
    <col min="13" max="13" width="12.1640625" style="119" customWidth="1"/>
    <col min="14" max="14" width="9.5" style="119" customWidth="1"/>
    <col min="15" max="15" width="14.1640625" style="119" customWidth="1"/>
    <col min="16" max="16" width="14" style="119" customWidth="1"/>
    <col min="17" max="17" width="11.5" style="119" customWidth="1"/>
    <col min="18" max="18" width="15.33203125" style="119" customWidth="1"/>
    <col min="19" max="19" width="12" style="119" bestFit="1" customWidth="1"/>
    <col min="20" max="20" width="6.33203125" style="119" customWidth="1"/>
    <col min="21" max="21" width="9.1640625" style="119"/>
    <col min="22" max="22" width="28.33203125" style="119" customWidth="1"/>
    <col min="23" max="24" width="9.1640625" style="119"/>
    <col min="25" max="25" width="16.5" style="119" customWidth="1"/>
    <col min="26" max="29" width="9.1640625" style="119"/>
    <col min="30" max="16384" width="8.83203125" style="119"/>
  </cols>
  <sheetData>
    <row r="1" spans="1:23" ht="17" thickBot="1" x14ac:dyDescent="0.25">
      <c r="A1" s="267" t="s">
        <v>224</v>
      </c>
      <c r="B1" s="275">
        <f>Viabilidade!B2+Viabilidade!B5</f>
        <v>45</v>
      </c>
      <c r="C1" s="192"/>
    </row>
    <row r="2" spans="1:23" ht="14.25" customHeight="1" thickBot="1" x14ac:dyDescent="0.25">
      <c r="C2" s="270"/>
      <c r="E2" s="271"/>
      <c r="U2" s="269"/>
      <c r="V2" s="269"/>
      <c r="W2" s="163"/>
    </row>
    <row r="3" spans="1:23" ht="18.75" customHeight="1" thickBot="1" x14ac:dyDescent="0.25">
      <c r="C3" s="272" t="s">
        <v>211</v>
      </c>
      <c r="D3" s="273" t="s">
        <v>195</v>
      </c>
      <c r="U3" s="269"/>
      <c r="V3" s="269"/>
      <c r="W3" s="163"/>
    </row>
    <row r="4" spans="1:23" ht="15.75" customHeight="1" thickBot="1" x14ac:dyDescent="0.25">
      <c r="A4" s="274" t="s">
        <v>162</v>
      </c>
      <c r="B4" s="275">
        <f>Viabilidade!B8</f>
        <v>700</v>
      </c>
      <c r="C4" s="275">
        <f>Necessidades!G61</f>
        <v>700</v>
      </c>
      <c r="D4" s="275">
        <f>Necessidades!H94</f>
        <v>750</v>
      </c>
      <c r="E4" s="270"/>
      <c r="F4" s="194">
        <f>MIN(C4:D4)</f>
        <v>700</v>
      </c>
      <c r="U4" s="269"/>
      <c r="V4" s="269"/>
      <c r="W4" s="163"/>
    </row>
    <row r="5" spans="1:23" ht="15.75" customHeight="1" thickBot="1" x14ac:dyDescent="0.25">
      <c r="U5" s="269"/>
      <c r="V5" s="269"/>
      <c r="W5" s="163"/>
    </row>
    <row r="6" spans="1:23" ht="30" customHeight="1" x14ac:dyDescent="0.2">
      <c r="A6" s="277" t="s">
        <v>163</v>
      </c>
      <c r="B6" s="278" t="s">
        <v>164</v>
      </c>
      <c r="C6" s="278" t="s">
        <v>165</v>
      </c>
      <c r="D6" s="279" t="s">
        <v>191</v>
      </c>
      <c r="F6" s="198"/>
      <c r="K6" s="276"/>
      <c r="U6" s="269"/>
      <c r="V6" s="269"/>
      <c r="W6" s="163"/>
    </row>
    <row r="7" spans="1:23" ht="35.25" customHeight="1" thickBot="1" x14ac:dyDescent="0.25">
      <c r="A7" s="168"/>
      <c r="B7" s="280">
        <f>(6.25*(1/0.8*(0.2*$B$1^0.75+(30*($B$4/1000))+(1.9*$D$7)*D7)))/0.9</f>
        <v>228.07701816564509</v>
      </c>
      <c r="C7" s="281">
        <f>(((0.1*(B1^0.75)+(0.84*(B1^0.355))*((B4/1000)^1.2))*1000)*1.2)</f>
        <v>4622.7915537808922</v>
      </c>
      <c r="D7" s="282">
        <f>((C7*1000)/4750)/1000</f>
        <v>0.97321927448018775</v>
      </c>
      <c r="H7" s="198"/>
      <c r="U7" s="163"/>
      <c r="V7" s="163"/>
      <c r="W7" s="163"/>
    </row>
    <row r="8" spans="1:23" ht="15.75" customHeight="1" x14ac:dyDescent="0.2">
      <c r="U8" s="163"/>
      <c r="V8" s="163"/>
      <c r="W8" s="163"/>
    </row>
    <row r="9" spans="1:23" ht="18.75" customHeight="1" thickBot="1" x14ac:dyDescent="0.3">
      <c r="A9" s="358" t="s">
        <v>166</v>
      </c>
      <c r="B9" s="358"/>
      <c r="C9" s="358"/>
      <c r="D9" s="205"/>
      <c r="E9" s="205"/>
      <c r="F9" s="205"/>
      <c r="U9" s="163"/>
      <c r="V9" s="163"/>
      <c r="W9" s="163"/>
    </row>
    <row r="10" spans="1:23" ht="15.75" customHeight="1" thickBot="1" x14ac:dyDescent="0.25">
      <c r="A10" s="359"/>
      <c r="B10" s="359"/>
      <c r="C10" s="360" t="s">
        <v>179</v>
      </c>
      <c r="D10" s="360" t="s">
        <v>178</v>
      </c>
      <c r="E10" s="360" t="s">
        <v>35</v>
      </c>
      <c r="F10" s="361" t="s">
        <v>189</v>
      </c>
      <c r="U10" s="163"/>
      <c r="V10" s="163"/>
      <c r="W10" s="163"/>
    </row>
    <row r="11" spans="1:23" ht="33" customHeight="1" x14ac:dyDescent="0.2">
      <c r="A11" s="362" t="s">
        <v>167</v>
      </c>
      <c r="B11" s="363" t="str">
        <f>VLOOKUP(Dados!J11,dados2!A21:B23,2,0)</f>
        <v>Leite descarte</v>
      </c>
      <c r="C11" s="364">
        <f>(IF(D11&gt;1,VLOOKUP(B25,Parâmetros!A2:C4,3,0),0))</f>
        <v>0.1</v>
      </c>
      <c r="D11" s="365">
        <f>IF(Dados!I11&gt;=2,VLOOKUP(Dados!I11,dados2!A3:B8,2,0),0)</f>
        <v>4</v>
      </c>
      <c r="E11" s="366">
        <f>IF(B33&gt;0,B33,0)</f>
        <v>112</v>
      </c>
      <c r="F11" s="367">
        <f>IF(D36&gt;1,D36,"0")</f>
        <v>2376</v>
      </c>
    </row>
    <row r="12" spans="1:23" ht="15" customHeight="1" x14ac:dyDescent="0.2">
      <c r="A12" s="362" t="s">
        <v>177</v>
      </c>
      <c r="B12" s="363" t="str">
        <f>Dados!E12</f>
        <v>Sucedâneo</v>
      </c>
      <c r="C12" s="364">
        <f>IF(Dados!I12&gt;0,VLOOKUP(Dados!K12,dados2!A58:C62,3,0),0)</f>
        <v>0.1</v>
      </c>
      <c r="D12" s="365">
        <f>IF(Dados!I12&gt;=2,VLOOKUP(Dados!I12,dados2!A3:B8,2,0),0)</f>
        <v>6</v>
      </c>
      <c r="E12" s="366">
        <f>IF(E33&gt;0,E33,0)</f>
        <v>100</v>
      </c>
      <c r="F12" s="367">
        <f>Dados!M15*(Concorrente!C12*D12)</f>
        <v>2442.1137518700007</v>
      </c>
    </row>
    <row r="13" spans="1:23" ht="15" customHeight="1" thickBot="1" x14ac:dyDescent="0.3">
      <c r="A13" s="368" t="s">
        <v>168</v>
      </c>
      <c r="B13" s="369" t="str">
        <f>Dados!F13</f>
        <v>Marca</v>
      </c>
      <c r="C13" s="370">
        <f>IF(Dados!I13&gt;=2,VLOOKUP(Dados!I13,dados2!A65:B79,2,0),0)/1000</f>
        <v>0</v>
      </c>
      <c r="D13" s="371">
        <f>(IF(Dados!I13&gt;=2,VLOOKUP(Dados!I13,dados2!A65:B79,2,0),0)*D11)/1000</f>
        <v>0</v>
      </c>
      <c r="E13" s="372">
        <f>IF(G33&gt;0,G33,0)</f>
        <v>0</v>
      </c>
      <c r="F13" s="370">
        <f>(Dados!M15)*D13</f>
        <v>0</v>
      </c>
    </row>
    <row r="14" spans="1:23" ht="18.75" customHeight="1" thickBot="1" x14ac:dyDescent="0.3">
      <c r="A14" s="205"/>
      <c r="B14" s="205"/>
      <c r="C14" s="210"/>
      <c r="D14" s="373"/>
      <c r="E14" s="374">
        <f>B33+E33+G33</f>
        <v>212</v>
      </c>
      <c r="F14" s="375">
        <f>D36+F36+H36</f>
        <v>4476</v>
      </c>
    </row>
    <row r="15" spans="1:23" ht="22.5" customHeight="1" x14ac:dyDescent="0.25">
      <c r="A15" s="205"/>
      <c r="B15" s="358" t="s">
        <v>169</v>
      </c>
      <c r="C15" s="205"/>
      <c r="D15" s="205"/>
      <c r="E15" s="205"/>
      <c r="F15" s="205"/>
    </row>
    <row r="16" spans="1:23" ht="15" hidden="1" customHeight="1" x14ac:dyDescent="0.3">
      <c r="A16" s="360" t="s">
        <v>8</v>
      </c>
      <c r="B16" s="376" t="str">
        <f>IF(Dados!J14&gt;0,VLOOKUP(B27,dados2!A92:B98,2,0),0)</f>
        <v>Ração comercial 18%</v>
      </c>
      <c r="C16" s="377">
        <f>D16*0.87</f>
        <v>0.2175</v>
      </c>
      <c r="D16" s="378">
        <f>IF(Dados!I14&gt;=1,VLOOKUP(Dados!I14,dados2!A11:B19,2,0),0)</f>
        <v>0.25</v>
      </c>
      <c r="E16" s="379">
        <f>IF(D16&gt;0,VLOOKUP(Dados!J14,dados2!A94:E98,5,0),0)*D16</f>
        <v>37.5</v>
      </c>
      <c r="F16" s="380">
        <f>((IF(D16&gt;0,VLOOKUP(Dados!J14,dados2!A94:C98,3,0),0))*C16)*1000</f>
        <v>565.5</v>
      </c>
    </row>
    <row r="17" spans="1:8" ht="21.75" customHeight="1" x14ac:dyDescent="0.25">
      <c r="A17" s="205"/>
      <c r="B17" s="205" t="s">
        <v>216</v>
      </c>
      <c r="C17" s="381">
        <f>(C12*D12)+(C11*D11)+(C13*D11)</f>
        <v>1</v>
      </c>
      <c r="D17" s="205"/>
      <c r="E17" s="205"/>
      <c r="F17" s="205"/>
    </row>
    <row r="18" spans="1:8" ht="15.75" customHeight="1" x14ac:dyDescent="0.25">
      <c r="A18" s="210"/>
      <c r="B18" s="205" t="s">
        <v>229</v>
      </c>
      <c r="C18" s="382">
        <f>(C17/(D11+D12+D13))*100</f>
        <v>10</v>
      </c>
      <c r="D18" s="205" t="s">
        <v>171</v>
      </c>
      <c r="E18" s="383">
        <f>B7</f>
        <v>228.07701816564509</v>
      </c>
      <c r="F18" s="384">
        <f>C7</f>
        <v>4622.7915537808922</v>
      </c>
    </row>
    <row r="19" spans="1:8" ht="19" x14ac:dyDescent="0.25">
      <c r="A19" s="205"/>
      <c r="B19" s="205" t="s">
        <v>217</v>
      </c>
      <c r="C19" s="382">
        <f>C16+C17</f>
        <v>1.2175</v>
      </c>
      <c r="D19" s="207" t="s">
        <v>36</v>
      </c>
      <c r="E19" s="385">
        <f>SUM((E12+E13)*0.93,E11*0.95,E16*0.81)</f>
        <v>229.77499999999998</v>
      </c>
      <c r="F19" s="386">
        <f>SUM((F11*0.93)+(F12+F13)*0.91)+(F16*0.83)</f>
        <v>4901.3685142017002</v>
      </c>
    </row>
    <row r="20" spans="1:8" x14ac:dyDescent="0.2">
      <c r="A20" s="387"/>
      <c r="B20" s="205"/>
      <c r="C20" s="205"/>
      <c r="D20" s="205" t="s">
        <v>113</v>
      </c>
      <c r="E20" s="383">
        <f>E19-B7</f>
        <v>1.6979818343548914</v>
      </c>
      <c r="F20" s="384">
        <f>F19-F18</f>
        <v>278.57696042080806</v>
      </c>
    </row>
    <row r="21" spans="1:8" ht="16" x14ac:dyDescent="0.2">
      <c r="A21" s="205"/>
      <c r="B21" s="205"/>
      <c r="C21" s="205"/>
      <c r="D21" s="205"/>
      <c r="E21" s="388">
        <f>IF(AND(E20&gt;0,F20&gt;0),1,-1)</f>
        <v>1</v>
      </c>
      <c r="F21" s="388">
        <f>IF(AND(F20&gt;0,0),1,-1)</f>
        <v>-1</v>
      </c>
    </row>
    <row r="23" spans="1:8" x14ac:dyDescent="0.2">
      <c r="D23" s="192" t="s">
        <v>184</v>
      </c>
      <c r="E23" s="192" t="s">
        <v>183</v>
      </c>
    </row>
    <row r="24" spans="1:8" x14ac:dyDescent="0.2">
      <c r="B24" s="119">
        <f>Dados!K20</f>
        <v>2</v>
      </c>
      <c r="C24" s="357" t="s">
        <v>212</v>
      </c>
      <c r="D24" s="353">
        <f>B7/32</f>
        <v>7.1274068176764089</v>
      </c>
      <c r="E24" s="353">
        <f>B7/31.5</f>
        <v>7.2405402592268278</v>
      </c>
    </row>
    <row r="25" spans="1:8" x14ac:dyDescent="0.2">
      <c r="B25" s="119">
        <f>Dados!J11</f>
        <v>3</v>
      </c>
      <c r="C25" s="119" t="s">
        <v>213</v>
      </c>
      <c r="D25" s="353">
        <f>C7/650</f>
        <v>7.1119870058167569</v>
      </c>
      <c r="E25" s="353">
        <f>C7/622.75</f>
        <v>7.423189969941216</v>
      </c>
    </row>
    <row r="26" spans="1:8" ht="20.25" customHeight="1" x14ac:dyDescent="0.2">
      <c r="B26" s="119">
        <f>Dados!I14</f>
        <v>2</v>
      </c>
      <c r="F26" s="351"/>
    </row>
    <row r="27" spans="1:8" x14ac:dyDescent="0.2">
      <c r="B27" s="119">
        <f>Dados!J14</f>
        <v>1</v>
      </c>
      <c r="E27" s="351"/>
    </row>
    <row r="28" spans="1:8" x14ac:dyDescent="0.2">
      <c r="D28" s="119" t="s">
        <v>187</v>
      </c>
      <c r="E28" s="201"/>
    </row>
    <row r="30" spans="1:8" x14ac:dyDescent="0.2">
      <c r="E30" s="119">
        <f>(((0.057* E33) + (0.092*E34) + (0.0395*E35))*0.97*0.96)*100</f>
        <v>2123.1359999999995</v>
      </c>
    </row>
    <row r="31" spans="1:8" ht="16" thickBot="1" x14ac:dyDescent="0.25"/>
    <row r="32" spans="1:8" ht="16" thickBot="1" x14ac:dyDescent="0.25">
      <c r="A32" s="283"/>
      <c r="B32" s="284" t="s">
        <v>37</v>
      </c>
      <c r="C32" s="285"/>
      <c r="D32" s="286"/>
      <c r="E32" s="284" t="s">
        <v>11</v>
      </c>
      <c r="F32" s="286"/>
      <c r="G32" s="287" t="s">
        <v>10</v>
      </c>
      <c r="H32" s="288"/>
    </row>
    <row r="33" spans="1:8" x14ac:dyDescent="0.2">
      <c r="A33" s="283" t="s">
        <v>35</v>
      </c>
      <c r="B33" s="289">
        <f>IF($D$11&gt;0,VLOOKUP($B$25,Parâmetros!$A$2:$F$4,4,0),0)*$D$11*1000</f>
        <v>112</v>
      </c>
      <c r="C33" s="290">
        <v>4</v>
      </c>
      <c r="D33" s="291">
        <f>C33*B33</f>
        <v>448</v>
      </c>
      <c r="E33" s="292">
        <f>(((IF(D12&gt;0,($C$12*5)*(Dados!M10*10),0))))</f>
        <v>100</v>
      </c>
      <c r="F33" s="293">
        <f>C33*E33</f>
        <v>400</v>
      </c>
      <c r="G33" s="294">
        <f>(Dados!M10*10)*Concorrente!D13</f>
        <v>0</v>
      </c>
      <c r="H33" s="295">
        <f>G33*C33</f>
        <v>0</v>
      </c>
    </row>
    <row r="34" spans="1:8" x14ac:dyDescent="0.2">
      <c r="A34" s="283" t="s">
        <v>38</v>
      </c>
      <c r="B34" s="289">
        <f>IF($D$11&gt;0,VLOOKUP($B$25,Parâmetros!$A$2:$F$4,5,0),0)*$D$11*1000</f>
        <v>152</v>
      </c>
      <c r="C34" s="160">
        <v>9</v>
      </c>
      <c r="D34" s="300">
        <f t="shared" ref="D34" si="0">C34*B34</f>
        <v>1368</v>
      </c>
      <c r="E34" s="292">
        <f>(((IF(D12&gt;0,($C$12*5)*(Dados!M11*10),0))))</f>
        <v>100</v>
      </c>
      <c r="F34" s="301">
        <f>C34*E34</f>
        <v>900</v>
      </c>
      <c r="G34" s="302">
        <f>(Dados!M11*10)*Concorrente!D13</f>
        <v>0</v>
      </c>
      <c r="H34" s="303">
        <f>G34*C34</f>
        <v>0</v>
      </c>
    </row>
    <row r="35" spans="1:8" x14ac:dyDescent="0.2">
      <c r="A35" s="283" t="s">
        <v>39</v>
      </c>
      <c r="B35" s="289">
        <f>IF($D$11&gt;0,VLOOKUP($B$25,Parâmetros!$A$2:$F$4,6,0),0)*$D$11*1000</f>
        <v>140</v>
      </c>
      <c r="C35" s="160">
        <v>4</v>
      </c>
      <c r="D35" s="300">
        <f>C35*B35</f>
        <v>560</v>
      </c>
      <c r="E35" s="292">
        <f>(((IF(D12&gt;0,($C$12*5)*(Dados!M12*10),0))))</f>
        <v>200</v>
      </c>
      <c r="F35" s="301">
        <f>C35*E35</f>
        <v>800</v>
      </c>
      <c r="G35" s="310">
        <f>(Dados!M12*10)*Concorrente!D13</f>
        <v>0</v>
      </c>
      <c r="H35" s="303">
        <f>G35*C35</f>
        <v>0</v>
      </c>
    </row>
    <row r="36" spans="1:8" ht="16" thickBot="1" x14ac:dyDescent="0.25">
      <c r="A36" s="283"/>
      <c r="B36" s="312">
        <f>SUM(B33:B35)</f>
        <v>404</v>
      </c>
      <c r="C36" s="313"/>
      <c r="D36" s="314">
        <f>SUM(D33:D35)</f>
        <v>2376</v>
      </c>
      <c r="E36" s="315"/>
      <c r="F36" s="316">
        <f>SUM(F33:F35)</f>
        <v>2100</v>
      </c>
      <c r="G36" s="317"/>
      <c r="H36" s="314">
        <f>SUM(H33:H35)</f>
        <v>0</v>
      </c>
    </row>
    <row r="38" spans="1:8" ht="16" thickBot="1" x14ac:dyDescent="0.25"/>
    <row r="39" spans="1:8" ht="16" thickBot="1" x14ac:dyDescent="0.25">
      <c r="A39" s="283"/>
      <c r="B39" s="272" t="s">
        <v>8</v>
      </c>
      <c r="C39" s="327"/>
      <c r="D39" s="328"/>
      <c r="F39" s="329" t="s">
        <v>7</v>
      </c>
      <c r="G39" s="329" t="s">
        <v>10</v>
      </c>
      <c r="H39" s="327" t="s">
        <v>8</v>
      </c>
    </row>
    <row r="40" spans="1:8" x14ac:dyDescent="0.2">
      <c r="A40" s="160" t="s">
        <v>35</v>
      </c>
      <c r="B40" s="335" t="e">
        <f>IF($D$16&gt;0,VLOOKUP(Dados!J14,dados2!B24:E95,4,0),0)</f>
        <v>#N/A</v>
      </c>
      <c r="C40" s="290">
        <v>4</v>
      </c>
      <c r="D40" s="336" t="e">
        <f>C40*B40</f>
        <v>#N/A</v>
      </c>
      <c r="E40" s="337"/>
      <c r="F40" s="338">
        <v>1</v>
      </c>
      <c r="G40" s="339">
        <v>0</v>
      </c>
      <c r="H40" s="340">
        <v>0</v>
      </c>
    </row>
    <row r="41" spans="1:8" x14ac:dyDescent="0.2">
      <c r="A41" s="160" t="s">
        <v>38</v>
      </c>
      <c r="B41" s="342">
        <f>IF($D$16&gt;0,((Parâmetros!E10*1.13)*$C$16)*1000,0)</f>
        <v>9.8309999999999995</v>
      </c>
      <c r="C41" s="160">
        <v>9</v>
      </c>
      <c r="D41" s="343">
        <f t="shared" ref="D41" si="1">C41*B41</f>
        <v>88.478999999999999</v>
      </c>
      <c r="E41" s="337"/>
      <c r="F41" s="338">
        <v>2</v>
      </c>
      <c r="G41" s="339">
        <v>50</v>
      </c>
      <c r="H41" s="340">
        <v>0.1</v>
      </c>
    </row>
    <row r="42" spans="1:8" x14ac:dyDescent="0.2">
      <c r="A42" s="160" t="s">
        <v>39</v>
      </c>
      <c r="B42" s="342">
        <v>0</v>
      </c>
      <c r="C42" s="160">
        <v>4</v>
      </c>
      <c r="D42" s="343">
        <f>C42*B42</f>
        <v>0</v>
      </c>
      <c r="E42" s="337"/>
      <c r="F42" s="338">
        <v>3</v>
      </c>
      <c r="G42" s="339">
        <v>100</v>
      </c>
      <c r="H42" s="340">
        <v>0.15</v>
      </c>
    </row>
    <row r="43" spans="1:8" x14ac:dyDescent="0.2">
      <c r="A43" s="160" t="s">
        <v>188</v>
      </c>
      <c r="B43" s="342">
        <v>0</v>
      </c>
      <c r="C43" s="160">
        <v>4</v>
      </c>
      <c r="D43" s="343">
        <f>C43*B43</f>
        <v>0</v>
      </c>
      <c r="F43" s="338">
        <v>4</v>
      </c>
      <c r="G43" s="339">
        <v>150</v>
      </c>
      <c r="H43" s="340">
        <v>0.2</v>
      </c>
    </row>
    <row r="44" spans="1:8" x14ac:dyDescent="0.2">
      <c r="A44" s="160"/>
      <c r="B44" s="160"/>
      <c r="C44" s="160"/>
      <c r="D44" s="349" t="e">
        <f>SUM(D40:D42)</f>
        <v>#N/A</v>
      </c>
      <c r="F44" s="338">
        <v>5</v>
      </c>
      <c r="G44" s="339">
        <v>200</v>
      </c>
      <c r="H44" s="340">
        <v>0.25</v>
      </c>
    </row>
    <row r="45" spans="1:8" x14ac:dyDescent="0.2">
      <c r="B45" s="351"/>
      <c r="F45" s="338">
        <v>6</v>
      </c>
      <c r="G45" s="339">
        <v>250</v>
      </c>
      <c r="H45" s="340">
        <v>0.3</v>
      </c>
    </row>
    <row r="46" spans="1:8" x14ac:dyDescent="0.2">
      <c r="F46" s="338">
        <v>7</v>
      </c>
      <c r="G46" s="352" t="s">
        <v>170</v>
      </c>
      <c r="H46" s="340">
        <v>0.35</v>
      </c>
    </row>
    <row r="47" spans="1:8" x14ac:dyDescent="0.2">
      <c r="F47" s="338">
        <v>8</v>
      </c>
      <c r="G47" s="352"/>
      <c r="H47" s="340">
        <v>0.4</v>
      </c>
    </row>
    <row r="48" spans="1:8" x14ac:dyDescent="0.2">
      <c r="F48" s="338">
        <v>9</v>
      </c>
      <c r="G48" s="352"/>
      <c r="H48" s="340">
        <v>0.45</v>
      </c>
    </row>
    <row r="49" spans="6:8" ht="16" thickBot="1" x14ac:dyDescent="0.25">
      <c r="F49" s="354">
        <v>10</v>
      </c>
      <c r="G49" s="355"/>
      <c r="H49" s="340">
        <v>0.5</v>
      </c>
    </row>
  </sheetData>
  <mergeCells count="1">
    <mergeCell ref="U2:V6"/>
  </mergeCells>
  <dataValidations count="2">
    <dataValidation type="list" allowBlank="1" showInputMessage="1" showErrorMessage="1" sqref="C14" xr:uid="{7E5F2354-183B-4991-978F-CC022EEC8A6A}">
      <formula1>Leites</formula1>
    </dataValidation>
    <dataValidation type="list" allowBlank="1" showInputMessage="1" showErrorMessage="1" sqref="A18" xr:uid="{4463ABA6-A1F1-4A4A-B072-C35DA43A97DB}">
      <formula1>Vetilac</formula1>
    </dataValidation>
  </dataValidations>
  <pageMargins left="0.511811024" right="0.511811024" top="0.78740157499999996" bottom="0.78740157499999996" header="0.31496062000000002" footer="0.31496062000000002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482CEFC-C524-4096-BA88-3D219B5E63A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1"/>
              <x14:cfIcon iconSet="3Symbols2" iconId="2"/>
            </x14:iconSet>
          </x14:cfRule>
          <xm:sqref>E21:F21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9AA2-E6D3-497A-9801-B4A4B179989C}">
  <dimension ref="A1:AP133"/>
  <sheetViews>
    <sheetView zoomScaleNormal="100" workbookViewId="0">
      <selection activeCell="G121" sqref="G121"/>
    </sheetView>
  </sheetViews>
  <sheetFormatPr baseColWidth="10" defaultColWidth="9.1640625" defaultRowHeight="13" x14ac:dyDescent="0.15"/>
  <cols>
    <col min="1" max="1" width="11" style="390" bestFit="1" customWidth="1"/>
    <col min="2" max="2" width="12.1640625" style="390" customWidth="1"/>
    <col min="3" max="3" width="10" style="390" bestFit="1" customWidth="1"/>
    <col min="4" max="4" width="6.5" style="390" customWidth="1"/>
    <col min="5" max="6" width="9.1640625" style="390"/>
    <col min="7" max="7" width="11.6640625" style="390" customWidth="1"/>
    <col min="8" max="19" width="9.1640625" style="390"/>
    <col min="20" max="23" width="7.1640625" style="390" customWidth="1"/>
    <col min="24" max="25" width="9.1640625" style="390"/>
    <col min="26" max="26" width="8.5" style="390" customWidth="1"/>
    <col min="27" max="27" width="11.5" style="390" customWidth="1"/>
    <col min="28" max="37" width="9.1640625" style="390"/>
    <col min="38" max="38" width="10" style="390" bestFit="1" customWidth="1"/>
    <col min="39" max="16384" width="9.1640625" style="390"/>
  </cols>
  <sheetData>
    <row r="1" spans="1:42" x14ac:dyDescent="0.15">
      <c r="A1" s="390">
        <f>MATCH(G1,D8:R8,0)</f>
        <v>4</v>
      </c>
      <c r="B1" s="390">
        <f>A1-2</f>
        <v>2</v>
      </c>
      <c r="E1" s="390" t="s">
        <v>205</v>
      </c>
      <c r="G1" s="390">
        <f>VLOOKUP(Dados!$D$18,dados2!A25:B39,2,0)</f>
        <v>45</v>
      </c>
      <c r="J1" s="390">
        <f>IFERROR(VLOOKUP(A2,B9:N28,MATCH(A1,D6:N6,1)-B1,0),"")</f>
        <v>700</v>
      </c>
      <c r="K1" s="389"/>
      <c r="L1" s="392"/>
    </row>
    <row r="2" spans="1:42" x14ac:dyDescent="0.15">
      <c r="A2" s="390">
        <f>S5</f>
        <v>14</v>
      </c>
      <c r="E2" s="390" t="s">
        <v>206</v>
      </c>
      <c r="G2" s="389">
        <f>Agrifirm!E19</f>
        <v>233.90028707142858</v>
      </c>
      <c r="J2" s="389"/>
      <c r="K2" s="389"/>
    </row>
    <row r="3" spans="1:42" x14ac:dyDescent="0.15">
      <c r="A3" s="390">
        <f>MATCH(A1,D6:R6,0)-5</f>
        <v>-1</v>
      </c>
      <c r="E3" s="391" t="s">
        <v>207</v>
      </c>
      <c r="F3" s="391"/>
      <c r="G3" s="394">
        <f>B5</f>
        <v>700</v>
      </c>
      <c r="J3" s="389"/>
      <c r="K3" s="389"/>
    </row>
    <row r="4" spans="1:42" x14ac:dyDescent="0.15">
      <c r="J4" s="389"/>
      <c r="K4" s="389"/>
    </row>
    <row r="5" spans="1:42" x14ac:dyDescent="0.15">
      <c r="B5" s="393">
        <f>IFERROR(VLOOKUP(A2,B9:R28,MATCH(A1,D6:R6,0)-B1,0),"")</f>
        <v>700</v>
      </c>
      <c r="D5" s="390">
        <f>IFERROR(IF($A$1=1,MATCH($G$2,D$9:D$28,1),0),0)</f>
        <v>0</v>
      </c>
      <c r="E5" s="390">
        <f>IFERROR(IF($A$1=2,MATCH($G$2,E$9:E$28,1),0),0)</f>
        <v>0</v>
      </c>
      <c r="F5" s="390">
        <f>IFERROR(IF($A$1=3,MATCH($G$2,F$9:F$28,1),0),0)</f>
        <v>0</v>
      </c>
      <c r="G5" s="390">
        <f>IFERROR(IF($A$1=4,MATCH($G$2,G$9:G$28,1),0),0)</f>
        <v>14</v>
      </c>
      <c r="H5" s="390">
        <f>IFERROR(IF($A$1=5,MATCH($G$2,H$9:H$28,1),0),0)</f>
        <v>0</v>
      </c>
      <c r="I5" s="390">
        <f>IFERROR(IF($A$1=6,MATCH($G$2,I$9:I$28,1),0),0)</f>
        <v>0</v>
      </c>
      <c r="J5" s="390">
        <f>IFERROR(IF($A$1=7,MATCH($G$2,J$9:J$28,1),0),0)</f>
        <v>0</v>
      </c>
      <c r="K5" s="390">
        <f>IFERROR(IF($A$1=8,MATCH($G$2,K$9:K$28,1),0),0)</f>
        <v>0</v>
      </c>
      <c r="L5" s="390">
        <f>IFERROR(IF($A$1=9,MATCH($G$2,L$9:L$28,1),0),0)</f>
        <v>0</v>
      </c>
      <c r="M5" s="390">
        <f>IFERROR(IF($A$1=10,MATCH($G$2,M$9:M$28,1),0),0)</f>
        <v>0</v>
      </c>
      <c r="N5" s="390">
        <f>IFERROR(IF($A$1=11,MATCH($G$2,N$9:N$28,1),0),0)</f>
        <v>0</v>
      </c>
      <c r="O5" s="390">
        <f>IFERROR(IF($A$1=12,MATCH($G$2,O$9:O$28,1),0),0)</f>
        <v>0</v>
      </c>
      <c r="P5" s="390">
        <f>IFERROR(IF($A$1=13,MATCH($G$2,P$9:P$28,1),0),0)</f>
        <v>0</v>
      </c>
      <c r="Q5" s="390">
        <f>IFERROR(IF($A$1=14,MATCH($G$2,Q$9:Q$28,1),0),0)</f>
        <v>0</v>
      </c>
      <c r="R5" s="390">
        <f>IFERROR(IF($A$1=15,MATCH($G$2,R$9:R$28,1),0),0)</f>
        <v>0</v>
      </c>
      <c r="S5" s="390">
        <f>SUM(D5:R5)</f>
        <v>14</v>
      </c>
    </row>
    <row r="6" spans="1:42" x14ac:dyDescent="0.15">
      <c r="D6" s="390">
        <v>1</v>
      </c>
      <c r="E6" s="390">
        <v>2</v>
      </c>
      <c r="F6" s="390">
        <v>3</v>
      </c>
      <c r="G6" s="390">
        <v>4</v>
      </c>
      <c r="H6" s="390">
        <v>5</v>
      </c>
      <c r="I6" s="390">
        <v>6</v>
      </c>
      <c r="J6" s="390">
        <v>7</v>
      </c>
      <c r="K6" s="390">
        <v>8</v>
      </c>
      <c r="L6" s="390">
        <v>9</v>
      </c>
      <c r="M6" s="390">
        <v>10</v>
      </c>
      <c r="N6" s="390">
        <v>11</v>
      </c>
      <c r="O6" s="390">
        <v>12</v>
      </c>
      <c r="P6" s="390">
        <v>13</v>
      </c>
      <c r="Q6" s="390">
        <v>14</v>
      </c>
      <c r="R6" s="390">
        <v>15</v>
      </c>
    </row>
    <row r="7" spans="1:42" ht="16.5" customHeight="1" thickBot="1" x14ac:dyDescent="0.2">
      <c r="A7" s="395"/>
      <c r="B7" s="395"/>
      <c r="C7" s="395"/>
      <c r="D7" s="395"/>
      <c r="E7" s="395"/>
      <c r="F7" s="395"/>
      <c r="G7" s="395"/>
      <c r="H7" s="395" t="s">
        <v>197</v>
      </c>
      <c r="I7" s="395"/>
      <c r="J7" s="396"/>
      <c r="K7" s="396"/>
      <c r="L7" s="395"/>
      <c r="M7" s="395"/>
      <c r="N7" s="395"/>
      <c r="O7" s="395"/>
      <c r="P7" s="395"/>
      <c r="Q7" s="395"/>
      <c r="R7" s="395"/>
      <c r="S7" s="395"/>
      <c r="T7" s="395"/>
      <c r="AO7" s="395"/>
      <c r="AP7" s="395"/>
    </row>
    <row r="8" spans="1:42" ht="21.75" customHeight="1" thickBot="1" x14ac:dyDescent="0.2">
      <c r="C8" s="397"/>
      <c r="D8" s="398">
        <v>30</v>
      </c>
      <c r="E8" s="399">
        <v>35</v>
      </c>
      <c r="F8" s="399">
        <v>40</v>
      </c>
      <c r="G8" s="399">
        <v>45</v>
      </c>
      <c r="H8" s="399">
        <v>50</v>
      </c>
      <c r="I8" s="399">
        <v>55</v>
      </c>
      <c r="J8" s="399">
        <v>60</v>
      </c>
      <c r="K8" s="399">
        <v>65</v>
      </c>
      <c r="L8" s="399">
        <v>70</v>
      </c>
      <c r="M8" s="399">
        <v>75</v>
      </c>
      <c r="N8" s="399">
        <v>80</v>
      </c>
      <c r="O8" s="399">
        <v>85</v>
      </c>
      <c r="P8" s="399">
        <v>90</v>
      </c>
      <c r="Q8" s="399">
        <v>95</v>
      </c>
      <c r="R8" s="400">
        <v>100</v>
      </c>
      <c r="S8" s="390" t="s">
        <v>208</v>
      </c>
    </row>
    <row r="9" spans="1:42" s="395" customFormat="1" x14ac:dyDescent="0.15">
      <c r="A9" s="390"/>
      <c r="B9" s="390">
        <v>1</v>
      </c>
      <c r="C9" s="404">
        <v>50</v>
      </c>
      <c r="D9" s="405">
        <f>ROUND((6.25*(1/0.8*(0.2*$D$8^0.75+(30*(C9/1000))+(1.9*((C38*1000)/4750)/1000))))/0.9,0)</f>
        <v>41</v>
      </c>
      <c r="E9" s="406">
        <f>ROUND((6.25*(1/0.8*(0.2*$E$8^0.75+(30*(C9/1000))+(1.9*((D38*1000)/4750)/1000))))/0.9,0)</f>
        <v>44</v>
      </c>
      <c r="F9" s="406">
        <f>ROUND((6.25*(1/0.8*(0.2*$F$8^0.75+(30*(C9/1000))+(1.9*((E38*1000)/4750)/1000))))/0.9,0)</f>
        <v>48</v>
      </c>
      <c r="G9" s="406">
        <f>ROUND((6.25*(1/0.8*(0.2*$G$8^0.75+(30*(C9/1000))+(1.9*((F38*1000)/4750)/1000))))/0.9,0)</f>
        <v>51</v>
      </c>
      <c r="H9" s="406">
        <f>ROUND((6.25*(1/0.8*(0.2*$H$8^0.75+(30*(C9/1000))+(1.9*((G38*1000)/4750)/1000))))/0.9,0)</f>
        <v>54</v>
      </c>
      <c r="I9" s="406">
        <f>ROUND((6.25*(1/0.8*(0.2*$I$8^0.75+(30*(C9/1000))+(1.9*((H38*1000)/4750)/1000))))/0.9,0)</f>
        <v>57</v>
      </c>
      <c r="J9" s="406">
        <f>ROUND((6.25*(1/0.8*(0.2*$J$8^0.75+(30*(C9/1000))+(1.9*((I38*1000)/4750)/1000))))/0.9,0)</f>
        <v>60</v>
      </c>
      <c r="K9" s="406">
        <f>ROUND((6.25*(1/0.8*(0.2*$K$8^0.75+(30*(C9/1000))+(1.9*((J38*1000)/4750)/1000))))/0.9,0)</f>
        <v>63</v>
      </c>
      <c r="L9" s="406">
        <f>ROUND((6.25*(1/0.8*(0.2*$L$8^0.75+(30*(C9/1000))+(1.9*((K38*1000)/4750)/1000))))/0.9,0)</f>
        <v>66</v>
      </c>
      <c r="M9" s="406">
        <f>ROUND((6.25*(1/0.8*(0.2*$M$8^0.75+(30*(C9/1000))+(1.9*((L38*1000)/4750)/1000))))/0.9,0)</f>
        <v>68</v>
      </c>
      <c r="N9" s="406">
        <f>ROUND((6.25*(1/0.8*(0.2*$N$8^0.75+(30*(C9/1000))+(1.9*((M38*1000)/4750)/1000))))/0.9,0)</f>
        <v>71</v>
      </c>
      <c r="O9" s="406">
        <f>ROUND((6.25*(1/0.8*(0.2*$O$8^0.75+(30*(C9/1000))+(1.9*((N38*1000)/4750)/1000))))/0.9,0)</f>
        <v>74</v>
      </c>
      <c r="P9" s="406">
        <f>ROUND((6.25*(1/0.8*(0.2*$P$8^0.75+(30*(C9/1000))+(1.9*((O38*1000)/4750)/1000))))/0.9,0)</f>
        <v>76</v>
      </c>
      <c r="Q9" s="406">
        <f>ROUND((6.25*(1/0.8*(0.2*$Q$8^0.75+(30*(C9/1000))+(1.9*((P38*1000)/4750)/1000))))/0.9,0)</f>
        <v>79</v>
      </c>
      <c r="R9" s="407">
        <f>ROUND((6.25*(1/0.8*(0.2*$R$8^0.75+(30*(C9/1000))+(1.9*((Q38*1000)/4750)/1000))))/0.9,0)</f>
        <v>82</v>
      </c>
      <c r="S9" s="393">
        <f>C9</f>
        <v>50</v>
      </c>
      <c r="T9" s="393"/>
      <c r="AO9" s="390"/>
      <c r="AP9" s="390"/>
    </row>
    <row r="10" spans="1:42" x14ac:dyDescent="0.15">
      <c r="B10" s="390">
        <v>2</v>
      </c>
      <c r="C10" s="404">
        <v>100</v>
      </c>
      <c r="D10" s="410">
        <f>ROUND((6.25*(1/0.8*(0.2*$D$8^0.75+(30*(C10/1000))+(1.9*((C39*1000)/4750)/1000))))/0.9,0)</f>
        <v>54</v>
      </c>
      <c r="E10" s="411">
        <f>ROUND((6.25*(1/0.8*(0.2*$E$8^0.75+(30*(C10/1000))+(1.9*((D39*1000)/4750)/1000))))/0.9,0)</f>
        <v>58</v>
      </c>
      <c r="F10" s="411">
        <f>ROUND((6.25*(1/0.8*(0.2*$F$8^0.75+(30*(C10/1000))+(1.9*((E39*1000)/4750)/1000))))/0.9,0)</f>
        <v>61</v>
      </c>
      <c r="G10" s="411">
        <f>ROUND((6.25*(1/0.8*(0.2*$G$8^0.75+(30*(C10/1000))+(1.9*((F39*1000)/4750)/1000))))/0.9,0)</f>
        <v>64</v>
      </c>
      <c r="H10" s="411">
        <f>ROUND((6.25*(1/0.8*(0.2*$H$8^0.75+(30*(C10/1000))+(1.9*((G39*1000)/4750)/1000))))/0.9,0)</f>
        <v>67</v>
      </c>
      <c r="I10" s="411">
        <f>ROUND((6.25*(1/0.8*(0.2*$I$8^0.75+(30*(C10/1000))+(1.9*((H39*1000)/4750)/1000))))/0.9,0)</f>
        <v>70</v>
      </c>
      <c r="J10" s="411">
        <f>ROUND((6.25*(1/0.8*(0.2*$J$8^0.75+(30*(C10/1000))+(1.9*((I39*1000)/4750)/1000))))/0.9,0)</f>
        <v>73</v>
      </c>
      <c r="K10" s="411">
        <f>ROUND((6.25*(1/0.8*(0.2*$K$8^0.75+(30*(C10/1000))+(1.9*((J39*1000)/4750)/1000))))/0.9,0)</f>
        <v>76</v>
      </c>
      <c r="L10" s="411">
        <f>ROUND((6.25*(1/0.8*(0.2*$L$8^0.75+(30*(C10/1000))+(1.9*((K39*1000)/4750)/1000))))/0.9,0)</f>
        <v>79</v>
      </c>
      <c r="M10" s="411">
        <f>ROUND((6.25*(1/0.8*(0.2*$M$8^0.75+(30*(C10/1000))+(1.9*((L39*1000)/4750)/1000))))/0.9,0)</f>
        <v>82</v>
      </c>
      <c r="N10" s="411">
        <f>ROUND((6.25*(1/0.8*(0.2*$N$8^0.75+(30*(C10/1000))+(1.9*((M39*1000)/4750)/1000))))/0.9,0)</f>
        <v>85</v>
      </c>
      <c r="O10" s="411">
        <f>ROUND((6.25*(1/0.8*(0.2*$O$8^0.75+(30*(C10/1000))+(1.9*((N39*1000)/4750)/1000))))/0.9,0)</f>
        <v>87</v>
      </c>
      <c r="P10" s="411">
        <f>ROUND((6.25*(1/0.8*(0.2*$P$8^0.75+(30*(C10/1000))+(1.9*((O39*1000)/4750)/1000))))/0.9,0)</f>
        <v>90</v>
      </c>
      <c r="Q10" s="411">
        <f>ROUND((6.25*(1/0.8*(0.2*$Q$8^0.75+(30*(C10/1000))+(1.9*((P39*1000)/4750)/1000))))/0.9,0)</f>
        <v>93</v>
      </c>
      <c r="R10" s="412">
        <f>ROUND((6.25*(1/0.8*(0.2*$R$8^0.75+(30*(C10/1000))+(1.9*((Q39*1000)/4750)/1000))))/0.9,0)</f>
        <v>95</v>
      </c>
      <c r="S10" s="393">
        <f t="shared" ref="S10:S28" si="0">C10</f>
        <v>100</v>
      </c>
      <c r="T10" s="393"/>
    </row>
    <row r="11" spans="1:42" x14ac:dyDescent="0.15">
      <c r="B11" s="390">
        <v>3</v>
      </c>
      <c r="C11" s="404">
        <v>150</v>
      </c>
      <c r="D11" s="410">
        <f>ROUND((6.25*(1/0.8*(0.2*$D$8^0.75+(30*(C11/1000))+(1.9*((C40*1000)/4750)/1000))))/0.9,0)</f>
        <v>68</v>
      </c>
      <c r="E11" s="411">
        <f>ROUND((6.25*(1/0.8*(0.2*$E$8^0.75+(30*(C11/1000))+(1.9*((D40*1000)/4750)/1000))))/0.9,0)</f>
        <v>71</v>
      </c>
      <c r="F11" s="411">
        <f>ROUND((6.25*(1/0.8*(0.2*$F$8^0.75+(30*(C11/1000))+(1.9*((E40*1000)/4750)/1000))))/0.9,0)</f>
        <v>75</v>
      </c>
      <c r="G11" s="411">
        <f>ROUND((6.25*(1/0.8*(0.2*$G$8^0.75+(30*(C11/1000))+(1.9*((F40*1000)/4750)/1000))))/0.9,0)</f>
        <v>78</v>
      </c>
      <c r="H11" s="411">
        <f>ROUND((6.25*(1/0.8*(0.2*$H$8^0.75+(30*(C11/1000))+(1.9*((G40*1000)/4750)/1000))))/0.9,0)</f>
        <v>81</v>
      </c>
      <c r="I11" s="411">
        <f>ROUND((6.25*(1/0.8*(0.2*$I$8^0.75+(30*(C11/1000))+(1.9*((H40*1000)/4750)/1000))))/0.9,0)</f>
        <v>84</v>
      </c>
      <c r="J11" s="411">
        <f>ROUND((6.25*(1/0.8*(0.2*$J$8^0.75+(30*(C11/1000))+(1.9*((I40*1000)/4750)/1000))))/0.9,0)</f>
        <v>87</v>
      </c>
      <c r="K11" s="411">
        <f>ROUND((6.25*(1/0.8*(0.2*$K$8^0.75+(30*(C11/1000))+(1.9*((J40*1000)/4750)/1000))))/0.9,0)</f>
        <v>90</v>
      </c>
      <c r="L11" s="411">
        <f>ROUND((6.25*(1/0.8*(0.2*$L$8^0.75+(30*(C11/1000))+(1.9*((K40*1000)/4750)/1000))))/0.9,0)</f>
        <v>93</v>
      </c>
      <c r="M11" s="411">
        <f>ROUND((6.25*(1/0.8*(0.2*$M$8^0.75+(30*(C11/1000))+(1.9*((L40*1000)/4750)/1000))))/0.9,0)</f>
        <v>96</v>
      </c>
      <c r="N11" s="411">
        <f>ROUND((6.25*(1/0.8*(0.2*$N$8^0.75+(30*(C11/1000))+(1.9*((M40*1000)/4750)/1000))))/0.9,0)</f>
        <v>98</v>
      </c>
      <c r="O11" s="411">
        <f>ROUND((6.25*(1/0.8*(0.2*$O$8^0.75+(30*(C11/1000))+(1.9*((N40*1000)/4750)/1000))))/0.9,0)</f>
        <v>101</v>
      </c>
      <c r="P11" s="411">
        <f>ROUND((6.25*(1/0.8*(0.2*$P$8^0.75+(30*(C11/1000))+(1.9*((O40*1000)/4750)/1000))))/0.9,0)</f>
        <v>104</v>
      </c>
      <c r="Q11" s="411">
        <f>ROUND((6.25*(1/0.8*(0.2*$Q$8^0.75+(30*(C11/1000))+(1.9*((P40*1000)/4750)/1000))))/0.9,0)</f>
        <v>106</v>
      </c>
      <c r="R11" s="412">
        <f>ROUND((6.25*(1/0.8*(0.2*$R$8^0.75+(30*(C11/1000))+(1.9*((Q40*1000)/4750)/1000))))/0.9,0)</f>
        <v>109</v>
      </c>
      <c r="S11" s="393">
        <f t="shared" si="0"/>
        <v>150</v>
      </c>
      <c r="T11" s="393"/>
    </row>
    <row r="12" spans="1:42" x14ac:dyDescent="0.15">
      <c r="B12" s="390">
        <v>4</v>
      </c>
      <c r="C12" s="404">
        <v>200</v>
      </c>
      <c r="D12" s="410">
        <f>ROUND((6.25*(1/0.8*(0.2*$D$8^0.75+(30*(C12/1000))+(1.9*((C41*1000)/4750)/1000))))/0.9,0)</f>
        <v>81</v>
      </c>
      <c r="E12" s="411">
        <f>ROUND((6.25*(1/0.8*(0.2*$E$8^0.75+(30*(C12/1000))+(1.9*((D41*1000)/4750)/1000))))/0.9,0)</f>
        <v>85</v>
      </c>
      <c r="F12" s="411">
        <f>ROUND((6.25*(1/0.8*(0.2*$F$8^0.75+(30*(C12/1000))+(1.9*((E41*1000)/4750)/1000))))/0.9,0)</f>
        <v>88</v>
      </c>
      <c r="G12" s="411">
        <f>ROUND((6.25*(1/0.8*(0.2*$G$8^0.75+(30*(C12/1000))+(1.9*((F41*1000)/4750)/1000))))/0.9,0)</f>
        <v>91</v>
      </c>
      <c r="H12" s="411">
        <f>ROUND((6.25*(1/0.8*(0.2*$H$8^0.75+(30*(C12/1000))+(1.9*((G41*1000)/4750)/1000))))/0.9,0)</f>
        <v>95</v>
      </c>
      <c r="I12" s="411">
        <f>ROUND((6.25*(1/0.8*(0.2*$I$8^0.75+(30*(C12/1000))+(1.9*((H41*1000)/4750)/1000))))/0.9,0)</f>
        <v>98</v>
      </c>
      <c r="J12" s="411">
        <f>ROUND((6.25*(1/0.8*(0.2*$J$8^0.75+(30*(C12/1000))+(1.9*((I41*1000)/4750)/1000))))/0.9,0)</f>
        <v>101</v>
      </c>
      <c r="K12" s="411">
        <f>ROUND((6.25*(1/0.8*(0.2*$K$8^0.75+(30*(C12/1000))+(1.9*((J41*1000)/4750)/1000))))/0.9,0)</f>
        <v>104</v>
      </c>
      <c r="L12" s="411">
        <f>ROUND((6.25*(1/0.8*(0.2*$L$8^0.75+(30*(C12/1000))+(1.9*((K41*1000)/4750)/1000))))/0.9,0)</f>
        <v>106</v>
      </c>
      <c r="M12" s="411">
        <f>ROUND((6.25*(1/0.8*(0.2*$M$8^0.75+(30*(C12/1000))+(1.9*((L41*1000)/4750)/1000))))/0.9,0)</f>
        <v>109</v>
      </c>
      <c r="N12" s="411">
        <f>ROUND((6.25*(1/0.8*(0.2*$N$8^0.75+(30*(C12/1000))+(1.9*((M41*1000)/4750)/1000))))/0.9,0)</f>
        <v>112</v>
      </c>
      <c r="O12" s="411">
        <f>ROUND((6.25*(1/0.8*(0.2*$O$8^0.75+(30*(C12/1000))+(1.9*((N41*1000)/4750)/1000))))/0.9,0)</f>
        <v>115</v>
      </c>
      <c r="P12" s="411">
        <f>ROUND((6.25*(1/0.8*(0.2*$P$8^0.75+(30*(C12/1000))+(1.9*((O41*1000)/4750)/1000))))/0.9,0)</f>
        <v>117</v>
      </c>
      <c r="Q12" s="411">
        <f>ROUND((6.25*(1/0.8*(0.2*$Q$8^0.75+(30*(C12/1000))+(1.9*((P41*1000)/4750)/1000))))/0.9,0)</f>
        <v>120</v>
      </c>
      <c r="R12" s="412">
        <f>ROUND((6.25*(1/0.8*(0.2*$R$8^0.75+(30*(C12/1000))+(1.9*((Q41*1000)/4750)/1000))))/0.9,0)</f>
        <v>123</v>
      </c>
      <c r="S12" s="393">
        <f t="shared" si="0"/>
        <v>200</v>
      </c>
      <c r="T12" s="393"/>
    </row>
    <row r="13" spans="1:42" x14ac:dyDescent="0.15">
      <c r="B13" s="390">
        <v>5</v>
      </c>
      <c r="C13" s="404">
        <v>250</v>
      </c>
      <c r="D13" s="410">
        <f>ROUND((6.25*(1/0.8*(0.2*$D$8^0.75+(30*(C13/1000))+(1.9*((C42*1000)/4750)/1000))))/0.9,0)</f>
        <v>95</v>
      </c>
      <c r="E13" s="411">
        <f>ROUND((6.25*(1/0.8*(0.2*$E$8^0.75+(30*(C13/1000))+(1.9*((D42*1000)/4750)/1000))))/0.9,0)</f>
        <v>98</v>
      </c>
      <c r="F13" s="411">
        <f>ROUND((6.25*(1/0.8*(0.2*$F$8^0.75+(30*(C13/1000))+(1.9*((E42*1000)/4750)/1000))))/0.9,0)</f>
        <v>102</v>
      </c>
      <c r="G13" s="411">
        <f>ROUND((6.25*(1/0.8*(0.2*$G$8^0.75+(30*(C13/1000))+(1.9*((F42*1000)/4750)/1000))))/0.9,0)</f>
        <v>105</v>
      </c>
      <c r="H13" s="411">
        <f>ROUND((6.25*(1/0.8*(0.2*$H$8^0.75+(30*(C13/1000))+(1.9*((G42*1000)/4750)/1000))))/0.9,0)</f>
        <v>108</v>
      </c>
      <c r="I13" s="411">
        <f>ROUND((6.25*(1/0.8*(0.2*$I$8^0.75+(30*(C13/1000))+(1.9*((H42*1000)/4750)/1000))))/0.9,0)</f>
        <v>111</v>
      </c>
      <c r="J13" s="411">
        <f>ROUND((6.25*(1/0.8*(0.2*$J$8^0.75+(30*(C13/1000))+(1.9*((I42*1000)/4750)/1000))))/0.9,0)</f>
        <v>114</v>
      </c>
      <c r="K13" s="411">
        <f>ROUND((6.25*(1/0.8*(0.2*$K$8^0.75+(30*(C13/1000))+(1.9*((J42*1000)/4750)/1000))))/0.9,0)</f>
        <v>117</v>
      </c>
      <c r="L13" s="411">
        <f>ROUND((6.25*(1/0.8*(0.2*$L$8^0.75+(30*(C13/1000))+(1.9*((K42*1000)/4750)/1000))))/0.9,0)</f>
        <v>120</v>
      </c>
      <c r="M13" s="411">
        <f>ROUND((6.25*(1/0.8*(0.2*$M$8^0.75+(30*(C13/1000))+(1.9*((L42*1000)/4750)/1000))))/0.9,0)</f>
        <v>123</v>
      </c>
      <c r="N13" s="411">
        <f>ROUND((6.25*(1/0.8*(0.2*$N$8^0.75+(30*(C13/1000))+(1.9*((M42*1000)/4750)/1000))))/0.9,0)</f>
        <v>126</v>
      </c>
      <c r="O13" s="411">
        <f>ROUND((6.25*(1/0.8*(0.2*$O$8^0.75+(30*(C13/1000))+(1.9*((N42*1000)/4750)/1000))))/0.9,0)</f>
        <v>129</v>
      </c>
      <c r="P13" s="411">
        <f>ROUND((6.25*(1/0.8*(0.2*$P$8^0.75+(30*(C13/1000))+(1.9*((O42*1000)/4750)/1000))))/0.9,0)</f>
        <v>131</v>
      </c>
      <c r="Q13" s="411">
        <f>ROUND((6.25*(1/0.8*(0.2*$Q$8^0.75+(30*(C13/1000))+(1.9*((P42*1000)/4750)/1000))))/0.9,0)</f>
        <v>134</v>
      </c>
      <c r="R13" s="412">
        <f>ROUND((6.25*(1/0.8*(0.2*$R$8^0.75+(30*(C13/1000))+(1.9*((Q42*1000)/4750)/1000))))/0.9,0)</f>
        <v>137</v>
      </c>
      <c r="S13" s="393">
        <f t="shared" si="0"/>
        <v>250</v>
      </c>
      <c r="T13" s="393"/>
    </row>
    <row r="14" spans="1:42" x14ac:dyDescent="0.15">
      <c r="B14" s="390">
        <v>6</v>
      </c>
      <c r="C14" s="404">
        <v>300</v>
      </c>
      <c r="D14" s="410">
        <f>ROUND((6.25*(1/0.8*(0.2*$D$8^0.75+(30*(C14/1000))+(1.9*((C43*1000)/4750)/1000))))/0.9,0)</f>
        <v>108</v>
      </c>
      <c r="E14" s="411">
        <f>ROUND((6.25*(1/0.8*(0.2*$E$8^0.75+(30*(C14/1000))+(1.9*((D43*1000)/4750)/1000))))/0.9,0)</f>
        <v>112</v>
      </c>
      <c r="F14" s="411">
        <f>ROUND((6.25*(1/0.8*(0.2*$F$8^0.75+(30*(C14/1000))+(1.9*((E43*1000)/4750)/1000))))/0.9,0)</f>
        <v>115</v>
      </c>
      <c r="G14" s="411">
        <f>ROUND((6.25*(1/0.8*(0.2*$G$8^0.75+(30*(C14/1000))+(1.9*((F43*1000)/4750)/1000))))/0.9,0)</f>
        <v>119</v>
      </c>
      <c r="H14" s="411">
        <f>ROUND((6.25*(1/0.8*(0.2*$H$8^0.75+(30*(C14/1000))+(1.9*((G43*1000)/4750)/1000))))/0.9,0)</f>
        <v>122</v>
      </c>
      <c r="I14" s="411">
        <f>ROUND((6.25*(1/0.8*(0.2*$I$8^0.75+(30*(C14/1000))+(1.9*((H43*1000)/4750)/1000))))/0.9,0)</f>
        <v>125</v>
      </c>
      <c r="J14" s="411">
        <f>ROUND((6.25*(1/0.8*(0.2*$J$8^0.75+(30*(C14/1000))+(1.9*((I43*1000)/4750)/1000))))/0.9,0)</f>
        <v>128</v>
      </c>
      <c r="K14" s="411">
        <f>ROUND((6.25*(1/0.8*(0.2*$K$8^0.75+(30*(C14/1000))+(1.9*((J43*1000)/4750)/1000))))/0.9,0)</f>
        <v>131</v>
      </c>
      <c r="L14" s="411">
        <f>ROUND((6.25*(1/0.8*(0.2*$L$8^0.75+(30*(C14/1000))+(1.9*((K43*1000)/4750)/1000))))/0.9,0)</f>
        <v>134</v>
      </c>
      <c r="M14" s="411">
        <f>ROUND((6.25*(1/0.8*(0.2*$M$8^0.75+(30*(C14/1000))+(1.9*((L43*1000)/4750)/1000))))/0.9,0)</f>
        <v>137</v>
      </c>
      <c r="N14" s="411">
        <f>ROUND((6.25*(1/0.8*(0.2*$N$8^0.75+(30*(C14/1000))+(1.9*((M43*1000)/4750)/1000))))/0.9,0)</f>
        <v>140</v>
      </c>
      <c r="O14" s="411">
        <f>ROUND((6.25*(1/0.8*(0.2*$O$8^0.75+(30*(C14/1000))+(1.9*((N43*1000)/4750)/1000))))/0.9,0)</f>
        <v>142</v>
      </c>
      <c r="P14" s="411">
        <f>ROUND((6.25*(1/0.8*(0.2*$P$8^0.75+(30*(C14/1000))+(1.9*((O43*1000)/4750)/1000))))/0.9,0)</f>
        <v>145</v>
      </c>
      <c r="Q14" s="411">
        <f>ROUND((6.25*(1/0.8*(0.2*$Q$8^0.75+(30*(C14/1000))+(1.9*((P43*1000)/4750)/1000))))/0.9,0)</f>
        <v>148</v>
      </c>
      <c r="R14" s="412">
        <f>ROUND((6.25*(1/0.8*(0.2*$R$8^0.75+(30*(C14/1000))+(1.9*((Q43*1000)/4750)/1000))))/0.9,0)</f>
        <v>150</v>
      </c>
      <c r="S14" s="393">
        <f t="shared" si="0"/>
        <v>300</v>
      </c>
      <c r="T14" s="393"/>
    </row>
    <row r="15" spans="1:42" x14ac:dyDescent="0.15">
      <c r="B15" s="390">
        <v>7</v>
      </c>
      <c r="C15" s="404">
        <v>350</v>
      </c>
      <c r="D15" s="410">
        <f>ROUND((6.25*(1/0.8*(0.2*$D$8^0.75+(30*(C15/1000))+(1.9*((C44*1000)/4750)/1000))))/0.9,0)</f>
        <v>122</v>
      </c>
      <c r="E15" s="411">
        <f>ROUND((6.25*(1/0.8*(0.2*$E$8^0.75+(30*(C15/1000))+(1.9*((D44*1000)/4750)/1000))))/0.9,0)</f>
        <v>126</v>
      </c>
      <c r="F15" s="411">
        <f>ROUND((6.25*(1/0.8*(0.2*$F$8^0.75+(30*(C15/1000))+(1.9*((E44*1000)/4750)/1000))))/0.9,0)</f>
        <v>129</v>
      </c>
      <c r="G15" s="411">
        <f>ROUND((6.25*(1/0.8*(0.2*$G$8^0.75+(30*(C15/1000))+(1.9*((F44*1000)/4750)/1000))))/0.9,0)</f>
        <v>132</v>
      </c>
      <c r="H15" s="411">
        <f>ROUND((6.25*(1/0.8*(0.2*$H$8^0.75+(30*(C15/1000))+(1.9*((G44*1000)/4750)/1000))))/0.9,0)</f>
        <v>136</v>
      </c>
      <c r="I15" s="411">
        <f>ROUND((6.25*(1/0.8*(0.2*$I$8^0.75+(30*(C15/1000))+(1.9*((H44*1000)/4750)/1000))))/0.9,0)</f>
        <v>139</v>
      </c>
      <c r="J15" s="411">
        <f>ROUND((6.25*(1/0.8*(0.2*$J$8^0.75+(30*(C15/1000))+(1.9*((I44*1000)/4750)/1000))))/0.9,0)</f>
        <v>142</v>
      </c>
      <c r="K15" s="411">
        <f>ROUND((6.25*(1/0.8*(0.2*$K$8^0.75+(30*(C15/1000))+(1.9*((J44*1000)/4750)/1000))))/0.9,0)</f>
        <v>145</v>
      </c>
      <c r="L15" s="411">
        <f>ROUND((6.25*(1/0.8*(0.2*$L$8^0.75+(30*(C15/1000))+(1.9*((K44*1000)/4750)/1000))))/0.9,0)</f>
        <v>148</v>
      </c>
      <c r="M15" s="411">
        <f>ROUND((6.25*(1/0.8*(0.2*$M$8^0.75+(30*(C15/1000))+(1.9*((L44*1000)/4750)/1000))))/0.9,0)</f>
        <v>151</v>
      </c>
      <c r="N15" s="411">
        <f>ROUND((6.25*(1/0.8*(0.2*$N$8^0.75+(30*(C15/1000))+(1.9*((M44*1000)/4750)/1000))))/0.9,0)</f>
        <v>153</v>
      </c>
      <c r="O15" s="411">
        <f>ROUND((6.25*(1/0.8*(0.2*$O$8^0.75+(30*(C15/1000))+(1.9*((N44*1000)/4750)/1000))))/0.9,0)</f>
        <v>156</v>
      </c>
      <c r="P15" s="411">
        <f>ROUND((6.25*(1/0.8*(0.2*$P$8^0.75+(30*(C15/1000))+(1.9*((O44*1000)/4750)/1000))))/0.9,0)</f>
        <v>159</v>
      </c>
      <c r="Q15" s="411">
        <f>ROUND((6.25*(1/0.8*(0.2*$Q$8^0.75+(30*(C15/1000))+(1.9*((P44*1000)/4750)/1000))))/0.9,0)</f>
        <v>162</v>
      </c>
      <c r="R15" s="412">
        <f>ROUND((6.25*(1/0.8*(0.2*$R$8^0.75+(30*(C15/1000))+(1.9*((Q44*1000)/4750)/1000))))/0.9,0)</f>
        <v>164</v>
      </c>
      <c r="S15" s="393">
        <f t="shared" si="0"/>
        <v>350</v>
      </c>
      <c r="T15" s="393"/>
    </row>
    <row r="16" spans="1:42" x14ac:dyDescent="0.15">
      <c r="B16" s="390">
        <v>8</v>
      </c>
      <c r="C16" s="404">
        <v>400</v>
      </c>
      <c r="D16" s="410">
        <f>ROUND((6.25*(1/0.8*(0.2*$D$8^0.75+(30*(C16/1000))+(1.9*((C45*1000)/4750)/1000))))/0.9,0)</f>
        <v>136</v>
      </c>
      <c r="E16" s="411">
        <f>ROUND((6.25*(1/0.8*(0.2*$E$8^0.75+(30*(C16/1000))+(1.9*((D45*1000)/4750)/1000))))/0.9,0)</f>
        <v>139</v>
      </c>
      <c r="F16" s="411">
        <f>ROUND((6.25*(1/0.8*(0.2*$F$8^0.75+(30*(C16/1000))+(1.9*((E45*1000)/4750)/1000))))/0.9,0)</f>
        <v>143</v>
      </c>
      <c r="G16" s="411">
        <f>ROUND((6.25*(1/0.8*(0.2*$G$8^0.75+(30*(C16/1000))+(1.9*((F45*1000)/4750)/1000))))/0.9,0)</f>
        <v>146</v>
      </c>
      <c r="H16" s="411">
        <f>ROUND((6.25*(1/0.8*(0.2*$H$8^0.75+(30*(C16/1000))+(1.9*((G45*1000)/4750)/1000))))/0.9,0)</f>
        <v>149</v>
      </c>
      <c r="I16" s="411">
        <f>ROUND((6.25*(1/0.8*(0.2*$I$8^0.75+(30*(C16/1000))+(1.9*((H45*1000)/4750)/1000))))/0.9,0)</f>
        <v>152</v>
      </c>
      <c r="J16" s="411">
        <f>ROUND((6.25*(1/0.8*(0.2*$J$8^0.75+(30*(C16/1000))+(1.9*((I45*1000)/4750)/1000))))/0.9,0)</f>
        <v>156</v>
      </c>
      <c r="K16" s="411">
        <f>ROUND((6.25*(1/0.8*(0.2*$K$8^0.75+(30*(C16/1000))+(1.9*((J45*1000)/4750)/1000))))/0.9,0)</f>
        <v>159</v>
      </c>
      <c r="L16" s="411">
        <f>ROUND((6.25*(1/0.8*(0.2*$L$8^0.75+(30*(C16/1000))+(1.9*((K45*1000)/4750)/1000))))/0.9,0)</f>
        <v>162</v>
      </c>
      <c r="M16" s="411">
        <f>ROUND((6.25*(1/0.8*(0.2*$M$8^0.75+(30*(C16/1000))+(1.9*((L45*1000)/4750)/1000))))/0.9,0)</f>
        <v>164</v>
      </c>
      <c r="N16" s="411">
        <f>ROUND((6.25*(1/0.8*(0.2*$N$8^0.75+(30*(C16/1000))+(1.9*((M45*1000)/4750)/1000))))/0.9,0)</f>
        <v>167</v>
      </c>
      <c r="O16" s="411">
        <f>ROUND((6.25*(1/0.8*(0.2*$O$8^0.75+(30*(C16/1000))+(1.9*((N45*1000)/4750)/1000))))/0.9,0)</f>
        <v>170</v>
      </c>
      <c r="P16" s="411">
        <f>ROUND((6.25*(1/0.8*(0.2*$P$8^0.75+(30*(C16/1000))+(1.9*((O45*1000)/4750)/1000))))/0.9,0)</f>
        <v>173</v>
      </c>
      <c r="Q16" s="411">
        <f>ROUND((6.25*(1/0.8*(0.2*$Q$8^0.75+(30*(C16/1000))+(1.9*((P45*1000)/4750)/1000))))/0.9,0)</f>
        <v>176</v>
      </c>
      <c r="R16" s="412">
        <f>ROUND((6.25*(1/0.8*(0.2*$R$8^0.75+(30*(C16/1000))+(1.9*((Q45*1000)/4750)/1000))))/0.9,0)</f>
        <v>178</v>
      </c>
      <c r="S16" s="393">
        <f t="shared" si="0"/>
        <v>400</v>
      </c>
      <c r="T16" s="393"/>
    </row>
    <row r="17" spans="2:20" x14ac:dyDescent="0.15">
      <c r="B17" s="390">
        <v>9</v>
      </c>
      <c r="C17" s="404">
        <v>450</v>
      </c>
      <c r="D17" s="410">
        <f>ROUND((6.25*(1/0.8*(0.2*$D$8^0.75+(30*(C17/1000))+(1.9*((C46*1000)/4750)/1000))))/0.9,0)</f>
        <v>149</v>
      </c>
      <c r="E17" s="411">
        <f>ROUND((6.25*(1/0.8*(0.2*$E$8^0.75+(30*(C17/1000))+(1.9*((D46*1000)/4750)/1000))))/0.9,0)</f>
        <v>153</v>
      </c>
      <c r="F17" s="411">
        <f>ROUND((6.25*(1/0.8*(0.2*$F$8^0.75+(30*(C17/1000))+(1.9*((E46*1000)/4750)/1000))))/0.9,0)</f>
        <v>156</v>
      </c>
      <c r="G17" s="411">
        <f>ROUND((6.25*(1/0.8*(0.2*$G$8^0.75+(30*(C17/1000))+(1.9*((F46*1000)/4750)/1000))))/0.9,0)</f>
        <v>160</v>
      </c>
      <c r="H17" s="411">
        <f>ROUND((6.25*(1/0.8*(0.2*$H$8^0.75+(30*(C17/1000))+(1.9*((G46*1000)/4750)/1000))))/0.9,0)</f>
        <v>163</v>
      </c>
      <c r="I17" s="411">
        <f>ROUND((6.25*(1/0.8*(0.2*$I$8^0.75+(30*(C17/1000))+(1.9*((H46*1000)/4750)/1000))))/0.9,0)</f>
        <v>166</v>
      </c>
      <c r="J17" s="411">
        <f>ROUND((6.25*(1/0.8*(0.2*$J$8^0.75+(30*(C17/1000))+(1.9*((I46*1000)/4750)/1000))))/0.9,0)</f>
        <v>169</v>
      </c>
      <c r="K17" s="411">
        <f>ROUND((6.25*(1/0.8*(0.2*$K$8^0.75+(30*(C17/1000))+(1.9*((J46*1000)/4750)/1000))))/0.9,0)</f>
        <v>172</v>
      </c>
      <c r="L17" s="411">
        <f>ROUND((6.25*(1/0.8*(0.2*$L$8^0.75+(30*(C17/1000))+(1.9*((K46*1000)/4750)/1000))))/0.9,0)</f>
        <v>175</v>
      </c>
      <c r="M17" s="411">
        <f>ROUND((6.25*(1/0.8*(0.2*$M$8^0.75+(30*(C17/1000))+(1.9*((L46*1000)/4750)/1000))))/0.9,0)</f>
        <v>178</v>
      </c>
      <c r="N17" s="411">
        <f>ROUND((6.25*(1/0.8*(0.2*$N$8^0.75+(30*(C17/1000))+(1.9*((M46*1000)/4750)/1000))))/0.9,0)</f>
        <v>181</v>
      </c>
      <c r="O17" s="411">
        <f>ROUND((6.25*(1/0.8*(0.2*$O$8^0.75+(30*(C17/1000))+(1.9*((N46*1000)/4750)/1000))))/0.9,0)</f>
        <v>184</v>
      </c>
      <c r="P17" s="411">
        <f>ROUND((6.25*(1/0.8*(0.2*$P$8^0.75+(30*(C17/1000))+(1.9*((O46*1000)/4750)/1000))))/0.9,0)</f>
        <v>187</v>
      </c>
      <c r="Q17" s="411">
        <f>ROUND((6.25*(1/0.8*(0.2*$Q$8^0.75+(30*(C17/1000))+(1.9*((P46*1000)/4750)/1000))))/0.9,0)</f>
        <v>189</v>
      </c>
      <c r="R17" s="412">
        <f>ROUND((6.25*(1/0.8*(0.2*$R$8^0.75+(30*(C17/1000))+(1.9*((Q46*1000)/4750)/1000))))/0.9,0)</f>
        <v>192</v>
      </c>
      <c r="S17" s="393">
        <f t="shared" si="0"/>
        <v>450</v>
      </c>
      <c r="T17" s="393"/>
    </row>
    <row r="18" spans="2:20" x14ac:dyDescent="0.15">
      <c r="B18" s="390">
        <v>10</v>
      </c>
      <c r="C18" s="404">
        <v>500</v>
      </c>
      <c r="D18" s="410">
        <f>ROUND((6.25*(1/0.8*(0.2*$D$8^0.75+(30*(C18/1000))+(1.9*((C47*1000)/4750)/1000))))/0.9,0)</f>
        <v>163</v>
      </c>
      <c r="E18" s="411">
        <f>ROUND((6.25*(1/0.8*(0.2*$E$8^0.75+(30*(C18/1000))+(1.9*((D47*1000)/4750)/1000))))/0.9,0)</f>
        <v>167</v>
      </c>
      <c r="F18" s="411">
        <f>ROUND((6.25*(1/0.8*(0.2*$F$8^0.75+(30*(C18/1000))+(1.9*((E47*1000)/4750)/1000))))/0.9,0)</f>
        <v>170</v>
      </c>
      <c r="G18" s="411">
        <f>ROUND((6.25*(1/0.8*(0.2*$G$8^0.75+(30*(C18/1000))+(1.9*((F47*1000)/4750)/1000))))/0.9,0)</f>
        <v>173</v>
      </c>
      <c r="H18" s="411">
        <f>ROUND((6.25*(1/0.8*(0.2*$H$8^0.75+(30*(C18/1000))+(1.9*((G47*1000)/4750)/1000))))/0.9,0)</f>
        <v>177</v>
      </c>
      <c r="I18" s="411">
        <f>ROUND((6.25*(1/0.8*(0.2*$I$8^0.75+(30*(C18/1000))+(1.9*((H47*1000)/4750)/1000))))/0.9,0)</f>
        <v>180</v>
      </c>
      <c r="J18" s="411">
        <f>ROUND((6.25*(1/0.8*(0.2*$J$8^0.75+(30*(C18/1000))+(1.9*((I47*1000)/4750)/1000))))/0.9,0)</f>
        <v>183</v>
      </c>
      <c r="K18" s="411">
        <f>ROUND((6.25*(1/0.8*(0.2*$K$8^0.75+(30*(C18/1000))+(1.9*((J47*1000)/4750)/1000))))/0.9,0)</f>
        <v>186</v>
      </c>
      <c r="L18" s="411">
        <f>ROUND((6.25*(1/0.8*(0.2*$L$8^0.75+(30*(C18/1000))+(1.9*((K47*1000)/4750)/1000))))/0.9,0)</f>
        <v>189</v>
      </c>
      <c r="M18" s="411">
        <f>ROUND((6.25*(1/0.8*(0.2*$M$8^0.75+(30*(C18/1000))+(1.9*((L47*1000)/4750)/1000))))/0.9,0)</f>
        <v>192</v>
      </c>
      <c r="N18" s="411">
        <f>ROUND((6.25*(1/0.8*(0.2*$N$8^0.75+(30*(C18/1000))+(1.9*((M47*1000)/4750)/1000))))/0.9,0)</f>
        <v>195</v>
      </c>
      <c r="O18" s="411">
        <f>ROUND((6.25*(1/0.8*(0.2*$O$8^0.75+(30*(C18/1000))+(1.9*((N47*1000)/4750)/1000))))/0.9,0)</f>
        <v>198</v>
      </c>
      <c r="P18" s="411">
        <f>ROUND((6.25*(1/0.8*(0.2*$P$8^0.75+(30*(C18/1000))+(1.9*((O47*1000)/4750)/1000))))/0.9,0)</f>
        <v>201</v>
      </c>
      <c r="Q18" s="411">
        <f>ROUND((6.25*(1/0.8*(0.2*$Q$8^0.75+(30*(C18/1000))+(1.9*((P47*1000)/4750)/1000))))/0.9,0)</f>
        <v>203</v>
      </c>
      <c r="R18" s="412">
        <f>ROUND((6.25*(1/0.8*(0.2*$R$8^0.75+(30*(C18/1000))+(1.9*((Q47*1000)/4750)/1000))))/0.9,0)</f>
        <v>206</v>
      </c>
      <c r="S18" s="393">
        <f t="shared" si="0"/>
        <v>500</v>
      </c>
      <c r="T18" s="393"/>
    </row>
    <row r="19" spans="2:20" x14ac:dyDescent="0.15">
      <c r="B19" s="390">
        <v>11</v>
      </c>
      <c r="C19" s="404">
        <v>550</v>
      </c>
      <c r="D19" s="410">
        <f>ROUND((6.25*(1/0.8*(0.2*$D$8^0.75+(30*(C19/1000))+(1.9*((C48*1000)/4750)/1000))))/0.9,0)</f>
        <v>177</v>
      </c>
      <c r="E19" s="411">
        <f>ROUND((6.25*(1/0.8*(0.2*$E$8^0.75+(30*(C19/1000))+(1.9*((D48*1000)/4750)/1000))))/0.9,0)</f>
        <v>180</v>
      </c>
      <c r="F19" s="411">
        <f>ROUND((6.25*(1/0.8*(0.2*$F$8^0.75+(30*(C19/1000))+(1.9*((E48*1000)/4750)/1000))))/0.9,0)</f>
        <v>184</v>
      </c>
      <c r="G19" s="411">
        <f>ROUND((6.25*(1/0.8*(0.2*$G$8^0.75+(30*(C19/1000))+(1.9*((F48*1000)/4750)/1000))))/0.9,0)</f>
        <v>187</v>
      </c>
      <c r="H19" s="411">
        <f>ROUND((6.25*(1/0.8*(0.2*$H$8^0.75+(30*(C19/1000))+(1.9*((G48*1000)/4750)/1000))))/0.9,0)</f>
        <v>191</v>
      </c>
      <c r="I19" s="411">
        <f>ROUND((6.25*(1/0.8*(0.2*$I$8^0.75+(30*(C19/1000))+(1.9*((H48*1000)/4750)/1000))))/0.9,0)</f>
        <v>194</v>
      </c>
      <c r="J19" s="411">
        <f>ROUND((6.25*(1/0.8*(0.2*$J$8^0.75+(30*(C19/1000))+(1.9*((I48*1000)/4750)/1000))))/0.9,0)</f>
        <v>197</v>
      </c>
      <c r="K19" s="411">
        <f>ROUND((6.25*(1/0.8*(0.2*$K$8^0.75+(30*(C19/1000))+(1.9*((J48*1000)/4750)/1000))))/0.9,0)</f>
        <v>200</v>
      </c>
      <c r="L19" s="411">
        <f>ROUND((6.25*(1/0.8*(0.2*$L$8^0.75+(30*(C19/1000))+(1.9*((K48*1000)/4750)/1000))))/0.9,0)</f>
        <v>203</v>
      </c>
      <c r="M19" s="411">
        <f>ROUND((6.25*(1/0.8*(0.2*$M$8^0.75+(30*(C19/1000))+(1.9*((L48*1000)/4750)/1000))))/0.9,0)</f>
        <v>206</v>
      </c>
      <c r="N19" s="411">
        <f>ROUND((6.25*(1/0.8*(0.2*$N$8^0.75+(30*(C19/1000))+(1.9*((M48*1000)/4750)/1000))))/0.9,0)</f>
        <v>209</v>
      </c>
      <c r="O19" s="411">
        <f>ROUND((6.25*(1/0.8*(0.2*$O$8^0.75+(30*(C19/1000))+(1.9*((N48*1000)/4750)/1000))))/0.9,0)</f>
        <v>212</v>
      </c>
      <c r="P19" s="411">
        <f>ROUND((6.25*(1/0.8*(0.2*$P$8^0.75+(30*(C19/1000))+(1.9*((O48*1000)/4750)/1000))))/0.9,0)</f>
        <v>215</v>
      </c>
      <c r="Q19" s="411">
        <f>ROUND((6.25*(1/0.8*(0.2*$Q$8^0.75+(30*(C19/1000))+(1.9*((P48*1000)/4750)/1000))))/0.9,0)</f>
        <v>217</v>
      </c>
      <c r="R19" s="412">
        <f>ROUND((6.25*(1/0.8*(0.2*$R$8^0.75+(30*(C19/1000))+(1.9*((Q48*1000)/4750)/1000))))/0.9,0)</f>
        <v>220</v>
      </c>
      <c r="S19" s="393">
        <f t="shared" si="0"/>
        <v>550</v>
      </c>
      <c r="T19" s="393"/>
    </row>
    <row r="20" spans="2:20" x14ac:dyDescent="0.15">
      <c r="B20" s="390">
        <v>12</v>
      </c>
      <c r="C20" s="404">
        <v>600</v>
      </c>
      <c r="D20" s="410">
        <f>ROUND((6.25*(1/0.8*(0.2*$D$8^0.75+(30*(C20/1000))+(1.9*((C49*1000)/4750)/1000))))/0.9,0)</f>
        <v>190</v>
      </c>
      <c r="E20" s="411">
        <f>ROUND((6.25*(1/0.8*(0.2*$E$8^0.75+(30*(C20/1000))+(1.9*((D49*1000)/4750)/1000))))/0.9,0)</f>
        <v>194</v>
      </c>
      <c r="F20" s="411">
        <f>ROUND((6.25*(1/0.8*(0.2*$F$8^0.75+(30*(C20/1000))+(1.9*((E49*1000)/4750)/1000))))/0.9,0)</f>
        <v>198</v>
      </c>
      <c r="G20" s="411">
        <f>ROUND((6.25*(1/0.8*(0.2*$G$8^0.75+(30*(C20/1000))+(1.9*((F49*1000)/4750)/1000))))/0.9,0)</f>
        <v>201</v>
      </c>
      <c r="H20" s="411">
        <f>ROUND((6.25*(1/0.8*(0.2*$H$8^0.75+(30*(C20/1000))+(1.9*((G49*1000)/4750)/1000))))/0.9,0)</f>
        <v>204</v>
      </c>
      <c r="I20" s="411">
        <f>ROUND((6.25*(1/0.8*(0.2*$I$8^0.75+(30*(C20/1000))+(1.9*((H49*1000)/4750)/1000))))/0.9,0)</f>
        <v>208</v>
      </c>
      <c r="J20" s="411">
        <f>ROUND((6.25*(1/0.8*(0.2*$J$8^0.75+(30*(C20/1000))+(1.9*((I49*1000)/4750)/1000))))/0.9,0)</f>
        <v>211</v>
      </c>
      <c r="K20" s="411">
        <f>ROUND((6.25*(1/0.8*(0.2*$K$8^0.75+(30*(C20/1000))+(1.9*((J49*1000)/4750)/1000))))/0.9,0)</f>
        <v>214</v>
      </c>
      <c r="L20" s="411">
        <f>ROUND((6.25*(1/0.8*(0.2*$L$8^0.75+(30*(C20/1000))+(1.9*((K49*1000)/4750)/1000))))/0.9,0)</f>
        <v>217</v>
      </c>
      <c r="M20" s="411">
        <f>ROUND((6.25*(1/0.8*(0.2*$M$8^0.75+(30*(C20/1000))+(1.9*((L49*1000)/4750)/1000))))/0.9,0)</f>
        <v>220</v>
      </c>
      <c r="N20" s="411">
        <f>ROUND((6.25*(1/0.8*(0.2*$N$8^0.75+(30*(C20/1000))+(1.9*((M49*1000)/4750)/1000))))/0.9,0)</f>
        <v>223</v>
      </c>
      <c r="O20" s="411">
        <f>ROUND((6.25*(1/0.8*(0.2*$O$8^0.75+(30*(C20/1000))+(1.9*((N49*1000)/4750)/1000))))/0.9,0)</f>
        <v>226</v>
      </c>
      <c r="P20" s="411">
        <f>ROUND((6.25*(1/0.8*(0.2*$P$8^0.75+(30*(C20/1000))+(1.9*((O49*1000)/4750)/1000))))/0.9,0)</f>
        <v>229</v>
      </c>
      <c r="Q20" s="411">
        <f>ROUND((6.25*(1/0.8*(0.2*$Q$8^0.75+(30*(C20/1000))+(1.9*((P49*1000)/4750)/1000))))/0.9,0)</f>
        <v>231</v>
      </c>
      <c r="R20" s="412">
        <f>ROUND((6.25*(1/0.8*(0.2*$R$8^0.75+(30*(C20/1000))+(1.9*((Q49*1000)/4750)/1000))))/0.9,0)</f>
        <v>234</v>
      </c>
      <c r="S20" s="393">
        <f t="shared" si="0"/>
        <v>600</v>
      </c>
      <c r="T20" s="393"/>
    </row>
    <row r="21" spans="2:20" x14ac:dyDescent="0.15">
      <c r="B21" s="390">
        <v>13</v>
      </c>
      <c r="C21" s="404">
        <v>650</v>
      </c>
      <c r="D21" s="410">
        <f>ROUND((6.25*(1/0.8*(0.2*$D$8^0.75+(30*(C21/1000))+(1.9*((C50*1000)/4750)/1000))))/0.9,0)</f>
        <v>204</v>
      </c>
      <c r="E21" s="411">
        <f>ROUND((6.25*(1/0.8*(0.2*$E$8^0.75+(30*(C21/1000))+(1.9*((D50*1000)/4750)/1000))))/0.9,0)</f>
        <v>208</v>
      </c>
      <c r="F21" s="411">
        <f>ROUND((6.25*(1/0.8*(0.2*$F$8^0.75+(30*(C21/1000))+(1.9*((E50*1000)/4750)/1000))))/0.9,0)</f>
        <v>211</v>
      </c>
      <c r="G21" s="411">
        <f>ROUND((6.25*(1/0.8*(0.2*$G$8^0.75+(30*(C21/1000))+(1.9*((F50*1000)/4750)/1000))))/0.9,0)</f>
        <v>215</v>
      </c>
      <c r="H21" s="411">
        <f>ROUND((6.25*(1/0.8*(0.2*$H$8^0.75+(30*(C21/1000))+(1.9*((G50*1000)/4750)/1000))))/0.9,0)</f>
        <v>218</v>
      </c>
      <c r="I21" s="411">
        <f>ROUND((6.25*(1/0.8*(0.2*$I$8^0.75+(30*(C21/1000))+(1.9*((H50*1000)/4750)/1000))))/0.9,0)</f>
        <v>221</v>
      </c>
      <c r="J21" s="411">
        <f>ROUND((6.25*(1/0.8*(0.2*$J$8^0.75+(30*(C21/1000))+(1.9*((I50*1000)/4750)/1000))))/0.9,0)</f>
        <v>225</v>
      </c>
      <c r="K21" s="411">
        <f>ROUND((6.25*(1/0.8*(0.2*$K$8^0.75+(30*(C21/1000))+(1.9*((J50*1000)/4750)/1000))))/0.9,0)</f>
        <v>228</v>
      </c>
      <c r="L21" s="411">
        <f>ROUND((6.25*(1/0.8*(0.2*$L$8^0.75+(30*(C21/1000))+(1.9*((K50*1000)/4750)/1000))))/0.9,0)</f>
        <v>231</v>
      </c>
      <c r="M21" s="411">
        <f>ROUND((6.25*(1/0.8*(0.2*$M$8^0.75+(30*(C21/1000))+(1.9*((L50*1000)/4750)/1000))))/0.9,0)</f>
        <v>234</v>
      </c>
      <c r="N21" s="411">
        <f>ROUND((6.25*(1/0.8*(0.2*$N$8^0.75+(30*(C21/1000))+(1.9*((M50*1000)/4750)/1000))))/0.9,0)</f>
        <v>237</v>
      </c>
      <c r="O21" s="411">
        <f>ROUND((6.25*(1/0.8*(0.2*$O$8^0.75+(30*(C21/1000))+(1.9*((N50*1000)/4750)/1000))))/0.9,0)</f>
        <v>240</v>
      </c>
      <c r="P21" s="411">
        <f>ROUND((6.25*(1/0.8*(0.2*$P$8^0.75+(30*(C21/1000))+(1.9*((O50*1000)/4750)/1000))))/0.9,0)</f>
        <v>242</v>
      </c>
      <c r="Q21" s="411">
        <f>ROUND((6.25*(1/0.8*(0.2*$Q$8^0.75+(30*(C21/1000))+(1.9*((P50*1000)/4750)/1000))))/0.9,0)</f>
        <v>245</v>
      </c>
      <c r="R21" s="412">
        <f>ROUND((6.25*(1/0.8*(0.2*$R$8^0.75+(30*(C21/1000))+(1.9*((Q50*1000)/4750)/1000))))/0.9,0)</f>
        <v>248</v>
      </c>
      <c r="S21" s="393">
        <f t="shared" si="0"/>
        <v>650</v>
      </c>
      <c r="T21" s="393"/>
    </row>
    <row r="22" spans="2:20" x14ac:dyDescent="0.15">
      <c r="B22" s="390">
        <v>14</v>
      </c>
      <c r="C22" s="404">
        <v>700</v>
      </c>
      <c r="D22" s="410">
        <f>ROUND((6.25*(1/0.8*(0.2*$D$8^0.75+(30*(C22/1000))+(1.9*((C51*1000)/4750)/1000))))/0.9,0)</f>
        <v>218</v>
      </c>
      <c r="E22" s="411">
        <f>ROUND((6.25*(1/0.8*(0.2*$E$8^0.75+(30*(C22/1000))+(1.9*((D51*1000)/4750)/1000))))/0.9,0)</f>
        <v>221</v>
      </c>
      <c r="F22" s="411">
        <f>ROUND((6.25*(1/0.8*(0.2*$F$8^0.75+(30*(C22/1000))+(1.9*((E51*1000)/4750)/1000))))/0.9,0)</f>
        <v>225</v>
      </c>
      <c r="G22" s="411">
        <f>ROUND((6.25*(1/0.8*(0.2*$G$8^0.75+(30*(C22/1000))+(1.9*((F51*1000)/4750)/1000))))/0.9,0)</f>
        <v>229</v>
      </c>
      <c r="H22" s="411">
        <f>ROUND((6.25*(1/0.8*(0.2*$H$8^0.75+(30*(C22/1000))+(1.9*((G51*1000)/4750)/1000))))/0.9,0)</f>
        <v>232</v>
      </c>
      <c r="I22" s="411">
        <f>ROUND((6.25*(1/0.8*(0.2*$I$8^0.75+(30*(C22/1000))+(1.9*((H51*1000)/4750)/1000))))/0.9,0)</f>
        <v>235</v>
      </c>
      <c r="J22" s="411">
        <f>ROUND((6.25*(1/0.8*(0.2*$J$8^0.75+(30*(C22/1000))+(1.9*((I51*1000)/4750)/1000))))/0.9,0)</f>
        <v>238</v>
      </c>
      <c r="K22" s="411">
        <f>ROUND((6.25*(1/0.8*(0.2*$K$8^0.75+(30*(C22/1000))+(1.9*((J51*1000)/4750)/1000))))/0.9,0)</f>
        <v>242</v>
      </c>
      <c r="L22" s="411">
        <f>ROUND((6.25*(1/0.8*(0.2*$L$8^0.75+(30*(C22/1000))+(1.9*((K51*1000)/4750)/1000))))/0.9,0)</f>
        <v>245</v>
      </c>
      <c r="M22" s="411">
        <f>ROUND((6.25*(1/0.8*(0.2*$M$8^0.75+(30*(C22/1000))+(1.9*((L51*1000)/4750)/1000))))/0.9,0)</f>
        <v>248</v>
      </c>
      <c r="N22" s="411">
        <f>ROUND((6.25*(1/0.8*(0.2*$N$8^0.75+(30*(C22/1000))+(1.9*((M51*1000)/4750)/1000))))/0.9,0)</f>
        <v>251</v>
      </c>
      <c r="O22" s="411">
        <f>ROUND((6.25*(1/0.8*(0.2*$O$8^0.75+(30*(C22/1000))+(1.9*((N51*1000)/4750)/1000))))/0.9,0)</f>
        <v>254</v>
      </c>
      <c r="P22" s="411">
        <f>ROUND((6.25*(1/0.8*(0.2*$P$8^0.75+(30*(C22/1000))+(1.9*((O51*1000)/4750)/1000))))/0.9,0)</f>
        <v>256</v>
      </c>
      <c r="Q22" s="411">
        <f>ROUND((6.25*(1/0.8*(0.2*$Q$8^0.75+(30*(C22/1000))+(1.9*((P51*1000)/4750)/1000))))/0.9,0)</f>
        <v>259</v>
      </c>
      <c r="R22" s="412">
        <f>ROUND((6.25*(1/0.8*(0.2*$R$8^0.75+(30*(C22/1000))+(1.9*((Q51*1000)/4750)/1000))))/0.9,0)</f>
        <v>262</v>
      </c>
      <c r="S22" s="393">
        <f t="shared" si="0"/>
        <v>700</v>
      </c>
      <c r="T22" s="393"/>
    </row>
    <row r="23" spans="2:20" x14ac:dyDescent="0.15">
      <c r="B23" s="390">
        <v>15</v>
      </c>
      <c r="C23" s="404">
        <v>750</v>
      </c>
      <c r="D23" s="410">
        <f>ROUND((6.25*(1/0.8*(0.2*$D$8^0.75+(30*(C23/1000))+(1.9*((C52*1000)/4750)/1000))))/0.9,0)</f>
        <v>231</v>
      </c>
      <c r="E23" s="411">
        <f>ROUND((6.25*(1/0.8*(0.2*$E$8^0.75+(30*(C23/1000))+(1.9*((D52*1000)/4750)/1000))))/0.9,0)</f>
        <v>235</v>
      </c>
      <c r="F23" s="411">
        <f>ROUND((6.25*(1/0.8*(0.2*$F$8^0.75+(30*(C23/1000))+(1.9*((E52*1000)/4750)/1000))))/0.9,0)</f>
        <v>239</v>
      </c>
      <c r="G23" s="411">
        <f>ROUND((6.25*(1/0.8*(0.2*$G$8^0.75+(30*(C23/1000))+(1.9*((F52*1000)/4750)/1000))))/0.9,0)</f>
        <v>242</v>
      </c>
      <c r="H23" s="411">
        <f>ROUND((6.25*(1/0.8*(0.2*$H$8^0.75+(30*(C23/1000))+(1.9*((G52*1000)/4750)/1000))))/0.9,0)</f>
        <v>246</v>
      </c>
      <c r="I23" s="411">
        <f>ROUND((6.25*(1/0.8*(0.2*$I$8^0.75+(30*(C23/1000))+(1.9*((H52*1000)/4750)/1000))))/0.9,0)</f>
        <v>249</v>
      </c>
      <c r="J23" s="411">
        <f>ROUND((6.25*(1/0.8*(0.2*$J$8^0.75+(30*(C23/1000))+(1.9*((I52*1000)/4750)/1000))))/0.9,0)</f>
        <v>252</v>
      </c>
      <c r="K23" s="411">
        <f>ROUND((6.25*(1/0.8*(0.2*$K$8^0.75+(30*(C23/1000))+(1.9*((J52*1000)/4750)/1000))))/0.9,0)</f>
        <v>256</v>
      </c>
      <c r="L23" s="411">
        <f>ROUND((6.25*(1/0.8*(0.2*$L$8^0.75+(30*(C23/1000))+(1.9*((K52*1000)/4750)/1000))))/0.9,0)</f>
        <v>259</v>
      </c>
      <c r="M23" s="411">
        <f>ROUND((6.25*(1/0.8*(0.2*$M$8^0.75+(30*(C23/1000))+(1.9*((L52*1000)/4750)/1000))))/0.9,0)</f>
        <v>262</v>
      </c>
      <c r="N23" s="411">
        <f>ROUND((6.25*(1/0.8*(0.2*$N$8^0.75+(30*(C23/1000))+(1.9*((M52*1000)/4750)/1000))))/0.9,0)</f>
        <v>265</v>
      </c>
      <c r="O23" s="411">
        <f>ROUND((6.25*(1/0.8*(0.2*$O$8^0.75+(30*(C23/1000))+(1.9*((N52*1000)/4750)/1000))))/0.9,0)</f>
        <v>268</v>
      </c>
      <c r="P23" s="411">
        <f>ROUND((6.25*(1/0.8*(0.2*$P$8^0.75+(30*(C23/1000))+(1.9*((O52*1000)/4750)/1000))))/0.9,0)</f>
        <v>270</v>
      </c>
      <c r="Q23" s="411">
        <f>ROUND((6.25*(1/0.8*(0.2*$Q$8^0.75+(30*(C23/1000))+(1.9*((P52*1000)/4750)/1000))))/0.9,0)</f>
        <v>273</v>
      </c>
      <c r="R23" s="412">
        <f>ROUND((6.25*(1/0.8*(0.2*$R$8^0.75+(30*(C23/1000))+(1.9*((Q52*1000)/4750)/1000))))/0.9,0)</f>
        <v>276</v>
      </c>
      <c r="S23" s="393">
        <f t="shared" si="0"/>
        <v>750</v>
      </c>
      <c r="T23" s="393"/>
    </row>
    <row r="24" spans="2:20" x14ac:dyDescent="0.15">
      <c r="B24" s="390">
        <v>16</v>
      </c>
      <c r="C24" s="404">
        <v>800</v>
      </c>
      <c r="D24" s="410">
        <f>ROUND((6.25*(1/0.8*(0.2*$D$8^0.75+(30*(C24/1000))+(1.9*((C53*1000)/4750)/1000))))/0.9,0)</f>
        <v>245</v>
      </c>
      <c r="E24" s="411">
        <f>ROUND((6.25*(1/0.8*(0.2*$E$8^0.75+(30*(C24/1000))+(1.9*((D53*1000)/4750)/1000))))/0.9,0)</f>
        <v>249</v>
      </c>
      <c r="F24" s="411">
        <f>ROUND((6.25*(1/0.8*(0.2*$F$8^0.75+(30*(C24/1000))+(1.9*((E53*1000)/4750)/1000))))/0.9,0)</f>
        <v>252</v>
      </c>
      <c r="G24" s="411">
        <f>ROUND((6.25*(1/0.8*(0.2*$G$8^0.75+(30*(C24/1000))+(1.9*((F53*1000)/4750)/1000))))/0.9,0)</f>
        <v>256</v>
      </c>
      <c r="H24" s="411">
        <f>ROUND((6.25*(1/0.8*(0.2*$H$8^0.75+(30*(C24/1000))+(1.9*((G53*1000)/4750)/1000))))/0.9,0)</f>
        <v>260</v>
      </c>
      <c r="I24" s="411">
        <f>ROUND((6.25*(1/0.8*(0.2*$I$8^0.75+(30*(C24/1000))+(1.9*((H53*1000)/4750)/1000))))/0.9,0)</f>
        <v>263</v>
      </c>
      <c r="J24" s="411">
        <f>ROUND((6.25*(1/0.8*(0.2*$J$8^0.75+(30*(C24/1000))+(1.9*((I53*1000)/4750)/1000))))/0.9,0)</f>
        <v>266</v>
      </c>
      <c r="K24" s="411">
        <f>ROUND((6.25*(1/0.8*(0.2*$K$8^0.75+(30*(C24/1000))+(1.9*((J53*1000)/4750)/1000))))/0.9,0)</f>
        <v>269</v>
      </c>
      <c r="L24" s="411">
        <f>ROUND((6.25*(1/0.8*(0.2*$L$8^0.75+(30*(C24/1000))+(1.9*((K53*1000)/4750)/1000))))/0.9,0)</f>
        <v>273</v>
      </c>
      <c r="M24" s="411">
        <f>ROUND((6.25*(1/0.8*(0.2*$M$8^0.75+(30*(C24/1000))+(1.9*((L53*1000)/4750)/1000))))/0.9,0)</f>
        <v>276</v>
      </c>
      <c r="N24" s="411">
        <f>ROUND((6.25*(1/0.8*(0.2*$N$8^0.75+(30*(C24/1000))+(1.9*((M53*1000)/4750)/1000))))/0.9,0)</f>
        <v>279</v>
      </c>
      <c r="O24" s="411">
        <f>ROUND((6.25*(1/0.8*(0.2*$O$8^0.75+(30*(C24/1000))+(1.9*((N53*1000)/4750)/1000))))/0.9,0)</f>
        <v>282</v>
      </c>
      <c r="P24" s="411">
        <f>ROUND((6.25*(1/0.8*(0.2*$P$8^0.75+(30*(C24/1000))+(1.9*((O53*1000)/4750)/1000))))/0.9,0)</f>
        <v>284</v>
      </c>
      <c r="Q24" s="411">
        <f>ROUND((6.25*(1/0.8*(0.2*$Q$8^0.75+(30*(C24/1000))+(1.9*((P53*1000)/4750)/1000))))/0.9,0)</f>
        <v>287</v>
      </c>
      <c r="R24" s="412">
        <f>ROUND((6.25*(1/0.8*(0.2*$R$8^0.75+(30*(C24/1000))+(1.9*((Q53*1000)/4750)/1000))))/0.9,0)</f>
        <v>290</v>
      </c>
      <c r="S24" s="393">
        <f t="shared" si="0"/>
        <v>800</v>
      </c>
      <c r="T24" s="393"/>
    </row>
    <row r="25" spans="2:20" x14ac:dyDescent="0.15">
      <c r="B25" s="390">
        <v>17</v>
      </c>
      <c r="C25" s="404">
        <v>850</v>
      </c>
      <c r="D25" s="410">
        <f>ROUND((6.25*(1/0.8*(0.2*$D$8^0.75+(30*(C25/1000))+(1.9*((C54*1000)/4750)/1000))))/0.9,0)</f>
        <v>259</v>
      </c>
      <c r="E25" s="411">
        <f>ROUND((6.25*(1/0.8*(0.2*$E$8^0.75+(30*(C25/1000))+(1.9*((D54*1000)/4750)/1000))))/0.9,0)</f>
        <v>263</v>
      </c>
      <c r="F25" s="411">
        <f>ROUND((6.25*(1/0.8*(0.2*$F$8^0.75+(30*(C25/1000))+(1.9*((E54*1000)/4750)/1000))))/0.9,0)</f>
        <v>266</v>
      </c>
      <c r="G25" s="411">
        <f>ROUND((6.25*(1/0.8*(0.2*$G$8^0.75+(30*(C25/1000))+(1.9*((F54*1000)/4750)/1000))))/0.9,0)</f>
        <v>270</v>
      </c>
      <c r="H25" s="411">
        <f>ROUND((6.25*(1/0.8*(0.2*$H$8^0.75+(30*(C25/1000))+(1.9*((G54*1000)/4750)/1000))))/0.9,0)</f>
        <v>273</v>
      </c>
      <c r="I25" s="411">
        <f>ROUND((6.25*(1/0.8*(0.2*$I$8^0.75+(30*(C25/1000))+(1.9*((H54*1000)/4750)/1000))))/0.9,0)</f>
        <v>277</v>
      </c>
      <c r="J25" s="411">
        <f>ROUND((6.25*(1/0.8*(0.2*$J$8^0.75+(30*(C25/1000))+(1.9*((I54*1000)/4750)/1000))))/0.9,0)</f>
        <v>280</v>
      </c>
      <c r="K25" s="411">
        <f>ROUND((6.25*(1/0.8*(0.2*$K$8^0.75+(30*(C25/1000))+(1.9*((J54*1000)/4750)/1000))))/0.9,0)</f>
        <v>283</v>
      </c>
      <c r="L25" s="411">
        <f>ROUND((6.25*(1/0.8*(0.2*$L$8^0.75+(30*(C25/1000))+(1.9*((K54*1000)/4750)/1000))))/0.9,0)</f>
        <v>286</v>
      </c>
      <c r="M25" s="411">
        <f>ROUND((6.25*(1/0.8*(0.2*$M$8^0.75+(30*(C25/1000))+(1.9*((L54*1000)/4750)/1000))))/0.9,0)</f>
        <v>290</v>
      </c>
      <c r="N25" s="411">
        <f>ROUND((6.25*(1/0.8*(0.2*$N$8^0.75+(30*(C25/1000))+(1.9*((M54*1000)/4750)/1000))))/0.9,0)</f>
        <v>293</v>
      </c>
      <c r="O25" s="411">
        <f>ROUND((6.25*(1/0.8*(0.2*$O$8^0.75+(30*(C25/1000))+(1.9*((N54*1000)/4750)/1000))))/0.9,0)</f>
        <v>296</v>
      </c>
      <c r="P25" s="411">
        <f>ROUND((6.25*(1/0.8*(0.2*$P$8^0.75+(30*(C25/1000))+(1.9*((O54*1000)/4750)/1000))))/0.9,0)</f>
        <v>298</v>
      </c>
      <c r="Q25" s="411">
        <f>ROUND((6.25*(1/0.8*(0.2*$Q$8^0.75+(30*(C25/1000))+(1.9*((P54*1000)/4750)/1000))))/0.9,0)</f>
        <v>301</v>
      </c>
      <c r="R25" s="412">
        <f>ROUND((6.25*(1/0.8*(0.2*$R$8^0.75+(30*(C25/1000))+(1.9*((Q54*1000)/4750)/1000))))/0.9,0)</f>
        <v>304</v>
      </c>
      <c r="S25" s="393">
        <f t="shared" si="0"/>
        <v>850</v>
      </c>
      <c r="T25" s="393"/>
    </row>
    <row r="26" spans="2:20" x14ac:dyDescent="0.15">
      <c r="B26" s="390">
        <v>18</v>
      </c>
      <c r="C26" s="404">
        <v>900</v>
      </c>
      <c r="D26" s="410">
        <f>ROUND((6.25*(1/0.8*(0.2*$D$8^0.75+(30*(C26/1000))+(1.9*((C55*1000)/4750)/1000))))/0.9,0)</f>
        <v>272</v>
      </c>
      <c r="E26" s="411">
        <f>ROUND((6.25*(1/0.8*(0.2*$E$8^0.75+(30*(C26/1000))+(1.9*((D55*1000)/4750)/1000))))/0.9,0)</f>
        <v>276</v>
      </c>
      <c r="F26" s="411">
        <f>ROUND((6.25*(1/0.8*(0.2*$F$8^0.75+(30*(C26/1000))+(1.9*((E55*1000)/4750)/1000))))/0.9,0)</f>
        <v>280</v>
      </c>
      <c r="G26" s="411">
        <f>ROUND((6.25*(1/0.8*(0.2*$G$8^0.75+(30*(C26/1000))+(1.9*((F55*1000)/4750)/1000))))/0.9,0)</f>
        <v>284</v>
      </c>
      <c r="H26" s="411">
        <f>ROUND((6.25*(1/0.8*(0.2*$H$8^0.75+(30*(C26/1000))+(1.9*((G55*1000)/4750)/1000))))/0.9,0)</f>
        <v>287</v>
      </c>
      <c r="I26" s="411">
        <f>ROUND((6.25*(1/0.8*(0.2*$I$8^0.75+(30*(C26/1000))+(1.9*((H55*1000)/4750)/1000))))/0.9,0)</f>
        <v>291</v>
      </c>
      <c r="J26" s="411">
        <f>ROUND((6.25*(1/0.8*(0.2*$J$8^0.75+(30*(C26/1000))+(1.9*((I55*1000)/4750)/1000))))/0.9,0)</f>
        <v>294</v>
      </c>
      <c r="K26" s="411">
        <f>ROUND((6.25*(1/0.8*(0.2*$K$8^0.75+(30*(C26/1000))+(1.9*((J55*1000)/4750)/1000))))/0.9,0)</f>
        <v>297</v>
      </c>
      <c r="L26" s="411">
        <f>ROUND((6.25*(1/0.8*(0.2*$L$8^0.75+(30*(C26/1000))+(1.9*((K55*1000)/4750)/1000))))/0.9,0)</f>
        <v>300</v>
      </c>
      <c r="M26" s="411">
        <f>ROUND((6.25*(1/0.8*(0.2*$M$8^0.75+(30*(C26/1000))+(1.9*((L55*1000)/4750)/1000))))/0.9,0)</f>
        <v>304</v>
      </c>
      <c r="N26" s="411">
        <f>ROUND((6.25*(1/0.8*(0.2*$N$8^0.75+(30*(C26/1000))+(1.9*((M55*1000)/4750)/1000))))/0.9,0)</f>
        <v>307</v>
      </c>
      <c r="O26" s="411">
        <f>ROUND((6.25*(1/0.8*(0.2*$O$8^0.75+(30*(C26/1000))+(1.9*((N55*1000)/4750)/1000))))/0.9,0)</f>
        <v>310</v>
      </c>
      <c r="P26" s="411">
        <f>ROUND((6.25*(1/0.8*(0.2*$P$8^0.75+(30*(C26/1000))+(1.9*((O55*1000)/4750)/1000))))/0.9,0)</f>
        <v>313</v>
      </c>
      <c r="Q26" s="411">
        <f>ROUND((6.25*(1/0.8*(0.2*$Q$8^0.75+(30*(C26/1000))+(1.9*((P55*1000)/4750)/1000))))/0.9,0)</f>
        <v>315</v>
      </c>
      <c r="R26" s="412">
        <f>ROUND((6.25*(1/0.8*(0.2*$R$8^0.75+(30*(C26/1000))+(1.9*((Q55*1000)/4750)/1000))))/0.9,0)</f>
        <v>318</v>
      </c>
      <c r="S26" s="393">
        <f t="shared" si="0"/>
        <v>900</v>
      </c>
      <c r="T26" s="393"/>
    </row>
    <row r="27" spans="2:20" x14ac:dyDescent="0.15">
      <c r="B27" s="390">
        <v>19</v>
      </c>
      <c r="C27" s="404">
        <v>950</v>
      </c>
      <c r="D27" s="410">
        <f>ROUND((6.25*(1/0.8*(0.2*$D$8^0.75+(30*(C27/1000))+(1.9*((C56*1000)/4750)/1000))))/0.9,0)</f>
        <v>286</v>
      </c>
      <c r="E27" s="411">
        <f>ROUND((6.25*(1/0.8*(0.2*$E$8^0.75+(30*(C27/1000))+(1.9*((D56*1000)/4750)/1000))))/0.9,0)</f>
        <v>290</v>
      </c>
      <c r="F27" s="411">
        <f>ROUND((6.25*(1/0.8*(0.2*$F$8^0.75+(30*(C27/1000))+(1.9*((E56*1000)/4750)/1000))))/0.9,0)</f>
        <v>294</v>
      </c>
      <c r="G27" s="411">
        <f>ROUND((6.25*(1/0.8*(0.2*$G$8^0.75+(30*(C27/1000))+(1.9*((F56*1000)/4750)/1000))))/0.9,0)</f>
        <v>298</v>
      </c>
      <c r="H27" s="411">
        <f>ROUND((6.25*(1/0.8*(0.2*$H$8^0.75+(30*(C27/1000))+(1.9*((G56*1000)/4750)/1000))))/0.9,0)</f>
        <v>301</v>
      </c>
      <c r="I27" s="411">
        <f>ROUND((6.25*(1/0.8*(0.2*$I$8^0.75+(30*(C27/1000))+(1.9*((H56*1000)/4750)/1000))))/0.9,0)</f>
        <v>305</v>
      </c>
      <c r="J27" s="411">
        <f>ROUND((6.25*(1/0.8*(0.2*$J$8^0.75+(30*(C27/1000))+(1.9*((I56*1000)/4750)/1000))))/0.9,0)</f>
        <v>308</v>
      </c>
      <c r="K27" s="411">
        <f>ROUND((6.25*(1/0.8*(0.2*$K$8^0.75+(30*(C27/1000))+(1.9*((J56*1000)/4750)/1000))))/0.9,0)</f>
        <v>311</v>
      </c>
      <c r="L27" s="411">
        <f>ROUND((6.25*(1/0.8*(0.2*$L$8^0.75+(30*(C27/1000))+(1.9*((K56*1000)/4750)/1000))))/0.9,0)</f>
        <v>314</v>
      </c>
      <c r="M27" s="411">
        <f>ROUND((6.25*(1/0.8*(0.2*$M$8^0.75+(30*(C27/1000))+(1.9*((L56*1000)/4750)/1000))))/0.9,0)</f>
        <v>318</v>
      </c>
      <c r="N27" s="411">
        <f>ROUND((6.25*(1/0.8*(0.2*$N$8^0.75+(30*(C27/1000))+(1.9*((M56*1000)/4750)/1000))))/0.9,0)</f>
        <v>321</v>
      </c>
      <c r="O27" s="411">
        <f>ROUND((6.25*(1/0.8*(0.2*$O$8^0.75+(30*(C27/1000))+(1.9*((N56*1000)/4750)/1000))))/0.9,0)</f>
        <v>324</v>
      </c>
      <c r="P27" s="411">
        <f>ROUND((6.25*(1/0.8*(0.2*$P$8^0.75+(30*(C27/1000))+(1.9*((O56*1000)/4750)/1000))))/0.9,0)</f>
        <v>327</v>
      </c>
      <c r="Q27" s="411">
        <f>ROUND((6.25*(1/0.8*(0.2*$Q$8^0.75+(30*(C27/1000))+(1.9*((P56*1000)/4750)/1000))))/0.9,0)</f>
        <v>329</v>
      </c>
      <c r="R27" s="412">
        <f>ROUND((6.25*(1/0.8*(0.2*$R$8^0.75+(30*(C27/1000))+(1.9*((Q56*1000)/4750)/1000))))/0.9,0)</f>
        <v>332</v>
      </c>
      <c r="S27" s="393">
        <f t="shared" si="0"/>
        <v>950</v>
      </c>
      <c r="T27" s="393"/>
    </row>
    <row r="28" spans="2:20" ht="14" thickBot="1" x14ac:dyDescent="0.2">
      <c r="B28" s="390">
        <v>20</v>
      </c>
      <c r="C28" s="404">
        <v>1000</v>
      </c>
      <c r="D28" s="413">
        <f>ROUND((6.25*(1/0.8*(0.2*$D$8^0.75+(30*(C28/1000))+(1.9*((C57*1000)/4750)/1000))))/0.9,0)</f>
        <v>300</v>
      </c>
      <c r="E28" s="414">
        <f>ROUND((6.25*(1/0.8*(0.2*$E$8^0.75+(30*(C28/1000))+(1.9*((D57*1000)/4750)/1000))))/0.9,0)</f>
        <v>304</v>
      </c>
      <c r="F28" s="414">
        <f>ROUND((6.25*(1/0.8*(0.2*$F$8^0.75+(30*(C28/1000))+(1.9*((E57*1000)/4750)/1000))))/0.9,0)</f>
        <v>308</v>
      </c>
      <c r="G28" s="414">
        <f>ROUND((6.25*(1/0.8*(0.2*$G$8^0.75+(30*(C28/1000))+(1.9*((F57*1000)/4750)/1000))))/0.9,0)</f>
        <v>311</v>
      </c>
      <c r="H28" s="414">
        <f>ROUND((6.25*(1/0.8*(0.2*$H$8^0.75+(30*(C28/1000))+(1.9*((G57*1000)/4750)/1000))))/0.9,0)</f>
        <v>315</v>
      </c>
      <c r="I28" s="414">
        <f>ROUND((6.25*(1/0.8*(0.2*$I$8^0.75+(30*(C28/1000))+(1.9*((H57*1000)/4750)/1000))))/0.9,0)</f>
        <v>318</v>
      </c>
      <c r="J28" s="414">
        <f>ROUND((6.25*(1/0.8*(0.2*$J$8^0.75+(30*(C28/1000))+(1.9*((I57*1000)/4750)/1000))))/0.9,0)</f>
        <v>322</v>
      </c>
      <c r="K28" s="414">
        <f>ROUND((6.25*(1/0.8*(0.2*$K$8^0.75+(30*(C28/1000))+(1.9*((J57*1000)/4750)/1000))))/0.9,0)</f>
        <v>325</v>
      </c>
      <c r="L28" s="414">
        <f>ROUND((6.25*(1/0.8*(0.2*$L$8^0.75+(30*(C28/1000))+(1.9*((K57*1000)/4750)/1000))))/0.9,0)</f>
        <v>328</v>
      </c>
      <c r="M28" s="414">
        <f>ROUND((6.25*(1/0.8*(0.2*$M$8^0.75+(30*(C28/1000))+(1.9*((L57*1000)/4750)/1000))))/0.9,0)</f>
        <v>331</v>
      </c>
      <c r="N28" s="414">
        <f>ROUND((6.25*(1/0.8*(0.2*$N$8^0.75+(30*(C28/1000))+(1.9*((M57*1000)/4750)/1000))))/0.9,0)</f>
        <v>335</v>
      </c>
      <c r="O28" s="414">
        <f>ROUND((6.25*(1/0.8*(0.2*$O$8^0.75+(30*(C28/1000))+(1.9*((N57*1000)/4750)/1000))))/0.9,0)</f>
        <v>338</v>
      </c>
      <c r="P28" s="414">
        <f>ROUND((6.25*(1/0.8*(0.2*$P$8^0.75+(30*(C28/1000))+(1.9*((O57*1000)/4750)/1000))))/0.9,0)</f>
        <v>341</v>
      </c>
      <c r="Q28" s="414">
        <f>ROUND((6.25*(1/0.8*(0.2*$Q$8^0.75+(30*(C28/1000))+(1.9*((P57*1000)/4750)/1000))))/0.9,0)</f>
        <v>344</v>
      </c>
      <c r="R28" s="415">
        <f>ROUND((6.25*(1/0.8*(0.2*$R$8^0.75+(30*(C28/1000))+(1.9*((Q57*1000)/4750)/1000))))/0.9,0)</f>
        <v>346</v>
      </c>
      <c r="S28" s="393">
        <f t="shared" si="0"/>
        <v>1000</v>
      </c>
      <c r="T28" s="393"/>
    </row>
    <row r="30" spans="2:20" x14ac:dyDescent="0.15">
      <c r="C30" s="393"/>
      <c r="D30" s="393"/>
      <c r="E30" s="389" t="s">
        <v>205</v>
      </c>
      <c r="G30" s="390">
        <f>G1</f>
        <v>45</v>
      </c>
      <c r="S30" s="390">
        <f>MATCH(G30,C37:Q37,0)</f>
        <v>4</v>
      </c>
      <c r="T30" s="390">
        <f>S30-2</f>
        <v>2</v>
      </c>
    </row>
    <row r="31" spans="2:20" x14ac:dyDescent="0.15">
      <c r="E31" s="390" t="s">
        <v>206</v>
      </c>
      <c r="G31" s="390">
        <f>Agrifirm!F19</f>
        <v>4112.4799999999996</v>
      </c>
      <c r="S31" s="390">
        <f>R34</f>
        <v>11</v>
      </c>
    </row>
    <row r="32" spans="2:20" x14ac:dyDescent="0.15">
      <c r="E32" s="391" t="s">
        <v>207</v>
      </c>
      <c r="F32" s="391"/>
      <c r="G32" s="391">
        <f>S34</f>
        <v>550</v>
      </c>
      <c r="S32" s="390">
        <f>MATCH(S30,C35:M35,0)-5</f>
        <v>-1</v>
      </c>
    </row>
    <row r="34" spans="1:20" x14ac:dyDescent="0.15">
      <c r="C34" s="390">
        <f>IFERROR(IF($S$30=1,MATCH($G$31,C$38:C$57,1),0),0)</f>
        <v>0</v>
      </c>
      <c r="D34" s="390">
        <f>IFERROR(IF($S$30=2,MATCH($G$31,D$38:D$57,1),0),0)</f>
        <v>0</v>
      </c>
      <c r="E34" s="390">
        <f>IFERROR(IF($S$30=3,MATCH($G$31,E$38:E$57,1),0),0)</f>
        <v>0</v>
      </c>
      <c r="F34" s="390">
        <f>IFERROR(IF($S$30=4,MATCH($G$31,F$38:F$57,1),0),0)</f>
        <v>11</v>
      </c>
      <c r="G34" s="390">
        <f>IFERROR(IF($S$30=5,MATCH($G$31,G$38:G$57,1),0),0)</f>
        <v>0</v>
      </c>
      <c r="H34" s="390">
        <f>IFERROR(IF($S$30=6,MATCH($G$31,H$38:H$57,1),0),0)</f>
        <v>0</v>
      </c>
      <c r="I34" s="390">
        <f>IFERROR(IF($S$30=7,MATCH($G$31,I$38:I$57,1),0),0)</f>
        <v>0</v>
      </c>
      <c r="J34" s="390">
        <f>IFERROR(IF($S$30=8,MATCH($G$31,J$38:J$57,1),0),0)</f>
        <v>0</v>
      </c>
      <c r="K34" s="390">
        <f>IFERROR(IF($S$30=9,MATCH($G$31,K$38:K$57,1),0),0)</f>
        <v>0</v>
      </c>
      <c r="L34" s="390">
        <f>IFERROR(IF($S$30=10,MATCH($G$31,L$38:L$57,1),0),0)</f>
        <v>0</v>
      </c>
      <c r="M34" s="390">
        <f>IFERROR(IF($S$30=11,MATCH($G$31,M$38:M$57,1),0),0)</f>
        <v>0</v>
      </c>
      <c r="N34" s="390">
        <f>IFERROR(IF($S$30=12,MATCH($G$31,N$38:N$57,1),0),0)</f>
        <v>0</v>
      </c>
      <c r="O34" s="390">
        <f>IFERROR(IF($S$30=13,MATCH($G$31,O$38:O$57,1),0),0)</f>
        <v>0</v>
      </c>
      <c r="P34" s="390">
        <f>IFERROR(IF($S$30=14,MATCH($G$31,P$38:P$57,1),0),0)</f>
        <v>0</v>
      </c>
      <c r="Q34" s="390">
        <f>IFERROR(IF($S$30=15,MATCH($G$31,Q$38:Q$57,1),0),0)</f>
        <v>0</v>
      </c>
      <c r="R34" s="390">
        <f>SUM(C34:Q34)</f>
        <v>11</v>
      </c>
      <c r="S34" s="390">
        <f>IFERROR(VLOOKUP(S31,A38:Q57,MATCH(S30,C35:Q35,0)-T30,0),"")</f>
        <v>550</v>
      </c>
    </row>
    <row r="35" spans="1:20" x14ac:dyDescent="0.15">
      <c r="C35" s="390">
        <v>1</v>
      </c>
      <c r="D35" s="390">
        <v>2</v>
      </c>
      <c r="E35" s="390">
        <v>3</v>
      </c>
      <c r="F35" s="390">
        <v>4</v>
      </c>
      <c r="G35" s="390">
        <v>5</v>
      </c>
      <c r="H35" s="390">
        <v>6</v>
      </c>
      <c r="I35" s="390">
        <v>7</v>
      </c>
      <c r="J35" s="390">
        <v>8</v>
      </c>
      <c r="K35" s="390">
        <v>9</v>
      </c>
      <c r="L35" s="390">
        <v>10</v>
      </c>
      <c r="M35" s="390">
        <v>11</v>
      </c>
      <c r="N35" s="390">
        <v>12</v>
      </c>
      <c r="O35" s="390">
        <v>13</v>
      </c>
      <c r="P35" s="390">
        <v>14</v>
      </c>
      <c r="Q35" s="390">
        <v>15</v>
      </c>
    </row>
    <row r="36" spans="1:20" ht="14" thickBot="1" x14ac:dyDescent="0.2">
      <c r="A36" s="395"/>
      <c r="B36" s="395"/>
      <c r="C36" s="395"/>
      <c r="D36" s="395"/>
      <c r="E36" s="395"/>
      <c r="F36" s="395"/>
      <c r="G36" s="395" t="s">
        <v>198</v>
      </c>
      <c r="H36" s="395"/>
      <c r="I36" s="395"/>
      <c r="J36" s="395"/>
      <c r="K36" s="395"/>
      <c r="L36" s="395"/>
      <c r="M36" s="395"/>
      <c r="N36" s="395"/>
      <c r="O36" s="395"/>
      <c r="P36" s="395"/>
      <c r="Q36" s="395"/>
      <c r="R36" s="395"/>
      <c r="S36" s="395"/>
      <c r="T36" s="395"/>
    </row>
    <row r="37" spans="1:20" ht="14" thickBot="1" x14ac:dyDescent="0.2">
      <c r="B37" s="401" t="s">
        <v>208</v>
      </c>
      <c r="C37" s="402">
        <v>30</v>
      </c>
      <c r="D37" s="402">
        <v>35</v>
      </c>
      <c r="E37" s="402">
        <v>40</v>
      </c>
      <c r="F37" s="402">
        <v>45</v>
      </c>
      <c r="G37" s="402">
        <v>50</v>
      </c>
      <c r="H37" s="402">
        <v>55</v>
      </c>
      <c r="I37" s="402">
        <v>60</v>
      </c>
      <c r="J37" s="402">
        <v>65</v>
      </c>
      <c r="K37" s="402">
        <v>70</v>
      </c>
      <c r="L37" s="402">
        <v>75</v>
      </c>
      <c r="M37" s="402">
        <v>80</v>
      </c>
      <c r="N37" s="402">
        <v>85</v>
      </c>
      <c r="O37" s="402">
        <v>90</v>
      </c>
      <c r="P37" s="402">
        <v>95</v>
      </c>
      <c r="Q37" s="403">
        <v>100</v>
      </c>
      <c r="R37" s="390" t="s">
        <v>208</v>
      </c>
    </row>
    <row r="38" spans="1:20" x14ac:dyDescent="0.15">
      <c r="A38" s="393">
        <v>1</v>
      </c>
      <c r="B38" s="408">
        <v>50</v>
      </c>
      <c r="C38" s="393">
        <f>((0.1*($C$37^0.75)+(0.84*($C$37^0.355))*((C9/1000)^1.2))*1000)*1.2</f>
        <v>1630.8314311601123</v>
      </c>
      <c r="D38" s="393">
        <f>((0.1*($D$37^0.75)+(0.84*($D$37^0.355))*((C9/1000)^1.2))*1000)*1.2</f>
        <v>1824.5679105771255</v>
      </c>
      <c r="E38" s="393">
        <f>((0.1*($E$37^0.75)+(0.84*($E$37^0.355))*((C9/1000)^1.2))*1000)*1.2</f>
        <v>2011.2045117846244</v>
      </c>
      <c r="F38" s="393">
        <f>((0.1*($F$37^0.75)+(0.84*($F$37^0.355))*((C9/1000)^1.2))*1000)*1.2</f>
        <v>2191.8597284748685</v>
      </c>
      <c r="G38" s="393">
        <f>((0.1*($G$37^0.75)+(0.84*($G$37^0.355))*((C9/1000)^1.2))*1000)*1.2</f>
        <v>2367.3710343752095</v>
      </c>
      <c r="H38" s="393">
        <f>((0.1*($H$37^0.75)+(0.84*($H$37^0.355))*((C9/1000)^1.2))*1000)*1.2</f>
        <v>2538.3865900860656</v>
      </c>
      <c r="I38" s="393">
        <f>((0.1*($I$37^0.75)+(0.84*($I$37^0.355))*((C9/1000)^1.2))*1000)*1.2</f>
        <v>2705.4213791892948</v>
      </c>
      <c r="J38" s="393">
        <f>((0.1*($J$37^0.75)+(0.84*($J$37^0.355))*((C9/1000)^1.2))*1000)*1.2</f>
        <v>2868.8933971948413</v>
      </c>
      <c r="K38" s="393">
        <f>((0.1*($K$37^0.75)+(0.84*($K$37^0.355))*((C9/1000)^1.2))*1000)*1.2</f>
        <v>3029.147975106282</v>
      </c>
      <c r="L38" s="393">
        <f>((0.1*($L$37^0.75)+(0.84*($L$37^0.355))*((C9/1000)^1.2))*1000)*1.2</f>
        <v>3186.4746995030082</v>
      </c>
      <c r="M38" s="393">
        <f>((0.1*($M$37^0.75)+(0.84*($M$37^0.355))*((C9/1000)^1.2))*1000)*1.2</f>
        <v>3341.1195267273479</v>
      </c>
      <c r="N38" s="393">
        <f>((0.1*($N$37^0.75)+(0.84*($N$37^0.355))*((B38/1000)^1.2))*1000)*1.2</f>
        <v>3493.2936716300223</v>
      </c>
      <c r="O38" s="393">
        <f>((0.1*($O$37^0.75)+(0.84*($O$37^0.355))*((B38/1000)^1.2))*1000)*1.2</f>
        <v>3643.1802690310501</v>
      </c>
      <c r="P38" s="393">
        <f>((0.1*($P$37^0.75)+(0.84*($P$37^0.355))*((B38/1000)^1.2))*1000)*1.2</f>
        <v>3790.9394587951751</v>
      </c>
      <c r="Q38" s="409">
        <f>((0.1*($Q$37^0.75)+(0.84*($Q$37^0.355))*((B38/1000)^1.2))*1000)*1.2</f>
        <v>3936.7123309229032</v>
      </c>
      <c r="R38" s="390">
        <v>50</v>
      </c>
    </row>
    <row r="39" spans="1:20" x14ac:dyDescent="0.15">
      <c r="A39" s="393">
        <v>2</v>
      </c>
      <c r="B39" s="408">
        <v>100</v>
      </c>
      <c r="C39" s="393">
        <f>((0.1*($C$37^0.75)+(0.84*($C$37^0.355))*((C10/1000)^1.2))*1000)*1.2</f>
        <v>1750.968041744082</v>
      </c>
      <c r="D39" s="393">
        <f>((0.1*($D$37^0.75)+(0.84*($D$37^0.355))*((C10/1000)^1.2))*1000)*1.2</f>
        <v>1951.4620267949165</v>
      </c>
      <c r="E39" s="393">
        <f>((0.1*($E$37^0.75)+(0.84*($E$37^0.355))*((C10/1000)^1.2))*1000)*1.2</f>
        <v>2144.2587235625265</v>
      </c>
      <c r="F39" s="393">
        <f>((0.1*($F$37^0.75)+(0.84*($F$37^0.355))*((C10/1000)^1.2))*1000)*1.2</f>
        <v>2330.5952822379436</v>
      </c>
      <c r="G39" s="393">
        <f>((0.1*($G$37^0.75)+(0.84*($G$37^0.355))*((C10/1000)^1.2))*1000)*1.2</f>
        <v>2511.3939773705788</v>
      </c>
      <c r="H39" s="393">
        <f>((0.1*($H$37^0.75)+(0.84*($H$37^0.355))*((C10/1000)^1.2))*1000)*1.2</f>
        <v>2687.3659432645859</v>
      </c>
      <c r="I39" s="393">
        <f>((0.1*($I$37^0.75)+(0.84*($I$37^0.355))*((C10/1000)^1.2))*1000)*1.2</f>
        <v>2859.0743719097327</v>
      </c>
      <c r="J39" s="393">
        <f>((0.1*($J$37^0.75)+(0.84*($J$37^0.355))*((C10/1000)^1.2))*1000)*1.2</f>
        <v>3026.9750875735594</v>
      </c>
      <c r="K39" s="393">
        <f>((0.1*($K$37^0.75)+(0.84*($K$37^0.355))*((C10/1000)^1.2))*1000)*1.2</f>
        <v>3191.4437200977786</v>
      </c>
      <c r="L39" s="393">
        <f>((0.1*($L$37^0.75)+(0.84*($L$37^0.355))*((C10/1000)^1.2))*1000)*1.2</f>
        <v>3352.7945469993269</v>
      </c>
      <c r="M39" s="393">
        <f>((0.1*($M$37^0.75)+(0.84*($M$37^0.355))*((C10/1000)^1.2))*1000)*1.2</f>
        <v>3511.2939451195184</v>
      </c>
      <c r="N39" s="393">
        <f>((0.1*($N$37^0.75)+(0.84*($N$37^0.355))*((B39/1000)^1.2))*1000)*1.2</f>
        <v>3667.1702351428034</v>
      </c>
      <c r="O39" s="393">
        <f>((0.1*($O$37^0.75)+(0.84*($O$37^0.355))*((B39/1000)^1.2))*1000)*1.2</f>
        <v>3820.6210419045624</v>
      </c>
      <c r="P39" s="393">
        <f>((0.1*($P$37^0.75)+(0.84*($P$37^0.355))*((B39/1000)^1.2))*1000)*1.2</f>
        <v>3971.818900756477</v>
      </c>
      <c r="Q39" s="409">
        <f>((0.1*($Q$37^0.75)+(0.84*($Q$37^0.355))*((B39/1000)^1.2))*1000)*1.2</f>
        <v>4120.9155983871224</v>
      </c>
      <c r="R39" s="390">
        <v>100</v>
      </c>
    </row>
    <row r="40" spans="1:20" x14ac:dyDescent="0.15">
      <c r="A40" s="393">
        <v>3</v>
      </c>
      <c r="B40" s="408">
        <v>150</v>
      </c>
      <c r="C40" s="393">
        <f>((0.1*($C$37^0.75)+(0.84*($C$37^0.355))*((C11/1000)^1.2))*1000)*1.2</f>
        <v>1884.2905815016518</v>
      </c>
      <c r="D40" s="393">
        <f>((0.1*($D$37^0.75)+(0.84*($D$37^0.355))*((C11/1000)^1.2))*1000)*1.2</f>
        <v>2092.2837610873398</v>
      </c>
      <c r="E40" s="393">
        <f>((0.1*($E$37^0.75)+(0.84*($E$37^0.355))*((C11/1000)^1.2))*1000)*1.2</f>
        <v>2291.9166719051991</v>
      </c>
      <c r="F40" s="393">
        <f>((0.1*($F$37^0.75)+(0.84*($F$37^0.355))*((C11/1000)^1.2))*1000)*1.2</f>
        <v>2484.5581441203994</v>
      </c>
      <c r="G40" s="393">
        <f>((0.1*($G$37^0.75)+(0.84*($G$37^0.355))*((C11/1000)^1.2))*1000)*1.2</f>
        <v>2671.2245606554425</v>
      </c>
      <c r="H40" s="393">
        <f>((0.1*($H$37^0.75)+(0.84*($H$37^0.355))*((C11/1000)^1.2))*1000)*1.2</f>
        <v>2852.6969413729234</v>
      </c>
      <c r="I40" s="393">
        <f>((0.1*($I$37^0.75)+(0.84*($I$37^0.355))*((C11/1000)^1.2))*1000)*1.2</f>
        <v>3029.5919779189521</v>
      </c>
      <c r="J40" s="393">
        <f>((0.1*($J$37^0.75)+(0.84*($J$37^0.355))*((C11/1000)^1.2))*1000)*1.2</f>
        <v>3202.4074753195873</v>
      </c>
      <c r="K40" s="393">
        <f>((0.1*($K$37^0.75)+(0.84*($K$37^0.355))*((C11/1000)^1.2))*1000)*1.2</f>
        <v>3371.5526877882703</v>
      </c>
      <c r="L40" s="393">
        <f>((0.1*($L$37^0.75)+(0.84*($L$37^0.355))*((C11/1000)^1.2))*1000)*1.2</f>
        <v>3537.3692938022782</v>
      </c>
      <c r="M40" s="393">
        <f>((0.1*($M$37^0.75)+(0.84*($M$37^0.355))*((C11/1000)^1.2))*1000)*1.2</f>
        <v>3700.1463320108041</v>
      </c>
      <c r="N40" s="393">
        <f>((0.1*($N$37^0.75)+(0.84*($N$37^0.355))*((B40/1000)^1.2))*1000)*1.2</f>
        <v>3860.1311064305751</v>
      </c>
      <c r="O40" s="393">
        <f>((0.1*($O$37^0.75)+(0.84*($O$37^0.355))*((B40/1000)^1.2))*1000)*1.2</f>
        <v>4017.5373223044321</v>
      </c>
      <c r="P40" s="393">
        <f>((0.1*($P$37^0.75)+(0.84*($P$37^0.355))*((B40/1000)^1.2))*1000)*1.2</f>
        <v>4172.551270972278</v>
      </c>
      <c r="Q40" s="409">
        <f>((0.1*($Q$37^0.75)+(0.84*($Q$37^0.355))*((B40/1000)^1.2))*1000)*1.2</f>
        <v>4325.3366098556244</v>
      </c>
      <c r="R40" s="390">
        <v>150</v>
      </c>
    </row>
    <row r="41" spans="1:20" x14ac:dyDescent="0.15">
      <c r="A41" s="393">
        <v>4</v>
      </c>
      <c r="B41" s="408">
        <v>200</v>
      </c>
      <c r="C41" s="393">
        <f>((0.1*($C$37^0.75)+(0.84*($C$37^0.355))*((C12/1000)^1.2))*1000)*1.2</f>
        <v>2026.9694956495314</v>
      </c>
      <c r="D41" s="393">
        <f>((0.1*($D$37^0.75)+(0.84*($D$37^0.355))*((C12/1000)^1.2))*1000)*1.2</f>
        <v>2242.9881519112737</v>
      </c>
      <c r="E41" s="393">
        <f>((0.1*($E$37^0.75)+(0.84*($E$37^0.355))*((C12/1000)^1.2))*1000)*1.2</f>
        <v>2449.9370319519335</v>
      </c>
      <c r="F41" s="393">
        <f>((0.1*($F$37^0.75)+(0.84*($F$37^0.355))*((C12/1000)^1.2))*1000)*1.2</f>
        <v>2649.3258870124373</v>
      </c>
      <c r="G41" s="393">
        <f>((0.1*($G$37^0.75)+(0.84*($G$37^0.355))*((C12/1000)^1.2))*1000)*1.2</f>
        <v>2842.2718127718035</v>
      </c>
      <c r="H41" s="393">
        <f>((0.1*($H$37^0.75)+(0.84*($H$37^0.355))*((C12/1000)^1.2))*1000)*1.2</f>
        <v>3029.630619113962</v>
      </c>
      <c r="I41" s="393">
        <f>((0.1*($I$37^0.75)+(0.84*($I$37^0.355))*((C12/1000)^1.2))*1000)*1.2</f>
        <v>3212.0762518664096</v>
      </c>
      <c r="J41" s="393">
        <f>((0.1*($J$37^0.75)+(0.84*($J$37^0.355))*((C12/1000)^1.2))*1000)*1.2</f>
        <v>3390.1514429599274</v>
      </c>
      <c r="K41" s="393">
        <f>((0.1*($K$37^0.75)+(0.84*($K$37^0.355))*((C12/1000)^1.2))*1000)*1.2</f>
        <v>3564.3014306872801</v>
      </c>
      <c r="L41" s="393">
        <f>((0.1*($L$37^0.75)+(0.84*($L$37^0.355))*((C12/1000)^1.2))*1000)*1.2</f>
        <v>3734.8972174440842</v>
      </c>
      <c r="M41" s="393">
        <f>((0.1*($M$37^0.75)+(0.84*($M$37^0.355))*((C12/1000)^1.2))*1000)*1.2</f>
        <v>3902.2520940588452</v>
      </c>
      <c r="N41" s="393">
        <f>((0.1*($N$37^0.75)+(0.84*($N$37^0.355))*((B41/1000)^1.2))*1000)*1.2</f>
        <v>4066.6336801021425</v>
      </c>
      <c r="O41" s="393">
        <f>((0.1*($O$37^0.75)+(0.84*($O$37^0.355))*((B41/1000)^1.2))*1000)*1.2</f>
        <v>4228.2728897229754</v>
      </c>
      <c r="P41" s="393">
        <f>((0.1*($P$37^0.75)+(0.84*($P$37^0.355))*((B41/1000)^1.2))*1000)*1.2</f>
        <v>4387.3707356239365</v>
      </c>
      <c r="Q41" s="409">
        <f>((0.1*($Q$37^0.75)+(0.84*($Q$37^0.355))*((B41/1000)^1.2))*1000)*1.2</f>
        <v>4544.1035790295755</v>
      </c>
      <c r="R41" s="390">
        <v>200</v>
      </c>
    </row>
    <row r="42" spans="1:20" x14ac:dyDescent="0.15">
      <c r="A42" s="393">
        <v>5</v>
      </c>
      <c r="B42" s="408">
        <v>250</v>
      </c>
      <c r="C42" s="393">
        <f>((0.1*($C$37^0.75)+(0.84*($C$37^0.355))*((C13/1000)^1.2))*1000)*1.2</f>
        <v>2177.0356948273584</v>
      </c>
      <c r="D42" s="393">
        <f>((0.1*($D$37^0.75)+(0.84*($D$37^0.355))*((C13/1000)^1.2))*1000)*1.2</f>
        <v>2401.4953515589918</v>
      </c>
      <c r="E42" s="393">
        <f>((0.1*($E$37^0.75)+(0.84*($E$37^0.355))*((C13/1000)^1.2))*1000)*1.2</f>
        <v>2616.1389894489416</v>
      </c>
      <c r="F42" s="393">
        <f>((0.1*($F$37^0.75)+(0.84*($F$37^0.355))*((C13/1000)^1.2))*1000)*1.2</f>
        <v>2822.6245770858022</v>
      </c>
      <c r="G42" s="393">
        <f>((0.1*($G$37^0.75)+(0.84*($G$37^0.355))*((C13/1000)^1.2))*1000)*1.2</f>
        <v>3022.1751373675452</v>
      </c>
      <c r="H42" s="393">
        <f>((0.1*($H$37^0.75)+(0.84*($H$37^0.355))*((C13/1000)^1.2))*1000)*1.2</f>
        <v>3215.7251424969522</v>
      </c>
      <c r="I42" s="393">
        <f>((0.1*($I$37^0.75)+(0.84*($I$37^0.355))*((C13/1000)^1.2))*1000)*1.2</f>
        <v>3404.008756851958</v>
      </c>
      <c r="J42" s="393">
        <f>((0.1*($J$37^0.75)+(0.84*($J$37^0.355))*((C13/1000)^1.2))*1000)*1.2</f>
        <v>3587.6159653850818</v>
      </c>
      <c r="K42" s="393">
        <f>((0.1*($K$37^0.75)+(0.84*($K$37^0.355))*((C13/1000)^1.2))*1000)*1.2</f>
        <v>3767.0298535653742</v>
      </c>
      <c r="L42" s="393">
        <f>((0.1*($L$37^0.75)+(0.84*($L$37^0.355))*((C13/1000)^1.2))*1000)*1.2</f>
        <v>3942.6522659699731</v>
      </c>
      <c r="M42" s="393">
        <f>((0.1*($M$37^0.75)+(0.84*($M$37^0.355))*((C13/1000)^1.2))*1000)*1.2</f>
        <v>4114.8220012776028</v>
      </c>
      <c r="N42" s="393">
        <f>((0.1*($N$37^0.75)+(0.84*($N$37^0.355))*((B42/1000)^1.2))*1000)*1.2</f>
        <v>4283.8280464624913</v>
      </c>
      <c r="O42" s="393">
        <f>((0.1*($O$37^0.75)+(0.84*($O$37^0.355))*((B42/1000)^1.2))*1000)*1.2</f>
        <v>4449.9194155810746</v>
      </c>
      <c r="P42" s="393">
        <f>((0.1*($P$37^0.75)+(0.84*($P$37^0.355))*((B42/1000)^1.2))*1000)*1.2</f>
        <v>4613.312604905881</v>
      </c>
      <c r="Q42" s="409">
        <f>((0.1*($Q$37^0.75)+(0.84*($Q$37^0.355))*((B42/1000)^1.2))*1000)*1.2</f>
        <v>4774.1973372114007</v>
      </c>
      <c r="R42" s="390">
        <v>250</v>
      </c>
    </row>
    <row r="43" spans="1:20" x14ac:dyDescent="0.15">
      <c r="A43" s="393">
        <v>6</v>
      </c>
      <c r="B43" s="408">
        <v>300</v>
      </c>
      <c r="C43" s="393">
        <f>((0.1*($C$37^0.75)+(0.84*($C$37^0.355))*((C14/1000)^1.2))*1000)*1.2</f>
        <v>2333.2642598566258</v>
      </c>
      <c r="D43" s="393">
        <f>((0.1*($D$37^0.75)+(0.84*($D$37^0.355))*((C14/1000)^1.2))*1000)*1.2</f>
        <v>2566.5115409703471</v>
      </c>
      <c r="E43" s="393">
        <f>((0.1*($E$37^0.75)+(0.84*($E$37^0.355))*((C14/1000)^1.2))*1000)*1.2</f>
        <v>2789.1659166788627</v>
      </c>
      <c r="F43" s="393">
        <f>((0.1*($F$37^0.75)+(0.84*($F$37^0.355))*((C14/1000)^1.2))*1000)*1.2</f>
        <v>3003.0396593624632</v>
      </c>
      <c r="G43" s="393">
        <f>((0.1*($G$37^0.75)+(0.84*($G$37^0.355))*((C14/1000)^1.2))*1000)*1.2</f>
        <v>3209.4660689668831</v>
      </c>
      <c r="H43" s="393">
        <f>((0.1*($H$37^0.75)+(0.84*($H$37^0.355))*((C14/1000)^1.2))*1000)*1.2</f>
        <v>3409.4615102280914</v>
      </c>
      <c r="I43" s="393">
        <f>((0.1*($I$37^0.75)+(0.84*($I$37^0.355))*((C14/1000)^1.2))*1000)*1.2</f>
        <v>3603.8228389080537</v>
      </c>
      <c r="J43" s="393">
        <f>((0.1*($J$37^0.75)+(0.84*($J$37^0.355))*((C14/1000)^1.2))*1000)*1.2</f>
        <v>3793.1892333940555</v>
      </c>
      <c r="K43" s="393">
        <f>((0.1*($K$37^0.75)+(0.84*($K$37^0.355))*((C14/1000)^1.2))*1000)*1.2</f>
        <v>3978.0831804998434</v>
      </c>
      <c r="L43" s="393">
        <f>((0.1*($L$37^0.75)+(0.84*($L$37^0.355))*((C14/1000)^1.2))*1000)*1.2</f>
        <v>4158.9386334971723</v>
      </c>
      <c r="M43" s="393">
        <f>((0.1*($M$37^0.75)+(0.84*($M$37^0.355))*((C14/1000)^1.2))*1000)*1.2</f>
        <v>4336.1209463774112</v>
      </c>
      <c r="N43" s="393">
        <f>((0.1*($N$37^0.75)+(0.84*($N$37^0.355))*((B43/1000)^1.2))*1000)*1.2</f>
        <v>4509.9413509562582</v>
      </c>
      <c r="O43" s="393">
        <f>((0.1*($O$37^0.75)+(0.84*($O$37^0.355))*((B43/1000)^1.2))*1000)*1.2</f>
        <v>4680.6677044579046</v>
      </c>
      <c r="P43" s="393">
        <f>((0.1*($P$37^0.75)+(0.84*($P$37^0.355))*((B43/1000)^1.2))*1000)*1.2</f>
        <v>4848.532622547028</v>
      </c>
      <c r="Q43" s="409">
        <f>((0.1*($Q$37^0.75)+(0.84*($Q$37^0.355))*((B43/1000)^1.2))*1000)*1.2</f>
        <v>5013.7397382309709</v>
      </c>
      <c r="R43" s="390">
        <v>300</v>
      </c>
    </row>
    <row r="44" spans="1:20" x14ac:dyDescent="0.15">
      <c r="A44" s="393">
        <v>7</v>
      </c>
      <c r="B44" s="408">
        <v>350</v>
      </c>
      <c r="C44" s="393">
        <f>((0.1*($C$37^0.75)+(0.84*($C$37^0.355))*((C15/1000)^1.2))*1000)*1.2</f>
        <v>2494.8108756543552</v>
      </c>
      <c r="D44" s="393">
        <f>((0.1*($D$37^0.75)+(0.84*($D$37^0.355))*((C15/1000)^1.2))*1000)*1.2</f>
        <v>2737.1449135949219</v>
      </c>
      <c r="E44" s="393">
        <f>((0.1*($E$37^0.75)+(0.84*($E$37^0.355))*((C15/1000)^1.2))*1000)*1.2</f>
        <v>2968.0827141968939</v>
      </c>
      <c r="F44" s="393">
        <f>((0.1*($F$37^0.75)+(0.84*($F$37^0.355))*((C15/1000)^1.2))*1000)*1.2</f>
        <v>3189.5961061633629</v>
      </c>
      <c r="G44" s="393">
        <f>((0.1*($G$37^0.75)+(0.84*($G$37^0.355))*((C15/1000)^1.2))*1000)*1.2</f>
        <v>3403.1324203400072</v>
      </c>
      <c r="H44" s="393">
        <f>((0.1*($H$37^0.75)+(0.84*($H$37^0.355))*((C15/1000)^1.2))*1000)*1.2</f>
        <v>3609.792701633753</v>
      </c>
      <c r="I44" s="393">
        <f>((0.1*($I$37^0.75)+(0.84*($I$37^0.355))*((C15/1000)^1.2))*1000)*1.2</f>
        <v>3810.4386312175138</v>
      </c>
      <c r="J44" s="393">
        <f>((0.1*($J$37^0.75)+(0.84*($J$37^0.355))*((C15/1000)^1.2))*1000)*1.2</f>
        <v>4005.7602554674395</v>
      </c>
      <c r="K44" s="393">
        <f>((0.1*($K$37^0.75)+(0.84*($K$37^0.355))*((C15/1000)^1.2))*1000)*1.2</f>
        <v>4196.320803771413</v>
      </c>
      <c r="L44" s="393">
        <f>((0.1*($L$37^0.75)+(0.84*($L$37^0.355))*((C15/1000)^1.2))*1000)*1.2</f>
        <v>4382.5874310820273</v>
      </c>
      <c r="M44" s="393">
        <f>((0.1*($M$37^0.75)+(0.84*($M$37^0.355))*((C15/1000)^1.2))*1000)*1.2</f>
        <v>4564.9529506513045</v>
      </c>
      <c r="N44" s="393">
        <f>((0.1*($N$37^0.75)+(0.84*($N$37^0.355))*((B44/1000)^1.2))*1000)*1.2</f>
        <v>4743.7515963551477</v>
      </c>
      <c r="O44" s="393">
        <f>((0.1*($O$37^0.75)+(0.84*($O$37^0.355))*((B44/1000)^1.2))*1000)*1.2</f>
        <v>4919.2707100106063</v>
      </c>
      <c r="P44" s="393">
        <f>((0.1*($P$37^0.75)+(0.84*($P$37^0.355))*((B44/1000)^1.2))*1000)*1.2</f>
        <v>5091.7595753817486</v>
      </c>
      <c r="Q44" s="409">
        <f>((0.1*($Q$37^0.75)+(0.84*($Q$37^0.355))*((B44/1000)^1.2))*1000)*1.2</f>
        <v>5261.4362092158062</v>
      </c>
      <c r="R44" s="390">
        <v>350</v>
      </c>
    </row>
    <row r="45" spans="1:20" x14ac:dyDescent="0.15">
      <c r="A45" s="393">
        <v>8</v>
      </c>
      <c r="B45" s="408">
        <v>400</v>
      </c>
      <c r="C45" s="393">
        <f>((0.1*($C$37^0.75)+(0.84*($C$37^0.355))*((C16/1000)^1.2))*1000)*1.2</f>
        <v>2661.0543278054915</v>
      </c>
      <c r="D45" s="393">
        <f>((0.1*($D$37^0.75)+(0.84*($D$37^0.355))*((C16/1000)^1.2))*1000)*1.2</f>
        <v>2912.7393126309134</v>
      </c>
      <c r="E45" s="393">
        <f>((0.1*($E$37^0.75)+(0.84*($E$37^0.355))*((C16/1000)^1.2))*1000)*1.2</f>
        <v>3152.2013719623083</v>
      </c>
      <c r="F45" s="393">
        <f>((0.1*($F$37^0.75)+(0.84*($F$37^0.355))*((C16/1000)^1.2))*1000)*1.2</f>
        <v>3381.5765297957805</v>
      </c>
      <c r="G45" s="393">
        <f>((0.1*($G$37^0.75)+(0.84*($G$37^0.355))*((C16/1000)^1.2))*1000)*1.2</f>
        <v>3602.4294632325377</v>
      </c>
      <c r="H45" s="393">
        <f>((0.1*($H$37^0.75)+(0.84*($H$37^0.355))*((C16/1000)^1.2))*1000)*1.2</f>
        <v>3815.9483593575051</v>
      </c>
      <c r="I45" s="393">
        <f>((0.1*($I$37^0.75)+(0.84*($I$37^0.355))*((C16/1000)^1.2))*1000)*1.2</f>
        <v>4023.0616095006008</v>
      </c>
      <c r="J45" s="393">
        <f>((0.1*($J$37^0.75)+(0.84*($J$37^0.355))*((C16/1000)^1.2))*1000)*1.2</f>
        <v>4224.5116069722053</v>
      </c>
      <c r="K45" s="393">
        <f>((0.1*($K$37^0.75)+(0.84*($K$37^0.355))*((C16/1000)^1.2))*1000)*1.2</f>
        <v>4420.9035082915207</v>
      </c>
      <c r="L45" s="393">
        <f>((0.1*($L$37^0.75)+(0.84*($L$37^0.355))*((C16/1000)^1.2))*1000)*1.2</f>
        <v>4612.7386354038172</v>
      </c>
      <c r="M45" s="393">
        <f>((0.1*($M$37^0.75)+(0.84*($M$37^0.355))*((C16/1000)^1.2))*1000)*1.2</f>
        <v>4800.4380591774252</v>
      </c>
      <c r="N45" s="393">
        <f>((0.1*($N$37^0.75)+(0.84*($N$37^0.355))*((B45/1000)^1.2))*1000)*1.2</f>
        <v>4984.3596843146242</v>
      </c>
      <c r="O45" s="393">
        <f>((0.1*($O$37^0.75)+(0.84*($O$37^0.355))*((B45/1000)^1.2))*1000)*1.2</f>
        <v>5164.8109037240001</v>
      </c>
      <c r="P45" s="393">
        <f>((0.1*($P$37^0.75)+(0.84*($P$37^0.355))*((B45/1000)^1.2))*1000)*1.2</f>
        <v>5342.0581538804363</v>
      </c>
      <c r="Q45" s="409">
        <f>((0.1*($Q$37^0.75)+(0.84*($Q$37^0.355))*((B45/1000)^1.2))*1000)*1.2</f>
        <v>5516.3342534665808</v>
      </c>
      <c r="R45" s="390">
        <v>400</v>
      </c>
    </row>
    <row r="46" spans="1:20" x14ac:dyDescent="0.15">
      <c r="A46" s="393">
        <v>9</v>
      </c>
      <c r="B46" s="408">
        <v>450</v>
      </c>
      <c r="C46" s="393">
        <f>((0.1*($C$37^0.75)+(0.84*($C$37^0.355))*((C17/1000)^1.2))*1000)*1.2</f>
        <v>2831.5162980290002</v>
      </c>
      <c r="D46" s="393">
        <f>((0.1*($D$37^0.75)+(0.84*($D$37^0.355))*((C17/1000)^1.2))*1000)*1.2</f>
        <v>3092.7895151055109</v>
      </c>
      <c r="E46" s="393">
        <f>((0.1*($E$37^0.75)+(0.84*($E$37^0.355))*((C17/1000)^1.2))*1000)*1.2</f>
        <v>3340.9921408707141</v>
      </c>
      <c r="F46" s="393">
        <f>((0.1*($F$37^0.75)+(0.84*($F$37^0.355))*((C17/1000)^1.2))*1000)*1.2</f>
        <v>3578.4285611586406</v>
      </c>
      <c r="G46" s="393">
        <f>((0.1*($G$37^0.75)+(0.84*($G$37^0.355))*((C17/1000)^1.2))*1000)*1.2</f>
        <v>3806.7837770511323</v>
      </c>
      <c r="H46" s="393">
        <f>((0.1*($H$37^0.75)+(0.84*($H$37^0.355))*((C17/1000)^1.2))*1000)*1.2</f>
        <v>4027.3353290913019</v>
      </c>
      <c r="I46" s="393">
        <f>((0.1*($I$37^0.75)+(0.84*($I$37^0.355))*((C17/1000)^1.2))*1000)*1.2</f>
        <v>4241.0800115726115</v>
      </c>
      <c r="J46" s="393">
        <f>((0.1*($J$37^0.75)+(0.84*($J$37^0.355))*((C17/1000)^1.2))*1000)*1.2</f>
        <v>4448.8138930716159</v>
      </c>
      <c r="K46" s="393">
        <f>((0.1*($K$37^0.75)+(0.84*($K$37^0.355))*((C17/1000)^1.2))*1000)*1.2</f>
        <v>4651.1851211626126</v>
      </c>
      <c r="L46" s="393">
        <f>((0.1*($L$37^0.75)+(0.84*($L$37^0.355))*((C17/1000)^1.2))*1000)*1.2</f>
        <v>4848.7300517895819</v>
      </c>
      <c r="M46" s="393">
        <f>((0.1*($M$37^0.75)+(0.84*($M$37^0.355))*((C17/1000)^1.2))*1000)*1.2</f>
        <v>5041.8987304895536</v>
      </c>
      <c r="N46" s="393">
        <f>((0.1*($N$37^0.75)+(0.84*($N$37^0.355))*((B46/1000)^1.2))*1000)*1.2</f>
        <v>5231.0733334512925</v>
      </c>
      <c r="O46" s="393">
        <f>((0.1*($O$37^0.75)+(0.84*($O$37^0.355))*((B46/1000)^1.2))*1000)*1.2</f>
        <v>5416.5818134822703</v>
      </c>
      <c r="P46" s="393">
        <f>((0.1*($P$37^0.75)+(0.84*($P$37^0.355))*((B46/1000)^1.2))*1000)*1.2</f>
        <v>5598.708195027566</v>
      </c>
      <c r="Q46" s="409">
        <f>((0.1*($Q$37^0.75)+(0.84*($Q$37^0.355))*((B46/1000)^1.2))*1000)*1.2</f>
        <v>5777.7004743124071</v>
      </c>
      <c r="R46" s="390">
        <v>450</v>
      </c>
    </row>
    <row r="47" spans="1:20" x14ac:dyDescent="0.15">
      <c r="A47" s="393">
        <v>10</v>
      </c>
      <c r="B47" s="408">
        <v>500</v>
      </c>
      <c r="C47" s="393">
        <f>((0.1*($C$37^0.75)+(0.84*($C$37^0.355))*((C18/1000)^1.2))*1000)*1.2</f>
        <v>3005.8159200779464</v>
      </c>
      <c r="D47" s="393">
        <f>((0.1*($D$37^0.75)+(0.84*($D$37^0.355))*((C18/1000)^1.2))*1000)*1.2</f>
        <v>3276.893231611954</v>
      </c>
      <c r="E47" s="393">
        <f>((0.1*($E$37^0.75)+(0.84*($E$37^0.355))*((C18/1000)^1.2))*1000)*1.2</f>
        <v>3534.0332023105098</v>
      </c>
      <c r="F47" s="393">
        <f>((0.1*($F$37^0.75)+(0.84*($F$37^0.355))*((C18/1000)^1.2))*1000)*1.2</f>
        <v>3779.7123702166109</v>
      </c>
      <c r="G47" s="393">
        <f>((0.1*($G$37^0.75)+(0.84*($G$37^0.355))*((C18/1000)^1.2))*1000)*1.2</f>
        <v>4015.7387692757884</v>
      </c>
      <c r="H47" s="393">
        <f>((0.1*($H$37^0.75)+(0.84*($H$37^0.355))*((C18/1000)^1.2))*1000)*1.2</f>
        <v>4243.4813051255005</v>
      </c>
      <c r="I47" s="393">
        <f>((0.1*($I$37^0.75)+(0.84*($I$37^0.355))*((C18/1000)^1.2))*1000)*1.2</f>
        <v>4464.0067149953202</v>
      </c>
      <c r="J47" s="393">
        <f>((0.1*($J$37^0.75)+(0.84*($J$37^0.355))*((C18/1000)^1.2))*1000)*1.2</f>
        <v>4678.1659511323069</v>
      </c>
      <c r="K47" s="393">
        <f>((0.1*($K$37^0.75)+(0.84*($K$37^0.355))*((C18/1000)^1.2))*1000)*1.2</f>
        <v>4886.6511200339419</v>
      </c>
      <c r="L47" s="393">
        <f>((0.1*($L$37^0.75)+(0.84*($L$37^0.355))*((C18/1000)^1.2))*1000)*1.2</f>
        <v>5090.0344003718537</v>
      </c>
      <c r="M47" s="393">
        <f>((0.1*($M$37^0.75)+(0.84*($M$37^0.355))*((C18/1000)^1.2))*1000)*1.2</f>
        <v>5288.7954646655435</v>
      </c>
      <c r="N47" s="393">
        <f>((0.1*($N$37^0.75)+(0.84*($N$37^0.355))*((B47/1000)^1.2))*1000)*1.2</f>
        <v>5483.3413070201377</v>
      </c>
      <c r="O47" s="393">
        <f>((0.1*($O$37^0.75)+(0.84*($O$37^0.355))*((B47/1000)^1.2))*1000)*1.2</f>
        <v>5674.0209030120122</v>
      </c>
      <c r="P47" s="393">
        <f>((0.1*($P$37^0.75)+(0.84*($P$37^0.355))*((B47/1000)^1.2))*1000)*1.2</f>
        <v>5861.1362610186861</v>
      </c>
      <c r="Q47" s="409">
        <f>((0.1*($Q$37^0.75)+(0.84*($Q$37^0.355))*((B47/1000)^1.2))*1000)*1.2</f>
        <v>6044.9508965036794</v>
      </c>
      <c r="R47" s="390">
        <v>500</v>
      </c>
    </row>
    <row r="48" spans="1:20" x14ac:dyDescent="0.15">
      <c r="A48" s="393">
        <v>11</v>
      </c>
      <c r="B48" s="408">
        <v>550</v>
      </c>
      <c r="C48" s="393">
        <f>((0.1*($C$37^0.75)+(0.84*($C$37^0.355))*((C19/1000)^1.2))*1000)*1.2</f>
        <v>3183.6419823034284</v>
      </c>
      <c r="D48" s="393">
        <f>((0.1*($D$37^0.75)+(0.84*($D$37^0.355))*((C19/1000)^1.2))*1000)*1.2</f>
        <v>3464.7217453090379</v>
      </c>
      <c r="E48" s="393">
        <f>((0.1*($E$37^0.75)+(0.84*($E$37^0.355))*((C19/1000)^1.2))*1000)*1.2</f>
        <v>3730.9798818278423</v>
      </c>
      <c r="F48" s="393">
        <f>((0.1*($F$37^0.75)+(0.84*($F$37^0.355))*((C19/1000)^1.2))*1000)*1.2</f>
        <v>3985.0685651053914</v>
      </c>
      <c r="G48" s="393">
        <f>((0.1*($G$37^0.75)+(0.84*($G$37^0.355))*((C19/1000)^1.2))*1000)*1.2</f>
        <v>4228.9213511590242</v>
      </c>
      <c r="H48" s="393">
        <f>((0.1*($H$37^0.75)+(0.84*($H$37^0.355))*((C19/1000)^1.2))*1000)*1.2</f>
        <v>4464.0003592244893</v>
      </c>
      <c r="I48" s="393">
        <f>((0.1*($I$37^0.75)+(0.84*($I$37^0.355))*((C19/1000)^1.2))*1000)*1.2</f>
        <v>4691.4436845570526</v>
      </c>
      <c r="J48" s="393">
        <f>((0.1*($J$37^0.75)+(0.84*($J$37^0.355))*((C19/1000)^1.2))*1000)*1.2</f>
        <v>4912.1582734839267</v>
      </c>
      <c r="K48" s="393">
        <f>((0.1*($K$37^0.75)+(0.84*($K$37^0.355))*((C19/1000)^1.2))*1000)*1.2</f>
        <v>5126.8810808052813</v>
      </c>
      <c r="L48" s="393">
        <f>((0.1*($L$37^0.75)+(0.84*($L$37^0.355))*((C19/1000)^1.2))*1000)*1.2</f>
        <v>5336.2208326879272</v>
      </c>
      <c r="M48" s="393">
        <f>((0.1*($M$37^0.75)+(0.84*($M$37^0.355))*((C19/1000)^1.2))*1000)*1.2</f>
        <v>5540.6874280486782</v>
      </c>
      <c r="N48" s="393">
        <f>((0.1*($N$37^0.75)+(0.84*($N$37^0.355))*((B48/1000)^1.2))*1000)*1.2</f>
        <v>5740.7131810265664</v>
      </c>
      <c r="O48" s="393">
        <f>((0.1*($O$37^0.75)+(0.84*($O$37^0.355))*((B48/1000)^1.2))*1000)*1.2</f>
        <v>5936.6685153007611</v>
      </c>
      <c r="P48" s="393">
        <f>((0.1*($P$37^0.75)+(0.84*($P$37^0.355))*((B48/1000)^1.2))*1000)*1.2</f>
        <v>6128.8737870331979</v>
      </c>
      <c r="Q48" s="409">
        <f>((0.1*($Q$37^0.75)+(0.84*($Q$37^0.355))*((B48/1000)^1.2))*1000)*1.2</f>
        <v>6317.6083449118332</v>
      </c>
      <c r="R48" s="390">
        <v>550</v>
      </c>
    </row>
    <row r="49" spans="1:19" x14ac:dyDescent="0.15">
      <c r="A49" s="393">
        <v>12</v>
      </c>
      <c r="B49" s="408">
        <v>600</v>
      </c>
      <c r="C49" s="393">
        <f>((0.1*($C$37^0.75)+(0.84*($C$37^0.355))*((C20/1000)^1.2))*1000)*1.2</f>
        <v>3364.7349113832797</v>
      </c>
      <c r="D49" s="393">
        <f>((0.1*($D$37^0.75)+(0.84*($D$37^0.355))*((C20/1000)^1.2))*1000)*1.2</f>
        <v>3656.0008822613609</v>
      </c>
      <c r="E49" s="393">
        <f>((0.1*($E$37^0.75)+(0.84*($E$37^0.355))*((C20/1000)^1.2))*1000)*1.2</f>
        <v>3931.5446956689152</v>
      </c>
      <c r="F49" s="393">
        <f>((0.1*($F$37^0.75)+(0.84*($F$37^0.355))*((C20/1000)^1.2))*1000)*1.2</f>
        <v>4194.1973866723201</v>
      </c>
      <c r="G49" s="393">
        <f>((0.1*($G$37^0.75)+(0.84*($G$37^0.355))*((C20/1000)^1.2))*1000)*1.2</f>
        <v>4446.0203393438323</v>
      </c>
      <c r="H49" s="393">
        <f>((0.1*($H$37^0.75)+(0.84*($H$37^0.355))*((C20/1000)^1.2))*1000)*1.2</f>
        <v>4688.5705989572225</v>
      </c>
      <c r="I49" s="393">
        <f>((0.1*($I$37^0.75)+(0.84*($I$37^0.355))*((C20/1000)^1.2))*1000)*1.2</f>
        <v>4923.0589297214783</v>
      </c>
      <c r="J49" s="393">
        <f>((0.1*($J$37^0.75)+(0.84*($J$37^0.355))*((C20/1000)^1.2))*1000)*1.2</f>
        <v>5150.4493007188521</v>
      </c>
      <c r="K49" s="393">
        <f>((0.1*($K$37^0.75)+(0.84*($K$37^0.355))*((C20/1000)^1.2))*1000)*1.2</f>
        <v>5371.5243389664929</v>
      </c>
      <c r="L49" s="393">
        <f>((0.1*($L$37^0.75)+(0.84*($L$37^0.355))*((C20/1000)^1.2))*1000)*1.2</f>
        <v>5586.9299895454096</v>
      </c>
      <c r="M49" s="393">
        <f>((0.1*($M$37^0.75)+(0.84*($M$37^0.355))*((C20/1000)^1.2))*1000)*1.2</f>
        <v>5797.206933063002</v>
      </c>
      <c r="N49" s="393">
        <f>((0.1*($N$37^0.75)+(0.84*($N$37^0.355))*((B49/1000)^1.2))*1000)*1.2</f>
        <v>6002.8132688500036</v>
      </c>
      <c r="O49" s="393">
        <f>((0.1*($O$37^0.75)+(0.84*($O$37^0.355))*((B49/1000)^1.2))*1000)*1.2</f>
        <v>6204.1412627144036</v>
      </c>
      <c r="P49" s="393">
        <f>((0.1*($P$37^0.75)+(0.84*($P$37^0.355))*((B49/1000)^1.2))*1000)*1.2</f>
        <v>6401.5299556722057</v>
      </c>
      <c r="Q49" s="409">
        <f>((0.1*($Q$37^0.75)+(0.84*($Q$37^0.355))*((B49/1000)^1.2))*1000)*1.2</f>
        <v>6595.2748205101207</v>
      </c>
      <c r="R49" s="390">
        <v>600</v>
      </c>
    </row>
    <row r="50" spans="1:19" x14ac:dyDescent="0.15">
      <c r="A50" s="393">
        <v>13</v>
      </c>
      <c r="B50" s="408">
        <v>650</v>
      </c>
      <c r="C50" s="393">
        <f>((0.1*($C$37^0.75)+(0.84*($C$37^0.355))*((C21/1000)^1.2))*1000)*1.2</f>
        <v>3548.8745530213509</v>
      </c>
      <c r="D50" s="393">
        <f>((0.1*($D$37^0.75)+(0.84*($D$37^0.355))*((C21/1000)^1.2))*1000)*1.2</f>
        <v>3850.4981048211057</v>
      </c>
      <c r="E50" s="393">
        <f>((0.1*($E$37^0.75)+(0.84*($E$37^0.355))*((C21/1000)^1.2))*1000)*1.2</f>
        <v>4135.4838176078874</v>
      </c>
      <c r="F50" s="393">
        <f>((0.1*($F$37^0.75)+(0.84*($F$37^0.355))*((C21/1000)^1.2))*1000)*1.2</f>
        <v>4406.844597445227</v>
      </c>
      <c r="G50" s="393">
        <f>((0.1*($G$37^0.75)+(0.84*($G$37^0.355))*((C21/1000)^1.2))*1000)*1.2</f>
        <v>4666.7718070431083</v>
      </c>
      <c r="H50" s="393">
        <f>((0.1*($H$37^0.75)+(0.84*($H$37^0.355))*((C21/1000)^1.2))*1000)*1.2</f>
        <v>4916.919014751672</v>
      </c>
      <c r="I50" s="393">
        <f>((0.1*($I$37^0.75)+(0.84*($I$37^0.355))*((C21/1000)^1.2))*1000)*1.2</f>
        <v>5158.5708763181647</v>
      </c>
      <c r="J50" s="393">
        <f>((0.1*($J$37^0.75)+(0.84*($J$37^0.355))*((C21/1000)^1.2))*1000)*1.2</f>
        <v>5392.7493429323113</v>
      </c>
      <c r="K50" s="393">
        <f>((0.1*($K$37^0.75)+(0.84*($K$37^0.355))*((C21/1000)^1.2))*1000)*1.2</f>
        <v>5620.2834822189125</v>
      </c>
      <c r="L50" s="393">
        <f>((0.1*($L$37^0.75)+(0.84*($L$37^0.355))*((C21/1000)^1.2))*1000)*1.2</f>
        <v>5841.8570843452471</v>
      </c>
      <c r="M50" s="393">
        <f>((0.1*($M$37^0.75)+(0.84*($M$37^0.355))*((C21/1000)^1.2))*1000)*1.2</f>
        <v>6058.0421294813268</v>
      </c>
      <c r="N50" s="393">
        <f>((0.1*($N$37^0.75)+(0.84*($N$37^0.355))*((B50/1000)^1.2))*1000)*1.2</f>
        <v>6269.322935960382</v>
      </c>
      <c r="O50" s="393">
        <f>((0.1*($O$37^0.75)+(0.84*($O$37^0.355))*((B50/1000)^1.2))*1000)*1.2</f>
        <v>6476.1139791918149</v>
      </c>
      <c r="P50" s="393">
        <f>((0.1*($P$37^0.75)+(0.84*($P$37^0.355))*((B50/1000)^1.2))*1000)*1.2</f>
        <v>6678.7732994002063</v>
      </c>
      <c r="Q50" s="409">
        <f>((0.1*($Q$37^0.75)+(0.84*($Q$37^0.355))*((B50/1000)^1.2))*1000)*1.2</f>
        <v>6877.612764743325</v>
      </c>
      <c r="R50" s="390">
        <v>650</v>
      </c>
    </row>
    <row r="51" spans="1:19" x14ac:dyDescent="0.15">
      <c r="A51" s="393">
        <v>14</v>
      </c>
      <c r="B51" s="408">
        <v>700</v>
      </c>
      <c r="C51" s="393">
        <f>((0.1*($C$37^0.75)+(0.84*($C$37^0.355))*((C22/1000)^1.2))*1000)*1.2</f>
        <v>3735.8715750276601</v>
      </c>
      <c r="D51" s="393">
        <f>((0.1*($D$37^0.75)+(0.84*($D$37^0.355))*((C22/1000)^1.2))*1000)*1.2</f>
        <v>4048.0134311442516</v>
      </c>
      <c r="E51" s="393">
        <f>((0.1*($E$37^0.75)+(0.84*($E$37^0.355))*((C22/1000)^1.2))*1000)*1.2</f>
        <v>4342.5875576495137</v>
      </c>
      <c r="F51" s="393">
        <f>((0.1*($F$37^0.75)+(0.84*($F$37^0.355))*((C22/1000)^1.2))*1000)*1.2</f>
        <v>4622.7915537808922</v>
      </c>
      <c r="G51" s="393">
        <f>((0.1*($G$37^0.75)+(0.84*($G$37^0.355))*((C22/1000)^1.2))*1000)*1.2</f>
        <v>4890.9487778250041</v>
      </c>
      <c r="H51" s="393">
        <f>((0.1*($H$37^0.75)+(0.84*($H$37^0.355))*((C22/1000)^1.2))*1000)*1.2</f>
        <v>5148.8108190017811</v>
      </c>
      <c r="I51" s="393">
        <f>((0.1*($I$37^0.75)+(0.84*($I$37^0.355))*((C22/1000)^1.2))*1000)*1.2</f>
        <v>5397.7373712060526</v>
      </c>
      <c r="J51" s="393">
        <f>((0.1*($J$37^0.75)+(0.84*($J$37^0.355))*((C22/1000)^1.2))*1000)*1.2</f>
        <v>5638.8092674703203</v>
      </c>
      <c r="K51" s="393">
        <f>((0.1*($K$37^0.75)+(0.84*($K$37^0.355))*((C22/1000)^1.2))*1000)*1.2</f>
        <v>5872.9027366675227</v>
      </c>
      <c r="L51" s="393">
        <f>((0.1*($L$37^0.75)+(0.84*($L$37^0.355))*((C22/1000)^1.2))*1000)*1.2</f>
        <v>6100.7400013109846</v>
      </c>
      <c r="M51" s="393">
        <f>((0.1*($M$37^0.75)+(0.84*($M$37^0.355))*((C22/1000)^1.2))*1000)*1.2</f>
        <v>6322.9248268231959</v>
      </c>
      <c r="N51" s="393">
        <f>((0.1*($N$37^0.75)+(0.84*($N$37^0.355))*((B51/1000)^1.2))*1000)*1.2</f>
        <v>6539.9681573923208</v>
      </c>
      <c r="O51" s="393">
        <f>((0.1*($O$37^0.75)+(0.84*($O$37^0.355))*((B51/1000)^1.2))*1000)*1.2</f>
        <v>6752.3070226658774</v>
      </c>
      <c r="P51" s="393">
        <f>((0.1*($P$37^0.75)+(0.84*($P$37^0.355))*((B51/1000)^1.2))*1000)*1.2</f>
        <v>6960.3187568965732</v>
      </c>
      <c r="Q51" s="409">
        <f>((0.1*($Q$37^0.75)+(0.84*($Q$37^0.355))*((B51/1000)^1.2))*1000)*1.2</f>
        <v>7164.3318780278232</v>
      </c>
      <c r="R51" s="390">
        <v>700</v>
      </c>
    </row>
    <row r="52" spans="1:19" x14ac:dyDescent="0.15">
      <c r="A52" s="393">
        <v>15</v>
      </c>
      <c r="B52" s="408">
        <v>750</v>
      </c>
      <c r="C52" s="393">
        <f>((0.1*($C$37^0.75)+(0.84*($C$37^0.355))*((C23/1000)^1.2))*1000)*1.2</f>
        <v>3925.5612333022527</v>
      </c>
      <c r="D52" s="393">
        <f>((0.1*($D$37^0.75)+(0.84*($D$37^0.355))*((C23/1000)^1.2))*1000)*1.2</f>
        <v>4248.3728505202898</v>
      </c>
      <c r="E52" s="393">
        <f>((0.1*($E$37^0.75)+(0.84*($E$37^0.355))*((C23/1000)^1.2))*1000)*1.2</f>
        <v>4552.6734577049747</v>
      </c>
      <c r="F52" s="393">
        <f>((0.1*($F$37^0.75)+(0.84*($F$37^0.355))*((C23/1000)^1.2))*1000)*1.2</f>
        <v>4841.8480067300143</v>
      </c>
      <c r="G52" s="393">
        <f>((0.1*($G$37^0.75)+(0.84*($G$37^0.355))*((C23/1000)^1.2))*1000)*1.2</f>
        <v>5118.3537521096569</v>
      </c>
      <c r="H52" s="393">
        <f>((0.1*($H$37^0.75)+(0.84*($H$37^0.355))*((C23/1000)^1.2))*1000)*1.2</f>
        <v>5384.0417153708049</v>
      </c>
      <c r="I52" s="393">
        <f>((0.1*($I$37^0.75)+(0.84*($I$37^0.355))*((C23/1000)^1.2))*1000)*1.2</f>
        <v>5640.3477090566994</v>
      </c>
      <c r="J52" s="393">
        <f>((0.1*($J$37^0.75)+(0.84*($J$37^0.355))*((C23/1000)^1.2))*1000)*1.2</f>
        <v>5888.4122959031074</v>
      </c>
      <c r="K52" s="393">
        <f>((0.1*($K$37^0.75)+(0.84*($K$37^0.355))*((C23/1000)^1.2))*1000)*1.2</f>
        <v>6129.159545122594</v>
      </c>
      <c r="L52" s="393">
        <f>((0.1*($L$37^0.75)+(0.84*($L$37^0.355))*((C23/1000)^1.2))*1000)*1.2</f>
        <v>6363.35066497548</v>
      </c>
      <c r="M52" s="393">
        <f>((0.1*($M$37^0.75)+(0.84*($M$37^0.355))*((C23/1000)^1.2))*1000)*1.2</f>
        <v>6591.6216638238202</v>
      </c>
      <c r="N52" s="393">
        <f>((0.1*($N$37^0.75)+(0.84*($N$37^0.355))*((B52/1000)^1.2))*1000)*1.2</f>
        <v>6814.5104951058283</v>
      </c>
      <c r="O52" s="393">
        <f>((0.1*($O$37^0.75)+(0.84*($O$37^0.355))*((B52/1000)^1.2))*1000)*1.2</f>
        <v>7032.4770674735801</v>
      </c>
      <c r="P52" s="393">
        <f>((0.1*($P$37^0.75)+(0.84*($P$37^0.355))*((B52/1000)^1.2))*1000)*1.2</f>
        <v>7245.9182870294544</v>
      </c>
      <c r="Q52" s="409">
        <f>((0.1*($Q$37^0.75)+(0.84*($Q$37^0.355))*((B52/1000)^1.2))*1000)*1.2</f>
        <v>7455.1795612486567</v>
      </c>
      <c r="R52" s="390">
        <v>750</v>
      </c>
    </row>
    <row r="53" spans="1:19" x14ac:dyDescent="0.15">
      <c r="A53" s="393">
        <v>16</v>
      </c>
      <c r="B53" s="408">
        <v>800</v>
      </c>
      <c r="C53" s="393">
        <f>((0.1*($C$37^0.75)+(0.84*($C$37^0.355))*((C24/1000)^1.2))*1000)*1.2</f>
        <v>4117.7987350577359</v>
      </c>
      <c r="D53" s="393">
        <f>((0.1*($D$37^0.75)+(0.84*($D$37^0.355))*((C24/1000)^1.2))*1000)*1.2</f>
        <v>4451.423425782923</v>
      </c>
      <c r="E53" s="393">
        <f>((0.1*($E$37^0.75)+(0.84*($E$37^0.355))*((C24/1000)^1.2))*1000)*1.2</f>
        <v>4765.5811562483022</v>
      </c>
      <c r="F53" s="393">
        <f>((0.1*($F$37^0.75)+(0.84*($F$37^0.355))*((C24/1000)^1.2))*1000)*1.2</f>
        <v>5063.8467474172749</v>
      </c>
      <c r="G53" s="393">
        <f>((0.1*($G$37^0.75)+(0.84*($G$37^0.355))*((C24/1000)^1.2))*1000)*1.2</f>
        <v>5348.8131484778487</v>
      </c>
      <c r="H53" s="393">
        <f>((0.1*($H$37^0.75)+(0.84*($H$37^0.355))*((C24/1000)^1.2))*1000)*1.2</f>
        <v>5622.4321488029937</v>
      </c>
      <c r="I53" s="393">
        <f>((0.1*($I$37^0.75)+(0.84*($I$37^0.355))*((C24/1000)^1.2))*1000)*1.2</f>
        <v>5886.2167019827557</v>
      </c>
      <c r="J53" s="393">
        <f>((0.1*($J$37^0.75)+(0.84*($J$37^0.355))*((C24/1000)^1.2))*1000)*1.2</f>
        <v>6141.367902724126</v>
      </c>
      <c r="K53" s="393">
        <f>((0.1*($K$37^0.75)+(0.84*($K$37^0.355))*((C24/1000)^1.2))*1000)*1.2</f>
        <v>6388.85830315359</v>
      </c>
      <c r="L53" s="393">
        <f>((0.1*($L$37^0.75)+(0.84*($L$37^0.355))*((C24/1000)^1.2))*1000)*1.2</f>
        <v>6629.488620921039</v>
      </c>
      <c r="M53" s="393">
        <f>((0.1*($M$37^0.75)+(0.84*($M$37^0.355))*((C24/1000)^1.2))*1000)*1.2</f>
        <v>6863.9275404036989</v>
      </c>
      <c r="N53" s="393">
        <f>((0.1*($N$37^0.75)+(0.84*($N$37^0.355))*((B53/1000)^1.2))*1000)*1.2</f>
        <v>7092.7403870683856</v>
      </c>
      <c r="O53" s="393">
        <f>((0.1*($O$37^0.75)+(0.84*($O$37^0.355))*((B53/1000)^1.2))*1000)*1.2</f>
        <v>7316.4102558743334</v>
      </c>
      <c r="P53" s="393">
        <f>((0.1*($P$37^0.75)+(0.84*($P$37^0.355))*((B53/1000)^1.2))*1000)*1.2</f>
        <v>7535.3538876556504</v>
      </c>
      <c r="Q53" s="409">
        <f>((0.1*($Q$37^0.75)+(0.84*($Q$37^0.355))*((B53/1000)^1.2))*1000)*1.2</f>
        <v>7749.9338062734751</v>
      </c>
      <c r="R53" s="390">
        <v>800</v>
      </c>
    </row>
    <row r="54" spans="1:19" x14ac:dyDescent="0.15">
      <c r="A54" s="393">
        <v>17</v>
      </c>
      <c r="B54" s="408">
        <v>850</v>
      </c>
      <c r="C54" s="393">
        <f>((0.1*($C$37^0.75)+(0.84*($C$37^0.355))*((C25/1000)^1.2))*1000)*1.2</f>
        <v>4312.4557146524348</v>
      </c>
      <c r="D54" s="393">
        <f>((0.1*($D$37^0.75)+(0.84*($D$37^0.355))*((C25/1000)^1.2))*1000)*1.2</f>
        <v>4657.0295709140892</v>
      </c>
      <c r="E54" s="393">
        <f>((0.1*($E$37^0.75)+(0.84*($E$37^0.355))*((C25/1000)^1.2))*1000)*1.2</f>
        <v>4981.1684852160797</v>
      </c>
      <c r="F54" s="393">
        <f>((0.1*($F$37^0.75)+(0.84*($F$37^0.355))*((C25/1000)^1.2))*1000)*1.2</f>
        <v>5288.6395372807992</v>
      </c>
      <c r="G54" s="393">
        <f>((0.1*($G$37^0.75)+(0.84*($G$37^0.355))*((C25/1000)^1.2))*1000)*1.2</f>
        <v>5582.1730788066898</v>
      </c>
      <c r="H54" s="393">
        <f>((0.1*($H$37^0.75)+(0.84*($H$37^0.355))*((C25/1000)^1.2))*1000)*1.2</f>
        <v>5863.822935264654</v>
      </c>
      <c r="I54" s="393">
        <f>((0.1*($I$37^0.75)+(0.84*($I$37^0.355))*((C25/1000)^1.2))*1000)*1.2</f>
        <v>6135.1801721793909</v>
      </c>
      <c r="J54" s="393">
        <f>((0.1*($J$37^0.75)+(0.84*($J$37^0.355))*((C25/1000)^1.2))*1000)*1.2</f>
        <v>6397.5071780771459</v>
      </c>
      <c r="K54" s="393">
        <f>((0.1*($K$37^0.75)+(0.84*($K$37^0.355))*((C25/1000)^1.2))*1000)*1.2</f>
        <v>6651.8255981983848</v>
      </c>
      <c r="L54" s="393">
        <f>((0.1*($L$37^0.75)+(0.84*($L$37^0.355))*((C25/1000)^1.2))*1000)*1.2</f>
        <v>6898.9761568429522</v>
      </c>
      <c r="M54" s="393">
        <f>((0.1*($M$37^0.75)+(0.84*($M$37^0.355))*((C25/1000)^1.2))*1000)*1.2</f>
        <v>7139.6606256595996</v>
      </c>
      <c r="N54" s="393">
        <f>((0.1*($N$37^0.75)+(0.84*($N$37^0.355))*((B54/1000)^1.2))*1000)*1.2</f>
        <v>7374.4720466447734</v>
      </c>
      <c r="O54" s="393">
        <f>((0.1*($O$37^0.75)+(0.84*($O$37^0.355))*((B54/1000)^1.2))*1000)*1.2</f>
        <v>7603.9169928849087</v>
      </c>
      <c r="P54" s="393">
        <f>((0.1*($P$37^0.75)+(0.84*($P$37^0.355))*((B54/1000)^1.2))*1000)*1.2</f>
        <v>7828.4322895833657</v>
      </c>
      <c r="Q54" s="409">
        <f>((0.1*($Q$37^0.75)+(0.84*($Q$37^0.355))*((B54/1000)^1.2))*1000)*1.2</f>
        <v>8048.3977924119681</v>
      </c>
      <c r="R54" s="390">
        <v>850</v>
      </c>
    </row>
    <row r="55" spans="1:19" x14ac:dyDescent="0.15">
      <c r="A55" s="393">
        <v>18</v>
      </c>
      <c r="B55" s="408">
        <v>900</v>
      </c>
      <c r="C55" s="393">
        <f>((0.1*($C$37^0.75)+(0.84*($C$37^0.355))*((C26/1000)^1.2))*1000)*1.2</f>
        <v>4509.4175046283326</v>
      </c>
      <c r="D55" s="393">
        <f>((0.1*($D$37^0.75)+(0.84*($D$37^0.355))*((C26/1000)^1.2))*1000)*1.2</f>
        <v>4865.0701685818294</v>
      </c>
      <c r="E55" s="393">
        <f>((0.1*($E$37^0.75)+(0.84*($E$37^0.355))*((C26/1000)^1.2))*1000)*1.2</f>
        <v>5199.3084476157237</v>
      </c>
      <c r="F55" s="393">
        <f>((0.1*($F$37^0.75)+(0.84*($F$37^0.355))*((C26/1000)^1.2))*1000)*1.2</f>
        <v>5516.0939566259603</v>
      </c>
      <c r="G55" s="393">
        <f>((0.1*($G$37^0.75)+(0.84*($G$37^0.355))*((C26/1000)^1.2))*1000)*1.2</f>
        <v>5818.2960767177838</v>
      </c>
      <c r="H55" s="393">
        <f>((0.1*($H$37^0.75)+(0.84*($H$37^0.355))*((C26/1000)^1.2))*1000)*1.2</f>
        <v>6108.0718776050353</v>
      </c>
      <c r="I55" s="393">
        <f>((0.1*($I$37^0.75)+(0.84*($I$37^0.355))*((C26/1000)^1.2))*1000)*1.2</f>
        <v>6387.0914616211567</v>
      </c>
      <c r="J55" s="393">
        <f>((0.1*($J$37^0.75)+(0.84*($J$37^0.355))*((C26/1000)^1.2))*1000)*1.2</f>
        <v>6656.6792368530605</v>
      </c>
      <c r="K55" s="393">
        <f>((0.1*($K$37^0.75)+(0.84*($K$37^0.355))*((C26/1000)^1.2))*1000)*1.2</f>
        <v>6917.906522935763</v>
      </c>
      <c r="L55" s="393">
        <f>((0.1*($L$37^0.75)+(0.84*($L$37^0.355))*((C26/1000)^1.2))*1000)*1.2</f>
        <v>7171.6545245125353</v>
      </c>
      <c r="M55" s="393">
        <f>((0.1*($M$37^0.75)+(0.84*($M$37^0.355))*((C26/1000)^1.2))*1000)*1.2</f>
        <v>7418.6584922691436</v>
      </c>
      <c r="N55" s="393">
        <f>((0.1*($N$37^0.75)+(0.84*($N$37^0.355))*((B55/1000)^1.2))*1000)*1.2</f>
        <v>7659.539512905596</v>
      </c>
      <c r="O55" s="393">
        <f>((0.1*($O$37^0.75)+(0.84*($O$37^0.355))*((B55/1000)^1.2))*1000)*1.2</f>
        <v>7894.8279156252001</v>
      </c>
      <c r="P55" s="393">
        <f>((0.1*($P$37^0.75)+(0.84*($P$37^0.355))*((B55/1000)^1.2))*1000)*1.2</f>
        <v>8124.9808478069099</v>
      </c>
      <c r="Q55" s="409">
        <f>((0.1*($Q$37^0.75)+(0.84*($Q$37^0.355))*((B55/1000)^1.2))*1000)*1.2</f>
        <v>8350.3957021482584</v>
      </c>
      <c r="R55" s="390">
        <v>900</v>
      </c>
    </row>
    <row r="56" spans="1:19" x14ac:dyDescent="0.15">
      <c r="A56" s="393">
        <v>19</v>
      </c>
      <c r="B56" s="408">
        <v>950</v>
      </c>
      <c r="C56" s="393">
        <f>((0.1*($C$37^0.75)+(0.84*($C$37^0.355))*((C27/1000)^1.2))*1000)*1.2</f>
        <v>4708.5809878832442</v>
      </c>
      <c r="D56" s="393">
        <f>((0.1*($D$37^0.75)+(0.84*($D$37^0.355))*((C27/1000)^1.2))*1000)*1.2</f>
        <v>5075.4363015003591</v>
      </c>
      <c r="E56" s="393">
        <f>((0.1*($E$37^0.75)+(0.84*($E$37^0.355))*((C27/1000)^1.2))*1000)*1.2</f>
        <v>5419.8868387540506</v>
      </c>
      <c r="F56" s="393">
        <f>((0.1*($F$37^0.75)+(0.84*($F$37^0.355))*((C27/1000)^1.2))*1000)*1.2</f>
        <v>5746.0909242817152</v>
      </c>
      <c r="G56" s="393">
        <f>((0.1*($G$37^0.75)+(0.84*($G$37^0.355))*((C27/1000)^1.2))*1000)*1.2</f>
        <v>6057.0585227044949</v>
      </c>
      <c r="H56" s="393">
        <f>((0.1*($H$37^0.75)+(0.84*($H$37^0.355))*((C27/1000)^1.2))*1000)*1.2</f>
        <v>6355.0511020718277</v>
      </c>
      <c r="I56" s="393">
        <f>((0.1*($I$37^0.75)+(0.84*($I$37^0.355))*((C27/1000)^1.2))*1000)*1.2</f>
        <v>6641.8186850211778</v>
      </c>
      <c r="J56" s="393">
        <f>((0.1*($J$37^0.75)+(0.84*($J$37^0.355))*((C27/1000)^1.2))*1000)*1.2</f>
        <v>6918.748392471899</v>
      </c>
      <c r="K56" s="393">
        <f>((0.1*($K$37^0.75)+(0.84*($K$37^0.355))*((C27/1000)^1.2))*1000)*1.2</f>
        <v>7186.961773727654</v>
      </c>
      <c r="L56" s="393">
        <f>((0.1*($L$37^0.75)+(0.84*($L$37^0.355))*((C27/1000)^1.2))*1000)*1.2</f>
        <v>7447.3809662755975</v>
      </c>
      <c r="M56" s="393">
        <f>((0.1*($M$37^0.75)+(0.84*($M$37^0.355))*((C27/1000)^1.2))*1000)*1.2</f>
        <v>7700.7750740764377</v>
      </c>
      <c r="N56" s="393">
        <f>((0.1*($N$37^0.75)+(0.84*($N$37^0.355))*((B56/1000)^1.2))*1000)*1.2</f>
        <v>7947.7935420251779</v>
      </c>
      <c r="O56" s="393">
        <f>((0.1*($O$37^0.75)+(0.84*($O$37^0.355))*((B56/1000)^1.2))*1000)*1.2</f>
        <v>8188.9907209944404</v>
      </c>
      <c r="P56" s="393">
        <f>((0.1*($P$37^0.75)+(0.84*($P$37^0.355))*((B56/1000)^1.2))*1000)*1.2</f>
        <v>8424.8443077056581</v>
      </c>
      <c r="Q56" s="409">
        <f>((0.1*($Q$37^0.75)+(0.84*($Q$37^0.355))*((B56/1000)^1.2))*1000)*1.2</f>
        <v>8655.7694279157913</v>
      </c>
      <c r="R56" s="390">
        <v>950</v>
      </c>
    </row>
    <row r="57" spans="1:19" ht="14" thickBot="1" x14ac:dyDescent="0.2">
      <c r="A57" s="393">
        <v>20</v>
      </c>
      <c r="B57" s="416">
        <v>1000</v>
      </c>
      <c r="C57" s="417">
        <f>((0.1*($C$37^0.75)+(0.84*($C$37^0.355))*((C28/1000)^1.2))*1000)*1.2</f>
        <v>4909.852882876793</v>
      </c>
      <c r="D57" s="417">
        <f>((0.1*($D$37^0.75)+(0.84*($D$37^0.355))*((C28/1000)^1.2))*1000)*1.2</f>
        <v>5288.0294411814129</v>
      </c>
      <c r="E57" s="417">
        <f>((0.1*($E$37^0.75)+(0.84*($E$37^0.355))*((C28/1000)^1.2))*1000)*1.2</f>
        <v>5642.8003470612739</v>
      </c>
      <c r="F57" s="417">
        <f>((0.1*($F$37^0.75)+(0.84*($F$37^0.355))*((C28/1000)^1.2))*1000)*1.2</f>
        <v>5978.5227173308149</v>
      </c>
      <c r="G57" s="417">
        <f>((0.1*($G$37^0.75)+(0.84*($G$37^0.355))*((C28/1000)^1.2))*1000)*1.2</f>
        <v>6298.3485883915473</v>
      </c>
      <c r="H57" s="417">
        <f>((0.1*($H$37^0.75)+(0.84*($H$37^0.355))*((C28/1000)^1.2))*1000)*1.2</f>
        <v>6604.6449318244622</v>
      </c>
      <c r="I57" s="417">
        <f>((0.1*($I$37^0.75)+(0.84*($I$37^0.355))*((C28/1000)^1.2))*1000)*1.2</f>
        <v>6899.2425366343114</v>
      </c>
      <c r="J57" s="417">
        <f>((0.1*($J$37^0.75)+(0.84*($J$37^0.355))*((C28/1000)^1.2))*1000)*1.2</f>
        <v>7183.5919004720618</v>
      </c>
      <c r="K57" s="417">
        <f>((0.1*($K$37^0.75)+(0.84*($K$37^0.355))*((C28/1000)^1.2))*1000)*1.2</f>
        <v>7458.8653340582214</v>
      </c>
      <c r="L57" s="417">
        <f>((0.1*($L$37^0.75)+(0.84*($L$37^0.355))*((C28/1000)^1.2))*1000)*1.2</f>
        <v>7726.0263410527086</v>
      </c>
      <c r="M57" s="417">
        <f>((0.1*($M$37^0.75)+(0.84*($M$37^0.355))*((C28/1000)^1.2))*1000)*1.2</f>
        <v>7985.8782370733434</v>
      </c>
      <c r="N57" s="417">
        <f>((0.1*($N$37^0.75)+(0.84*($N$37^0.355))*((B57/1000)^1.2))*1000)*1.2</f>
        <v>8239.0991254195342</v>
      </c>
      <c r="O57" s="417">
        <f>((0.1*($O$37^0.75)+(0.84*($O$37^0.355))*((B57/1000)^1.2))*1000)*1.2</f>
        <v>8486.2676329346996</v>
      </c>
      <c r="P57" s="417">
        <f>((0.1*($P$37^0.75)+(0.84*($P$37^0.355))*((B57/1000)^1.2))*1000)*1.2</f>
        <v>8727.8822232250168</v>
      </c>
      <c r="Q57" s="418">
        <f>((0.1*($Q$37^0.75)+(0.84*($Q$37^0.355))*((B57/1000)^1.2))*1000)*1.2</f>
        <v>8964.3759428350149</v>
      </c>
      <c r="R57" s="390">
        <v>1000</v>
      </c>
    </row>
    <row r="59" spans="1:19" x14ac:dyDescent="0.15">
      <c r="A59" s="390">
        <f>MATCH(G59,D66:R66,0)</f>
        <v>4</v>
      </c>
      <c r="B59" s="390">
        <f>A59-2</f>
        <v>2</v>
      </c>
      <c r="E59" s="390" t="s">
        <v>205</v>
      </c>
      <c r="G59" s="390">
        <f>VLOOKUP(Dados!$D$18,dados2!A25:B39,2,0)</f>
        <v>45</v>
      </c>
      <c r="J59" s="390">
        <f>IFERROR(VLOOKUP(A60,B67:R86,MATCH(A59,D64:R64,1)-B59,0),"")</f>
        <v>700</v>
      </c>
      <c r="K59" s="389"/>
      <c r="L59" s="392"/>
    </row>
    <row r="60" spans="1:19" x14ac:dyDescent="0.15">
      <c r="A60" s="390">
        <f>S63</f>
        <v>14</v>
      </c>
      <c r="E60" s="390" t="s">
        <v>206</v>
      </c>
      <c r="G60" s="393">
        <f>Concorrente!E19</f>
        <v>229.77499999999998</v>
      </c>
      <c r="J60" s="389"/>
      <c r="K60" s="389"/>
    </row>
    <row r="61" spans="1:19" x14ac:dyDescent="0.15">
      <c r="A61" s="390">
        <f>MATCH(A59,D64:R64,0)-5</f>
        <v>-1</v>
      </c>
      <c r="E61" s="391" t="s">
        <v>207</v>
      </c>
      <c r="F61" s="391"/>
      <c r="G61" s="394">
        <f>B63</f>
        <v>700</v>
      </c>
      <c r="J61" s="389"/>
      <c r="K61" s="389"/>
    </row>
    <row r="62" spans="1:19" x14ac:dyDescent="0.15">
      <c r="J62" s="389"/>
      <c r="K62" s="389"/>
    </row>
    <row r="63" spans="1:19" x14ac:dyDescent="0.15">
      <c r="B63" s="393">
        <f>IFERROR(VLOOKUP(A60,B67:R86,MATCH(A59,D64:R64,0)-B59,0),"")</f>
        <v>700</v>
      </c>
      <c r="D63" s="390">
        <f>IFERROR(IF($A$59=1,MATCH($G$60,D67:D86,1),0),0)</f>
        <v>0</v>
      </c>
      <c r="E63" s="390">
        <f>IFERROR(IF($A$59=2,MATCH($G$60,E67:E86,1),0),0)</f>
        <v>0</v>
      </c>
      <c r="F63" s="390">
        <f>IFERROR(IF($A$59=3,MATCH($G$60,F67:F86,1),0),0)</f>
        <v>0</v>
      </c>
      <c r="G63" s="390">
        <f>IFERROR(IF($A$59=4,MATCH($G$60,G67:G86,1),0),0)</f>
        <v>14</v>
      </c>
      <c r="H63" s="390">
        <f>IFERROR(IF($A$59=5,MATCH($G$60,H67:H86,1),0),0)</f>
        <v>0</v>
      </c>
      <c r="I63" s="390">
        <f>IFERROR(IF($A$59=6,MATCH($G$60,I67:I86,1),0),0)</f>
        <v>0</v>
      </c>
      <c r="J63" s="390">
        <f>IFERROR(IF($A$59=7,MATCH($G$60,J67:J86,1),0),0)</f>
        <v>0</v>
      </c>
      <c r="K63" s="390">
        <f>IFERROR(IF($A$59=8,MATCH($G$60,K67:K86,1),0),0)</f>
        <v>0</v>
      </c>
      <c r="L63" s="390">
        <f>IFERROR(IF($A$59=9,MATCH($G$60,L67:L86,1),0),0)</f>
        <v>0</v>
      </c>
      <c r="M63" s="390">
        <f>IFERROR(IF($A$59=10,MATCH($G$60,M67:M86,1),0),0)</f>
        <v>0</v>
      </c>
      <c r="N63" s="390">
        <f>IFERROR(IF($A$59=11,MATCH($G$60,N67:N86,1),0),0)</f>
        <v>0</v>
      </c>
      <c r="O63" s="390">
        <f>IFERROR(IF($A$59=11,MATCH($G$60,O67:O86,1),0),0)</f>
        <v>0</v>
      </c>
      <c r="P63" s="390">
        <f>IFERROR(IF($A$59=11,MATCH($G$60,P67:P86,1),0),0)</f>
        <v>0</v>
      </c>
      <c r="Q63" s="390">
        <f>IFERROR(IF($A$59=11,MATCH($G$60,Q67:Q86,1),0),0)</f>
        <v>0</v>
      </c>
      <c r="R63" s="390">
        <f>IFERROR(IF($A$59=11,MATCH($G$60,R67:R86,1),0),0)</f>
        <v>0</v>
      </c>
      <c r="S63" s="390">
        <f>SUM(D63:R63)</f>
        <v>14</v>
      </c>
    </row>
    <row r="64" spans="1:19" x14ac:dyDescent="0.15">
      <c r="D64" s="390">
        <v>1</v>
      </c>
      <c r="E64" s="390">
        <v>2</v>
      </c>
      <c r="F64" s="390">
        <v>3</v>
      </c>
      <c r="G64" s="390">
        <v>4</v>
      </c>
      <c r="H64" s="390">
        <v>5</v>
      </c>
      <c r="I64" s="390">
        <v>6</v>
      </c>
      <c r="J64" s="390">
        <v>7</v>
      </c>
      <c r="K64" s="390">
        <v>8</v>
      </c>
      <c r="L64" s="390">
        <v>9</v>
      </c>
      <c r="M64" s="390">
        <v>10</v>
      </c>
      <c r="N64" s="390">
        <v>11</v>
      </c>
      <c r="O64" s="390">
        <v>12</v>
      </c>
      <c r="P64" s="390">
        <v>13</v>
      </c>
      <c r="Q64" s="390">
        <v>14</v>
      </c>
      <c r="R64" s="390">
        <v>15</v>
      </c>
    </row>
    <row r="65" spans="1:19" ht="14" thickBot="1" x14ac:dyDescent="0.2">
      <c r="A65" s="395"/>
      <c r="B65" s="395"/>
      <c r="C65" s="395"/>
      <c r="D65" s="395"/>
      <c r="E65" s="395"/>
      <c r="F65" s="395"/>
      <c r="G65" s="395"/>
      <c r="H65" s="395" t="s">
        <v>197</v>
      </c>
      <c r="I65" s="395"/>
      <c r="J65" s="396"/>
      <c r="K65" s="396"/>
      <c r="L65" s="395"/>
      <c r="M65" s="395"/>
      <c r="N65" s="395"/>
      <c r="O65" s="395"/>
      <c r="P65" s="395"/>
      <c r="Q65" s="395"/>
      <c r="R65" s="395"/>
      <c r="S65" s="395"/>
    </row>
    <row r="66" spans="1:19" ht="14" thickBot="1" x14ac:dyDescent="0.2">
      <c r="C66" s="397"/>
      <c r="D66" s="398">
        <v>30</v>
      </c>
      <c r="E66" s="399">
        <v>35</v>
      </c>
      <c r="F66" s="399">
        <v>40</v>
      </c>
      <c r="G66" s="399">
        <v>45</v>
      </c>
      <c r="H66" s="399">
        <v>50</v>
      </c>
      <c r="I66" s="399">
        <v>55</v>
      </c>
      <c r="J66" s="399">
        <v>60</v>
      </c>
      <c r="K66" s="399">
        <v>65</v>
      </c>
      <c r="L66" s="399">
        <v>70</v>
      </c>
      <c r="M66" s="399">
        <v>75</v>
      </c>
      <c r="N66" s="399">
        <v>80</v>
      </c>
      <c r="O66" s="399">
        <v>85</v>
      </c>
      <c r="P66" s="399">
        <v>90</v>
      </c>
      <c r="Q66" s="399">
        <v>95</v>
      </c>
      <c r="R66" s="400">
        <v>100</v>
      </c>
      <c r="S66" s="390" t="s">
        <v>208</v>
      </c>
    </row>
    <row r="67" spans="1:19" x14ac:dyDescent="0.15">
      <c r="B67" s="390">
        <v>1</v>
      </c>
      <c r="C67" s="404">
        <v>50</v>
      </c>
      <c r="D67" s="410">
        <f>ROUND((6.25*(1/0.8*(0.2*$D$8^0.75+(30*(C67/1000))+(1.9*((D100*1000)/4750)/1000))))/0.9,0)</f>
        <v>41</v>
      </c>
      <c r="E67" s="411">
        <f>ROUND((6.25*(1/0.8*(0.2*$E$8^0.75+(30*(C67/1000))+(1.9*((E100*1000)/4750)/1000))))/0.9,0)</f>
        <v>44</v>
      </c>
      <c r="F67" s="411">
        <f>ROUND((6.25*(1/0.8*(0.2*$F$8^0.75+(30*(C67/1000))+(1.9*((F100*1000)/4750)/1000))))/0.9,0)</f>
        <v>48</v>
      </c>
      <c r="G67" s="411">
        <f>ROUND((6.25*(1/0.8*(0.2*$G$8^0.75+(30*(C67/1000))+(1.9*((G100*1000)/4750)/1000))))/0.9,0)</f>
        <v>51</v>
      </c>
      <c r="H67" s="411">
        <f>ROUND((6.25*(1/0.8*(0.2*$H$8^0.75+(30*(C67/1000))+(1.9*((H100*1000)/4750)/1000))))/0.9,0)</f>
        <v>54</v>
      </c>
      <c r="I67" s="411">
        <f>ROUND((6.25*(1/0.8*(0.2*$I$8^0.75+(30*(C67/1000))+(1.9*((I100*1000)/4750)/1000))))/0.9,0)</f>
        <v>57</v>
      </c>
      <c r="J67" s="411">
        <f>ROUND((6.25*(1/0.8*(0.2*$J$8^0.75+(30*(C67/1000))+(1.9*((J100*1000)/4750)/1000))))/0.9,0)</f>
        <v>60</v>
      </c>
      <c r="K67" s="411">
        <f>ROUND((6.25*(1/0.8*(0.2*$K$8^0.75+(30*(C67/1000))+(1.9*((K100*1000)/4750)/1000))))/0.9,0)</f>
        <v>63</v>
      </c>
      <c r="L67" s="411">
        <f>ROUND((6.25*(1/0.8*(0.2*$L$8^0.75+(30*(C67/1000))+(1.9*((L100*1000)/4750)/1000))))/0.9,0)</f>
        <v>66</v>
      </c>
      <c r="M67" s="411">
        <f>ROUND((6.25*(1/0.8*(0.2*$M$8^0.75+(30*(C67/1000))+(1.9*((M100*1000)/4750)/1000))))/0.9,0)</f>
        <v>68</v>
      </c>
      <c r="N67" s="411">
        <f>ROUND((6.25*(1/0.8*(0.2*$N$8^0.75+(30*(C67/1000))+(1.9*((N100*1000)/4750)/1000))))/0.9,0)</f>
        <v>71</v>
      </c>
      <c r="O67" s="411">
        <f>ROUND((6.25*(1/0.8*(0.2*$O$66^0.75+(30*(C67/1000))+(1.9*((O100*1000)/4750)/1000))))/0.9,0)</f>
        <v>74</v>
      </c>
      <c r="P67" s="411">
        <f>ROUND((6.25*(1/0.8*(0.2*$P$66^0.75+(30*(C67/1000))+(1.9*((P100*1000)/4750)/1000))))/0.9,0)</f>
        <v>76</v>
      </c>
      <c r="Q67" s="411">
        <f>ROUND((6.25*(1/0.8*(0.2*$Q$66^0.75+(30*(C67/1000))+(1.9*((Q100*1000)/4750)/1000))))/0.9,0)</f>
        <v>79</v>
      </c>
      <c r="R67" s="412">
        <f>ROUND((6.25*(1/0.8*(0.2*$R$66^0.75+(30*(C67/1000))+(1.9*((R100*1000)/4750)/1000))))/0.9,0)</f>
        <v>82</v>
      </c>
      <c r="S67" s="393">
        <f>C67</f>
        <v>50</v>
      </c>
    </row>
    <row r="68" spans="1:19" x14ac:dyDescent="0.15">
      <c r="B68" s="390">
        <v>2</v>
      </c>
      <c r="C68" s="404">
        <v>100</v>
      </c>
      <c r="D68" s="410">
        <f>ROUND((6.25*(1/0.8*(0.2*$D$8^0.75+(30*(C68/1000))+(1.9*((D101*1000)/4750)/1000))))/0.9,0)</f>
        <v>54</v>
      </c>
      <c r="E68" s="411">
        <f>ROUND((6.25*(1/0.8*(0.2*$E$8^0.75+(30*(C68/1000))+(1.9*((E101*1000)/4750)/1000))))/0.9,0)</f>
        <v>58</v>
      </c>
      <c r="F68" s="411">
        <f>ROUND((6.25*(1/0.8*(0.2*$F$8^0.75+(30*(C68/1000))+(1.9*((F101*1000)/4750)/1000))))/0.9,0)</f>
        <v>61</v>
      </c>
      <c r="G68" s="411">
        <f>ROUND((6.25*(1/0.8*(0.2*$G$8^0.75+(30*(C68/1000))+(1.9*((G101*1000)/4750)/1000))))/0.9,0)</f>
        <v>64</v>
      </c>
      <c r="H68" s="411">
        <f>ROUND((6.25*(1/0.8*(0.2*$H$8^0.75+(30*(C68/1000))+(1.9*((H101*1000)/4750)/1000))))/0.9,0)</f>
        <v>67</v>
      </c>
      <c r="I68" s="411">
        <f>ROUND((6.25*(1/0.8*(0.2*$I$8^0.75+(30*(C68/1000))+(1.9*((I101*1000)/4750)/1000))))/0.9,0)</f>
        <v>70</v>
      </c>
      <c r="J68" s="411">
        <f>ROUND((6.25*(1/0.8*(0.2*$J$8^0.75+(30*(C68/1000))+(1.9*((J101*1000)/4750)/1000))))/0.9,0)</f>
        <v>73</v>
      </c>
      <c r="K68" s="411">
        <f>ROUND((6.25*(1/0.8*(0.2*$K$8^0.75+(30*(C68/1000))+(1.9*((K101*1000)/4750)/1000))))/0.9,0)</f>
        <v>76</v>
      </c>
      <c r="L68" s="411">
        <f>ROUND((6.25*(1/0.8*(0.2*$L$8^0.75+(30*(C68/1000))+(1.9*((L101*1000)/4750)/1000))))/0.9,0)</f>
        <v>79</v>
      </c>
      <c r="M68" s="411">
        <f>ROUND((6.25*(1/0.8*(0.2*$M$8^0.75+(30*(C68/1000))+(1.9*((M101*1000)/4750)/1000))))/0.9,0)</f>
        <v>82</v>
      </c>
      <c r="N68" s="411">
        <f>ROUND((6.25*(1/0.8*(0.2*$N$8^0.75+(30*(C68/1000))+(1.9*((N101*1000)/4750)/1000))))/0.9,0)</f>
        <v>85</v>
      </c>
      <c r="O68" s="411">
        <f>ROUND((6.25*(1/0.8*(0.2*$O$66^0.75+(30*(C68/1000))+(1.9*((O101*1000)/4750)/1000))))/0.9,0)</f>
        <v>87</v>
      </c>
      <c r="P68" s="411">
        <f>ROUND((6.25*(1/0.8*(0.2*$P$66^0.75+(30*(C68/1000))+(1.9*((P101*1000)/4750)/1000))))/0.9,0)</f>
        <v>90</v>
      </c>
      <c r="Q68" s="411">
        <f>ROUND((6.25*(1/0.8*(0.2*$Q$66^0.75+(30*(C68/1000))+(1.9*((Q101*1000)/4750)/1000))))/0.9,0)</f>
        <v>93</v>
      </c>
      <c r="R68" s="412">
        <f>ROUND((6.25*(1/0.8*(0.2*$R$66^0.75+(30*(C68/1000))+(1.9*((R101*1000)/4750)/1000))))/0.9,0)</f>
        <v>95</v>
      </c>
      <c r="S68" s="393">
        <f t="shared" ref="S68:S86" si="1">C68</f>
        <v>100</v>
      </c>
    </row>
    <row r="69" spans="1:19" x14ac:dyDescent="0.15">
      <c r="B69" s="390">
        <v>3</v>
      </c>
      <c r="C69" s="404">
        <v>150</v>
      </c>
      <c r="D69" s="410">
        <f>ROUND((6.25*(1/0.8*(0.2*$D$8^0.75+(30*(C69/1000))+(1.9*((D102*1000)/4750)/1000))))/0.9,0)</f>
        <v>68</v>
      </c>
      <c r="E69" s="411">
        <f>ROUND((6.25*(1/0.8*(0.2*$E$8^0.75+(30*(C69/1000))+(1.9*((E102*1000)/4750)/1000))))/0.9,0)</f>
        <v>71</v>
      </c>
      <c r="F69" s="411">
        <f>ROUND((6.25*(1/0.8*(0.2*$F$8^0.75+(30*(C69/1000))+(1.9*((F102*1000)/4750)/1000))))/0.9,0)</f>
        <v>75</v>
      </c>
      <c r="G69" s="411">
        <f>ROUND((6.25*(1/0.8*(0.2*$G$8^0.75+(30*(C69/1000))+(1.9*((G102*1000)/4750)/1000))))/0.9,0)</f>
        <v>78</v>
      </c>
      <c r="H69" s="411">
        <f>ROUND((6.25*(1/0.8*(0.2*$H$8^0.75+(30*(C69/1000))+(1.9*((H102*1000)/4750)/1000))))/0.9,0)</f>
        <v>81</v>
      </c>
      <c r="I69" s="411">
        <f>ROUND((6.25*(1/0.8*(0.2*$I$8^0.75+(30*(C69/1000))+(1.9*((I102*1000)/4750)/1000))))/0.9,0)</f>
        <v>84</v>
      </c>
      <c r="J69" s="411">
        <f>ROUND((6.25*(1/0.8*(0.2*$J$8^0.75+(30*(C69/1000))+(1.9*((J102*1000)/4750)/1000))))/0.9,0)</f>
        <v>87</v>
      </c>
      <c r="K69" s="411">
        <f>ROUND((6.25*(1/0.8*(0.2*$K$8^0.75+(30*(C69/1000))+(1.9*((K102*1000)/4750)/1000))))/0.9,0)</f>
        <v>90</v>
      </c>
      <c r="L69" s="411">
        <f>ROUND((6.25*(1/0.8*(0.2*$L$8^0.75+(30*(C69/1000))+(1.9*((L102*1000)/4750)/1000))))/0.9,0)</f>
        <v>93</v>
      </c>
      <c r="M69" s="411">
        <f>ROUND((6.25*(1/0.8*(0.2*$M$8^0.75+(30*(C69/1000))+(1.9*((M102*1000)/4750)/1000))))/0.9,0)</f>
        <v>96</v>
      </c>
      <c r="N69" s="411">
        <f>ROUND((6.25*(1/0.8*(0.2*$N$8^0.75+(30*(C69/1000))+(1.9*((N102*1000)/4750)/1000))))/0.9,0)</f>
        <v>98</v>
      </c>
      <c r="O69" s="411">
        <f>ROUND((6.25*(1/0.8*(0.2*$O$66^0.75+(30*(C69/1000))+(1.9*((O102*1000)/4750)/1000))))/0.9,0)</f>
        <v>101</v>
      </c>
      <c r="P69" s="411">
        <f>ROUND((6.25*(1/0.8*(0.2*$P$66^0.75+(30*(C69/1000))+(1.9*((P102*1000)/4750)/1000))))/0.9,0)</f>
        <v>104</v>
      </c>
      <c r="Q69" s="411">
        <f>ROUND((6.25*(1/0.8*(0.2*$Q$66^0.75+(30*(C69/1000))+(1.9*((Q102*1000)/4750)/1000))))/0.9,0)</f>
        <v>106</v>
      </c>
      <c r="R69" s="412">
        <f>ROUND((6.25*(1/0.8*(0.2*$R$66^0.75+(30*(C69/1000))+(1.9*((R102*1000)/4750)/1000))))/0.9,0)</f>
        <v>109</v>
      </c>
      <c r="S69" s="393">
        <f t="shared" si="1"/>
        <v>150</v>
      </c>
    </row>
    <row r="70" spans="1:19" x14ac:dyDescent="0.15">
      <c r="B70" s="390">
        <v>4</v>
      </c>
      <c r="C70" s="404">
        <v>200</v>
      </c>
      <c r="D70" s="410">
        <f>ROUND((6.25*(1/0.8*(0.2*$D$8^0.75+(30*(C70/1000))+(1.9*((D103*1000)/4750)/1000))))/0.9,0)</f>
        <v>81</v>
      </c>
      <c r="E70" s="411">
        <f>ROUND((6.25*(1/0.8*(0.2*$E$8^0.75+(30*(C70/1000))+(1.9*((E103*1000)/4750)/1000))))/0.9,0)</f>
        <v>85</v>
      </c>
      <c r="F70" s="411">
        <f>ROUND((6.25*(1/0.8*(0.2*$F$8^0.75+(30*(C70/1000))+(1.9*((F103*1000)/4750)/1000))))/0.9,0)</f>
        <v>88</v>
      </c>
      <c r="G70" s="411">
        <f>ROUND((6.25*(1/0.8*(0.2*$G$8^0.75+(30*(C70/1000))+(1.9*((G103*1000)/4750)/1000))))/0.9,0)</f>
        <v>91</v>
      </c>
      <c r="H70" s="411">
        <f>ROUND((6.25*(1/0.8*(0.2*$H$8^0.75+(30*(C70/1000))+(1.9*((H103*1000)/4750)/1000))))/0.9,0)</f>
        <v>95</v>
      </c>
      <c r="I70" s="411">
        <f>ROUND((6.25*(1/0.8*(0.2*$I$8^0.75+(30*(C70/1000))+(1.9*((I103*1000)/4750)/1000))))/0.9,0)</f>
        <v>98</v>
      </c>
      <c r="J70" s="411">
        <f>ROUND((6.25*(1/0.8*(0.2*$J$8^0.75+(30*(C70/1000))+(1.9*((J103*1000)/4750)/1000))))/0.9,0)</f>
        <v>101</v>
      </c>
      <c r="K70" s="411">
        <f>ROUND((6.25*(1/0.8*(0.2*$K$8^0.75+(30*(C70/1000))+(1.9*((K103*1000)/4750)/1000))))/0.9,0)</f>
        <v>104</v>
      </c>
      <c r="L70" s="411">
        <f>ROUND((6.25*(1/0.8*(0.2*$L$8^0.75+(30*(C70/1000))+(1.9*((L103*1000)/4750)/1000))))/0.9,0)</f>
        <v>106</v>
      </c>
      <c r="M70" s="411">
        <f>ROUND((6.25*(1/0.8*(0.2*$M$8^0.75+(30*(C70/1000))+(1.9*((M103*1000)/4750)/1000))))/0.9,0)</f>
        <v>109</v>
      </c>
      <c r="N70" s="411">
        <f>ROUND((6.25*(1/0.8*(0.2*$N$8^0.75+(30*(C70/1000))+(1.9*((N103*1000)/4750)/1000))))/0.9,0)</f>
        <v>112</v>
      </c>
      <c r="O70" s="411">
        <f>ROUND((6.25*(1/0.8*(0.2*$O$66^0.75+(30*(C70/1000))+(1.9*((O103*1000)/4750)/1000))))/0.9,0)</f>
        <v>115</v>
      </c>
      <c r="P70" s="411">
        <f>ROUND((6.25*(1/0.8*(0.2*$P$66^0.75+(30*(C70/1000))+(1.9*((P103*1000)/4750)/1000))))/0.9,0)</f>
        <v>117</v>
      </c>
      <c r="Q70" s="411">
        <f>ROUND((6.25*(1/0.8*(0.2*$Q$66^0.75+(30*(C70/1000))+(1.9*((Q103*1000)/4750)/1000))))/0.9,0)</f>
        <v>120</v>
      </c>
      <c r="R70" s="412">
        <f>ROUND((6.25*(1/0.8*(0.2*$R$66^0.75+(30*(C70/1000))+(1.9*((R103*1000)/4750)/1000))))/0.9,0)</f>
        <v>123</v>
      </c>
      <c r="S70" s="393">
        <f t="shared" si="1"/>
        <v>200</v>
      </c>
    </row>
    <row r="71" spans="1:19" x14ac:dyDescent="0.15">
      <c r="B71" s="390">
        <v>5</v>
      </c>
      <c r="C71" s="404">
        <v>250</v>
      </c>
      <c r="D71" s="410">
        <f>ROUND((6.25*(1/0.8*(0.2*$D$8^0.75+(30*(C71/1000))+(1.9*((D104*1000)/4750)/1000))))/0.9,0)</f>
        <v>95</v>
      </c>
      <c r="E71" s="411">
        <f>ROUND((6.25*(1/0.8*(0.2*$E$8^0.75+(30*(C71/1000))+(1.9*((E104*1000)/4750)/1000))))/0.9,0)</f>
        <v>98</v>
      </c>
      <c r="F71" s="411">
        <f>ROUND((6.25*(1/0.8*(0.2*$F$8^0.75+(30*(C71/1000))+(1.9*((F104*1000)/4750)/1000))))/0.9,0)</f>
        <v>102</v>
      </c>
      <c r="G71" s="411">
        <f>ROUND((6.25*(1/0.8*(0.2*$G$8^0.75+(30*(C71/1000))+(1.9*((G104*1000)/4750)/1000))))/0.9,0)</f>
        <v>105</v>
      </c>
      <c r="H71" s="411">
        <f>ROUND((6.25*(1/0.8*(0.2*$H$8^0.75+(30*(C71/1000))+(1.9*((H104*1000)/4750)/1000))))/0.9,0)</f>
        <v>108</v>
      </c>
      <c r="I71" s="411">
        <f>ROUND((6.25*(1/0.8*(0.2*$I$8^0.75+(30*(C71/1000))+(1.9*((I104*1000)/4750)/1000))))/0.9,0)</f>
        <v>111</v>
      </c>
      <c r="J71" s="411">
        <f>ROUND((6.25*(1/0.8*(0.2*$J$8^0.75+(30*(C71/1000))+(1.9*((J104*1000)/4750)/1000))))/0.9,0)</f>
        <v>114</v>
      </c>
      <c r="K71" s="411">
        <f>ROUND((6.25*(1/0.8*(0.2*$K$8^0.75+(30*(C71/1000))+(1.9*((K104*1000)/4750)/1000))))/0.9,0)</f>
        <v>117</v>
      </c>
      <c r="L71" s="411">
        <f>ROUND((6.25*(1/0.8*(0.2*$L$8^0.75+(30*(C71/1000))+(1.9*((L104*1000)/4750)/1000))))/0.9,0)</f>
        <v>120</v>
      </c>
      <c r="M71" s="411">
        <f>ROUND((6.25*(1/0.8*(0.2*$M$8^0.75+(30*(C71/1000))+(1.9*((M104*1000)/4750)/1000))))/0.9,0)</f>
        <v>123</v>
      </c>
      <c r="N71" s="411">
        <f>ROUND((6.25*(1/0.8*(0.2*$N$8^0.75+(30*(C71/1000))+(1.9*((N104*1000)/4750)/1000))))/0.9,0)</f>
        <v>126</v>
      </c>
      <c r="O71" s="411">
        <f>ROUND((6.25*(1/0.8*(0.2*$O$66^0.75+(30*(C71/1000))+(1.9*((O104*1000)/4750)/1000))))/0.9,0)</f>
        <v>129</v>
      </c>
      <c r="P71" s="411">
        <f>ROUND((6.25*(1/0.8*(0.2*$P$66^0.75+(30*(C71/1000))+(1.9*((P104*1000)/4750)/1000))))/0.9,0)</f>
        <v>131</v>
      </c>
      <c r="Q71" s="411">
        <f>ROUND((6.25*(1/0.8*(0.2*$Q$66^0.75+(30*(C71/1000))+(1.9*((Q104*1000)/4750)/1000))))/0.9,0)</f>
        <v>134</v>
      </c>
      <c r="R71" s="412">
        <f>ROUND((6.25*(1/0.8*(0.2*$R$66^0.75+(30*(C71/1000))+(1.9*((R104*1000)/4750)/1000))))/0.9,0)</f>
        <v>137</v>
      </c>
      <c r="S71" s="393">
        <f t="shared" si="1"/>
        <v>250</v>
      </c>
    </row>
    <row r="72" spans="1:19" x14ac:dyDescent="0.15">
      <c r="B72" s="390">
        <v>6</v>
      </c>
      <c r="C72" s="404">
        <v>300</v>
      </c>
      <c r="D72" s="410">
        <f>ROUND((6.25*(1/0.8*(0.2*$D$8^0.75+(30*(C72/1000))+(1.9*((D105*1000)/4750)/1000))))/0.9,0)</f>
        <v>108</v>
      </c>
      <c r="E72" s="411">
        <f>ROUND((6.25*(1/0.8*(0.2*$E$8^0.75+(30*(C72/1000))+(1.9*((E105*1000)/4750)/1000))))/0.9,0)</f>
        <v>112</v>
      </c>
      <c r="F72" s="411">
        <f>ROUND((6.25*(1/0.8*(0.2*$F$8^0.75+(30*(C72/1000))+(1.9*((F105*1000)/4750)/1000))))/0.9,0)</f>
        <v>115</v>
      </c>
      <c r="G72" s="411">
        <f>ROUND((6.25*(1/0.8*(0.2*$G$8^0.75+(30*(C72/1000))+(1.9*((G105*1000)/4750)/1000))))/0.9,0)</f>
        <v>119</v>
      </c>
      <c r="H72" s="411">
        <f>ROUND((6.25*(1/0.8*(0.2*$H$8^0.75+(30*(C72/1000))+(1.9*((H105*1000)/4750)/1000))))/0.9,0)</f>
        <v>122</v>
      </c>
      <c r="I72" s="411">
        <f>ROUND((6.25*(1/0.8*(0.2*$I$8^0.75+(30*(C72/1000))+(1.9*((I105*1000)/4750)/1000))))/0.9,0)</f>
        <v>125</v>
      </c>
      <c r="J72" s="411">
        <f>ROUND((6.25*(1/0.8*(0.2*$J$8^0.75+(30*(C72/1000))+(1.9*((J105*1000)/4750)/1000))))/0.9,0)</f>
        <v>128</v>
      </c>
      <c r="K72" s="411">
        <f>ROUND((6.25*(1/0.8*(0.2*$K$8^0.75+(30*(C72/1000))+(1.9*((K105*1000)/4750)/1000))))/0.9,0)</f>
        <v>131</v>
      </c>
      <c r="L72" s="411">
        <f>ROUND((6.25*(1/0.8*(0.2*$L$8^0.75+(30*(C72/1000))+(1.9*((L105*1000)/4750)/1000))))/0.9,0)</f>
        <v>134</v>
      </c>
      <c r="M72" s="411">
        <f>ROUND((6.25*(1/0.8*(0.2*$M$8^0.75+(30*(C72/1000))+(1.9*((M105*1000)/4750)/1000))))/0.9,0)</f>
        <v>137</v>
      </c>
      <c r="N72" s="411">
        <f>ROUND((6.25*(1/0.8*(0.2*$N$8^0.75+(30*(C72/1000))+(1.9*((N105*1000)/4750)/1000))))/0.9,0)</f>
        <v>140</v>
      </c>
      <c r="O72" s="411">
        <f>ROUND((6.25*(1/0.8*(0.2*$O$66^0.75+(30*(C72/1000))+(1.9*((O105*1000)/4750)/1000))))/0.9,0)</f>
        <v>142</v>
      </c>
      <c r="P72" s="411">
        <f>ROUND((6.25*(1/0.8*(0.2*$P$66^0.75+(30*(C72/1000))+(1.9*((P105*1000)/4750)/1000))))/0.9,0)</f>
        <v>145</v>
      </c>
      <c r="Q72" s="411">
        <f>ROUND((6.25*(1/0.8*(0.2*$Q$66^0.75+(30*(C72/1000))+(1.9*((Q105*1000)/4750)/1000))))/0.9,0)</f>
        <v>148</v>
      </c>
      <c r="R72" s="412">
        <f>ROUND((6.25*(1/0.8*(0.2*$R$66^0.75+(30*(C72/1000))+(1.9*((R105*1000)/4750)/1000))))/0.9,0)</f>
        <v>150</v>
      </c>
      <c r="S72" s="393">
        <f t="shared" si="1"/>
        <v>300</v>
      </c>
    </row>
    <row r="73" spans="1:19" x14ac:dyDescent="0.15">
      <c r="B73" s="390">
        <v>7</v>
      </c>
      <c r="C73" s="404">
        <v>350</v>
      </c>
      <c r="D73" s="410">
        <f>ROUND((6.25*(1/0.8*(0.2*$D$8^0.75+(30*(C73/1000))+(1.9*((D106*1000)/4750)/1000))))/0.9,0)</f>
        <v>122</v>
      </c>
      <c r="E73" s="411">
        <f>ROUND((6.25*(1/0.8*(0.2*$E$8^0.75+(30*(C73/1000))+(1.9*((E106*1000)/4750)/1000))))/0.9,0)</f>
        <v>126</v>
      </c>
      <c r="F73" s="411">
        <f>ROUND((6.25*(1/0.8*(0.2*$F$8^0.75+(30*(C73/1000))+(1.9*((F106*1000)/4750)/1000))))/0.9,0)</f>
        <v>129</v>
      </c>
      <c r="G73" s="411">
        <f>ROUND((6.25*(1/0.8*(0.2*$G$8^0.75+(30*(C73/1000))+(1.9*((G106*1000)/4750)/1000))))/0.9,0)</f>
        <v>132</v>
      </c>
      <c r="H73" s="411">
        <f>ROUND((6.25*(1/0.8*(0.2*$H$8^0.75+(30*(C73/1000))+(1.9*((H106*1000)/4750)/1000))))/0.9,0)</f>
        <v>136</v>
      </c>
      <c r="I73" s="411">
        <f>ROUND((6.25*(1/0.8*(0.2*$I$8^0.75+(30*(C73/1000))+(1.9*((I106*1000)/4750)/1000))))/0.9,0)</f>
        <v>139</v>
      </c>
      <c r="J73" s="411">
        <f>ROUND((6.25*(1/0.8*(0.2*$J$8^0.75+(30*(C73/1000))+(1.9*((J106*1000)/4750)/1000))))/0.9,0)</f>
        <v>142</v>
      </c>
      <c r="K73" s="411">
        <f>ROUND((6.25*(1/0.8*(0.2*$K$8^0.75+(30*(C73/1000))+(1.9*((K106*1000)/4750)/1000))))/0.9,0)</f>
        <v>145</v>
      </c>
      <c r="L73" s="411">
        <f>ROUND((6.25*(1/0.8*(0.2*$L$8^0.75+(30*(C73/1000))+(1.9*((L106*1000)/4750)/1000))))/0.9,0)</f>
        <v>148</v>
      </c>
      <c r="M73" s="411">
        <f>ROUND((6.25*(1/0.8*(0.2*$M$8^0.75+(30*(C73/1000))+(1.9*((M106*1000)/4750)/1000))))/0.9,0)</f>
        <v>151</v>
      </c>
      <c r="N73" s="411">
        <f>ROUND((6.25*(1/0.8*(0.2*$N$8^0.75+(30*(C73/1000))+(1.9*((N106*1000)/4750)/1000))))/0.9,0)</f>
        <v>153</v>
      </c>
      <c r="O73" s="411">
        <f>ROUND((6.25*(1/0.8*(0.2*$O$66^0.75+(30*(C73/1000))+(1.9*((O106*1000)/4750)/1000))))/0.9,0)</f>
        <v>156</v>
      </c>
      <c r="P73" s="411">
        <f>ROUND((6.25*(1/0.8*(0.2*$P$66^0.75+(30*(C73/1000))+(1.9*((P106*1000)/4750)/1000))))/0.9,0)</f>
        <v>159</v>
      </c>
      <c r="Q73" s="411">
        <f>ROUND((6.25*(1/0.8*(0.2*$Q$66^0.75+(30*(C73/1000))+(1.9*((Q106*1000)/4750)/1000))))/0.9,0)</f>
        <v>162</v>
      </c>
      <c r="R73" s="412">
        <f>ROUND((6.25*(1/0.8*(0.2*$R$66^0.75+(30*(C73/1000))+(1.9*((R106*1000)/4750)/1000))))/0.9,0)</f>
        <v>164</v>
      </c>
      <c r="S73" s="393">
        <f t="shared" si="1"/>
        <v>350</v>
      </c>
    </row>
    <row r="74" spans="1:19" x14ac:dyDescent="0.15">
      <c r="B74" s="390">
        <v>8</v>
      </c>
      <c r="C74" s="404">
        <v>400</v>
      </c>
      <c r="D74" s="410">
        <f>ROUND((6.25*(1/0.8*(0.2*$D$8^0.75+(30*(C74/1000))+(1.9*((D107*1000)/4750)/1000))))/0.9,0)</f>
        <v>136</v>
      </c>
      <c r="E74" s="411">
        <f>ROUND((6.25*(1/0.8*(0.2*$E$8^0.75+(30*(C74/1000))+(1.9*((E107*1000)/4750)/1000))))/0.9,0)</f>
        <v>139</v>
      </c>
      <c r="F74" s="411">
        <f>ROUND((6.25*(1/0.8*(0.2*$F$8^0.75+(30*(C74/1000))+(1.9*((F107*1000)/4750)/1000))))/0.9,0)</f>
        <v>143</v>
      </c>
      <c r="G74" s="411">
        <f>ROUND((6.25*(1/0.8*(0.2*$G$8^0.75+(30*(C74/1000))+(1.9*((G107*1000)/4750)/1000))))/0.9,0)</f>
        <v>146</v>
      </c>
      <c r="H74" s="411">
        <f>ROUND((6.25*(1/0.8*(0.2*$H$8^0.75+(30*(C74/1000))+(1.9*((H107*1000)/4750)/1000))))/0.9,0)</f>
        <v>149</v>
      </c>
      <c r="I74" s="411">
        <f>ROUND((6.25*(1/0.8*(0.2*$I$8^0.75+(30*(C74/1000))+(1.9*((I107*1000)/4750)/1000))))/0.9,0)</f>
        <v>152</v>
      </c>
      <c r="J74" s="411">
        <f>ROUND((6.25*(1/0.8*(0.2*$J$8^0.75+(30*(C74/1000))+(1.9*((J107*1000)/4750)/1000))))/0.9,0)</f>
        <v>156</v>
      </c>
      <c r="K74" s="411">
        <f>ROUND((6.25*(1/0.8*(0.2*$K$8^0.75+(30*(C74/1000))+(1.9*((K107*1000)/4750)/1000))))/0.9,0)</f>
        <v>159</v>
      </c>
      <c r="L74" s="411">
        <f>ROUND((6.25*(1/0.8*(0.2*$L$8^0.75+(30*(C74/1000))+(1.9*((L107*1000)/4750)/1000))))/0.9,0)</f>
        <v>162</v>
      </c>
      <c r="M74" s="411">
        <f>ROUND((6.25*(1/0.8*(0.2*$M$8^0.75+(30*(C74/1000))+(1.9*((M107*1000)/4750)/1000))))/0.9,0)</f>
        <v>164</v>
      </c>
      <c r="N74" s="411">
        <f>ROUND((6.25*(1/0.8*(0.2*$N$8^0.75+(30*(C74/1000))+(1.9*((N107*1000)/4750)/1000))))/0.9,0)</f>
        <v>167</v>
      </c>
      <c r="O74" s="411">
        <f>ROUND((6.25*(1/0.8*(0.2*$O$66^0.75+(30*(C74/1000))+(1.9*((O107*1000)/4750)/1000))))/0.9,0)</f>
        <v>170</v>
      </c>
      <c r="P74" s="411">
        <f>ROUND((6.25*(1/0.8*(0.2*$P$66^0.75+(30*(C74/1000))+(1.9*((P107*1000)/4750)/1000))))/0.9,0)</f>
        <v>173</v>
      </c>
      <c r="Q74" s="411">
        <f>ROUND((6.25*(1/0.8*(0.2*$Q$66^0.75+(30*(C74/1000))+(1.9*((Q107*1000)/4750)/1000))))/0.9,0)</f>
        <v>176</v>
      </c>
      <c r="R74" s="412">
        <f>ROUND((6.25*(1/0.8*(0.2*$R$66^0.75+(30*(C74/1000))+(1.9*((R107*1000)/4750)/1000))))/0.9,0)</f>
        <v>178</v>
      </c>
      <c r="S74" s="393">
        <f t="shared" si="1"/>
        <v>400</v>
      </c>
    </row>
    <row r="75" spans="1:19" x14ac:dyDescent="0.15">
      <c r="B75" s="390">
        <v>9</v>
      </c>
      <c r="C75" s="404">
        <v>450</v>
      </c>
      <c r="D75" s="410">
        <f>ROUND((6.25*(1/0.8*(0.2*$D$8^0.75+(30*(C75/1000))+(1.9*((D108*1000)/4750)/1000))))/0.9,0)</f>
        <v>149</v>
      </c>
      <c r="E75" s="411">
        <f>ROUND((6.25*(1/0.8*(0.2*$E$8^0.75+(30*(C75/1000))+(1.9*((E108*1000)/4750)/1000))))/0.9,0)</f>
        <v>153</v>
      </c>
      <c r="F75" s="411">
        <f>ROUND((6.25*(1/0.8*(0.2*$F$8^0.75+(30*(C75/1000))+(1.9*((F108*1000)/4750)/1000))))/0.9,0)</f>
        <v>156</v>
      </c>
      <c r="G75" s="411">
        <f>ROUND((6.25*(1/0.8*(0.2*$G$8^0.75+(30*(C75/1000))+(1.9*((G108*1000)/4750)/1000))))/0.9,0)</f>
        <v>160</v>
      </c>
      <c r="H75" s="411">
        <f>ROUND((6.25*(1/0.8*(0.2*$H$8^0.75+(30*(C75/1000))+(1.9*((H108*1000)/4750)/1000))))/0.9,0)</f>
        <v>163</v>
      </c>
      <c r="I75" s="411">
        <f>ROUND((6.25*(1/0.8*(0.2*$I$8^0.75+(30*(C75/1000))+(1.9*((I108*1000)/4750)/1000))))/0.9,0)</f>
        <v>166</v>
      </c>
      <c r="J75" s="411">
        <f>ROUND((6.25*(1/0.8*(0.2*$J$8^0.75+(30*(C75/1000))+(1.9*((J108*1000)/4750)/1000))))/0.9,0)</f>
        <v>169</v>
      </c>
      <c r="K75" s="411">
        <f>ROUND((6.25*(1/0.8*(0.2*$K$8^0.75+(30*(C75/1000))+(1.9*((K108*1000)/4750)/1000))))/0.9,0)</f>
        <v>172</v>
      </c>
      <c r="L75" s="411">
        <f>ROUND((6.25*(1/0.8*(0.2*$L$8^0.75+(30*(C75/1000))+(1.9*((L108*1000)/4750)/1000))))/0.9,0)</f>
        <v>175</v>
      </c>
      <c r="M75" s="411">
        <f>ROUND((6.25*(1/0.8*(0.2*$M$8^0.75+(30*(C75/1000))+(1.9*((M108*1000)/4750)/1000))))/0.9,0)</f>
        <v>178</v>
      </c>
      <c r="N75" s="411">
        <f>ROUND((6.25*(1/0.8*(0.2*$N$8^0.75+(30*(C75/1000))+(1.9*((N108*1000)/4750)/1000))))/0.9,0)</f>
        <v>181</v>
      </c>
      <c r="O75" s="411">
        <f>ROUND((6.25*(1/0.8*(0.2*$O$66^0.75+(30*(C75/1000))+(1.9*((O108*1000)/4750)/1000))))/0.9,0)</f>
        <v>184</v>
      </c>
      <c r="P75" s="411">
        <f>ROUND((6.25*(1/0.8*(0.2*$P$66^0.75+(30*(C75/1000))+(1.9*((P108*1000)/4750)/1000))))/0.9,0)</f>
        <v>187</v>
      </c>
      <c r="Q75" s="411">
        <f>ROUND((6.25*(1/0.8*(0.2*$Q$66^0.75+(30*(C75/1000))+(1.9*((Q108*1000)/4750)/1000))))/0.9,0)</f>
        <v>189</v>
      </c>
      <c r="R75" s="412">
        <f>ROUND((6.25*(1/0.8*(0.2*$R$66^0.75+(30*(C75/1000))+(1.9*((R108*1000)/4750)/1000))))/0.9,0)</f>
        <v>192</v>
      </c>
      <c r="S75" s="393">
        <f t="shared" si="1"/>
        <v>450</v>
      </c>
    </row>
    <row r="76" spans="1:19" x14ac:dyDescent="0.15">
      <c r="B76" s="390">
        <v>10</v>
      </c>
      <c r="C76" s="404">
        <v>500</v>
      </c>
      <c r="D76" s="410">
        <f>ROUND((6.25*(1/0.8*(0.2*$D$8^0.75+(30*(C76/1000))+(1.9*((D109*1000)/4750)/1000))))/0.9,0)</f>
        <v>163</v>
      </c>
      <c r="E76" s="411">
        <f>ROUND((6.25*(1/0.8*(0.2*$E$8^0.75+(30*(C76/1000))+(1.9*((E109*1000)/4750)/1000))))/0.9,0)</f>
        <v>167</v>
      </c>
      <c r="F76" s="411">
        <f>ROUND((6.25*(1/0.8*(0.2*$F$8^0.75+(30*(C76/1000))+(1.9*((F109*1000)/4750)/1000))))/0.9,0)</f>
        <v>170</v>
      </c>
      <c r="G76" s="411">
        <f>ROUND((6.25*(1/0.8*(0.2*$G$8^0.75+(30*(C76/1000))+(1.9*((G109*1000)/4750)/1000))))/0.9,0)</f>
        <v>173</v>
      </c>
      <c r="H76" s="411">
        <f>ROUND((6.25*(1/0.8*(0.2*$H$8^0.75+(30*(C76/1000))+(1.9*((H109*1000)/4750)/1000))))/0.9,0)</f>
        <v>177</v>
      </c>
      <c r="I76" s="411">
        <f>ROUND((6.25*(1/0.8*(0.2*$I$8^0.75+(30*(C76/1000))+(1.9*((I109*1000)/4750)/1000))))/0.9,0)</f>
        <v>180</v>
      </c>
      <c r="J76" s="411">
        <f>ROUND((6.25*(1/0.8*(0.2*$J$8^0.75+(30*(C76/1000))+(1.9*((J109*1000)/4750)/1000))))/0.9,0)</f>
        <v>183</v>
      </c>
      <c r="K76" s="411">
        <f>ROUND((6.25*(1/0.8*(0.2*$K$8^0.75+(30*(C76/1000))+(1.9*((K109*1000)/4750)/1000))))/0.9,0)</f>
        <v>186</v>
      </c>
      <c r="L76" s="411">
        <f>ROUND((6.25*(1/0.8*(0.2*$L$8^0.75+(30*(C76/1000))+(1.9*((L109*1000)/4750)/1000))))/0.9,0)</f>
        <v>189</v>
      </c>
      <c r="M76" s="411">
        <f>ROUND((6.25*(1/0.8*(0.2*$M$8^0.75+(30*(C76/1000))+(1.9*((M109*1000)/4750)/1000))))/0.9,0)</f>
        <v>192</v>
      </c>
      <c r="N76" s="411">
        <f>ROUND((6.25*(1/0.8*(0.2*$N$8^0.75+(30*(C76/1000))+(1.9*((N109*1000)/4750)/1000))))/0.9,0)</f>
        <v>195</v>
      </c>
      <c r="O76" s="411">
        <f>ROUND((6.25*(1/0.8*(0.2*$O$66^0.75+(30*(C76/1000))+(1.9*((O109*1000)/4750)/1000))))/0.9,0)</f>
        <v>198</v>
      </c>
      <c r="P76" s="411">
        <f>ROUND((6.25*(1/0.8*(0.2*$P$66^0.75+(30*(C76/1000))+(1.9*((P109*1000)/4750)/1000))))/0.9,0)</f>
        <v>201</v>
      </c>
      <c r="Q76" s="411">
        <f>ROUND((6.25*(1/0.8*(0.2*$Q$66^0.75+(30*(C76/1000))+(1.9*((Q109*1000)/4750)/1000))))/0.9,0)</f>
        <v>203</v>
      </c>
      <c r="R76" s="412">
        <f>ROUND((6.25*(1/0.8*(0.2*$R$66^0.75+(30*(C76/1000))+(1.9*((R109*1000)/4750)/1000))))/0.9,0)</f>
        <v>206</v>
      </c>
      <c r="S76" s="393">
        <f t="shared" si="1"/>
        <v>500</v>
      </c>
    </row>
    <row r="77" spans="1:19" x14ac:dyDescent="0.15">
      <c r="B77" s="390">
        <v>11</v>
      </c>
      <c r="C77" s="404">
        <v>550</v>
      </c>
      <c r="D77" s="410">
        <f>ROUND((6.25*(1/0.8*(0.2*$D$8^0.75+(30*(C77/1000))+(1.9*((D110*1000)/4750)/1000))))/0.9,0)</f>
        <v>177</v>
      </c>
      <c r="E77" s="411">
        <f>ROUND((6.25*(1/0.8*(0.2*$E$8^0.75+(30*(C77/1000))+(1.9*((E110*1000)/4750)/1000))))/0.9,0)</f>
        <v>180</v>
      </c>
      <c r="F77" s="411">
        <f>ROUND((6.25*(1/0.8*(0.2*$F$8^0.75+(30*(C77/1000))+(1.9*((F110*1000)/4750)/1000))))/0.9,0)</f>
        <v>184</v>
      </c>
      <c r="G77" s="411">
        <f>ROUND((6.25*(1/0.8*(0.2*$G$8^0.75+(30*(C77/1000))+(1.9*((G110*1000)/4750)/1000))))/0.9,0)</f>
        <v>187</v>
      </c>
      <c r="H77" s="411">
        <f>ROUND((6.25*(1/0.8*(0.2*$H$8^0.75+(30*(C77/1000))+(1.9*((H110*1000)/4750)/1000))))/0.9,0)</f>
        <v>191</v>
      </c>
      <c r="I77" s="411">
        <f>ROUND((6.25*(1/0.8*(0.2*$I$8^0.75+(30*(C77/1000))+(1.9*((I110*1000)/4750)/1000))))/0.9,0)</f>
        <v>194</v>
      </c>
      <c r="J77" s="411">
        <f>ROUND((6.25*(1/0.8*(0.2*$J$8^0.75+(30*(C77/1000))+(1.9*((J110*1000)/4750)/1000))))/0.9,0)</f>
        <v>197</v>
      </c>
      <c r="K77" s="411">
        <f>ROUND((6.25*(1/0.8*(0.2*$K$8^0.75+(30*(C77/1000))+(1.9*((K110*1000)/4750)/1000))))/0.9,0)</f>
        <v>200</v>
      </c>
      <c r="L77" s="411">
        <f>ROUND((6.25*(1/0.8*(0.2*$L$8^0.75+(30*(C77/1000))+(1.9*((L110*1000)/4750)/1000))))/0.9,0)</f>
        <v>203</v>
      </c>
      <c r="M77" s="411">
        <f>ROUND((6.25*(1/0.8*(0.2*$M$8^0.75+(30*(C77/1000))+(1.9*((M110*1000)/4750)/1000))))/0.9,0)</f>
        <v>206</v>
      </c>
      <c r="N77" s="411">
        <f>ROUND((6.25*(1/0.8*(0.2*$N$8^0.75+(30*(C77/1000))+(1.9*((N110*1000)/4750)/1000))))/0.9,0)</f>
        <v>209</v>
      </c>
      <c r="O77" s="411">
        <f>ROUND((6.25*(1/0.8*(0.2*$O$66^0.75+(30*(C77/1000))+(1.9*((O110*1000)/4750)/1000))))/0.9,0)</f>
        <v>212</v>
      </c>
      <c r="P77" s="411">
        <f>ROUND((6.25*(1/0.8*(0.2*$P$66^0.75+(30*(C77/1000))+(1.9*((P110*1000)/4750)/1000))))/0.9,0)</f>
        <v>215</v>
      </c>
      <c r="Q77" s="411">
        <f>ROUND((6.25*(1/0.8*(0.2*$Q$66^0.75+(30*(C77/1000))+(1.9*((Q110*1000)/4750)/1000))))/0.9,0)</f>
        <v>217</v>
      </c>
      <c r="R77" s="412">
        <f>ROUND((6.25*(1/0.8*(0.2*$R$66^0.75+(30*(C77/1000))+(1.9*((R110*1000)/4750)/1000))))/0.9,0)</f>
        <v>220</v>
      </c>
      <c r="S77" s="393">
        <f t="shared" si="1"/>
        <v>550</v>
      </c>
    </row>
    <row r="78" spans="1:19" x14ac:dyDescent="0.15">
      <c r="B78" s="390">
        <v>12</v>
      </c>
      <c r="C78" s="404">
        <v>600</v>
      </c>
      <c r="D78" s="410">
        <f>ROUND((6.25*(1/0.8*(0.2*$D$8^0.75+(30*(C78/1000))+(1.9*((D111*1000)/4750)/1000))))/0.9,0)</f>
        <v>190</v>
      </c>
      <c r="E78" s="411">
        <f>ROUND((6.25*(1/0.8*(0.2*$E$8^0.75+(30*(C78/1000))+(1.9*((E111*1000)/4750)/1000))))/0.9,0)</f>
        <v>194</v>
      </c>
      <c r="F78" s="411">
        <f>ROUND((6.25*(1/0.8*(0.2*$F$8^0.75+(30*(C78/1000))+(1.9*((F111*1000)/4750)/1000))))/0.9,0)</f>
        <v>198</v>
      </c>
      <c r="G78" s="411">
        <f>ROUND((6.25*(1/0.8*(0.2*$G$8^0.75+(30*(C78/1000))+(1.9*((G111*1000)/4750)/1000))))/0.9,0)</f>
        <v>201</v>
      </c>
      <c r="H78" s="411">
        <f>ROUND((6.25*(1/0.8*(0.2*$H$8^0.75+(30*(C78/1000))+(1.9*((H111*1000)/4750)/1000))))/0.9,0)</f>
        <v>204</v>
      </c>
      <c r="I78" s="411">
        <f>ROUND((6.25*(1/0.8*(0.2*$I$8^0.75+(30*(C78/1000))+(1.9*((I111*1000)/4750)/1000))))/0.9,0)</f>
        <v>208</v>
      </c>
      <c r="J78" s="411">
        <f>ROUND((6.25*(1/0.8*(0.2*$J$8^0.75+(30*(C78/1000))+(1.9*((J111*1000)/4750)/1000))))/0.9,0)</f>
        <v>211</v>
      </c>
      <c r="K78" s="411">
        <f>ROUND((6.25*(1/0.8*(0.2*$K$8^0.75+(30*(C78/1000))+(1.9*((K111*1000)/4750)/1000))))/0.9,0)</f>
        <v>214</v>
      </c>
      <c r="L78" s="411">
        <f>ROUND((6.25*(1/0.8*(0.2*$L$8^0.75+(30*(C78/1000))+(1.9*((L111*1000)/4750)/1000))))/0.9,0)</f>
        <v>217</v>
      </c>
      <c r="M78" s="411">
        <f>ROUND((6.25*(1/0.8*(0.2*$M$8^0.75+(30*(C78/1000))+(1.9*((M111*1000)/4750)/1000))))/0.9,0)</f>
        <v>220</v>
      </c>
      <c r="N78" s="411">
        <f>ROUND((6.25*(1/0.8*(0.2*$N$8^0.75+(30*(C78/1000))+(1.9*((N111*1000)/4750)/1000))))/0.9,0)</f>
        <v>223</v>
      </c>
      <c r="O78" s="411">
        <f>ROUND((6.25*(1/0.8*(0.2*$O$66^0.75+(30*(C78/1000))+(1.9*((O111*1000)/4750)/1000))))/0.9,0)</f>
        <v>226</v>
      </c>
      <c r="P78" s="411">
        <f>ROUND((6.25*(1/0.8*(0.2*$P$66^0.75+(30*(C78/1000))+(1.9*((P111*1000)/4750)/1000))))/0.9,0)</f>
        <v>229</v>
      </c>
      <c r="Q78" s="411">
        <f>ROUND((6.25*(1/0.8*(0.2*$Q$66^0.75+(30*(C78/1000))+(1.9*((Q111*1000)/4750)/1000))))/0.9,0)</f>
        <v>231</v>
      </c>
      <c r="R78" s="412">
        <f>ROUND((6.25*(1/0.8*(0.2*$R$66^0.75+(30*(C78/1000))+(1.9*((R111*1000)/4750)/1000))))/0.9,0)</f>
        <v>234</v>
      </c>
      <c r="S78" s="393">
        <f t="shared" si="1"/>
        <v>600</v>
      </c>
    </row>
    <row r="79" spans="1:19" x14ac:dyDescent="0.15">
      <c r="B79" s="390">
        <v>13</v>
      </c>
      <c r="C79" s="404">
        <v>650</v>
      </c>
      <c r="D79" s="410">
        <f>ROUND((6.25*(1/0.8*(0.2*$D$8^0.75+(30*(C79/1000))+(1.9*((D112*1000)/4750)/1000))))/0.9,0)</f>
        <v>204</v>
      </c>
      <c r="E79" s="411">
        <f>ROUND((6.25*(1/0.8*(0.2*$E$8^0.75+(30*(C79/1000))+(1.9*((E112*1000)/4750)/1000))))/0.9,0)</f>
        <v>208</v>
      </c>
      <c r="F79" s="411">
        <f>ROUND((6.25*(1/0.8*(0.2*$F$8^0.75+(30*(C79/1000))+(1.9*((F112*1000)/4750)/1000))))/0.9,0)</f>
        <v>211</v>
      </c>
      <c r="G79" s="411">
        <f>ROUND((6.25*(1/0.8*(0.2*$G$8^0.75+(30*(C79/1000))+(1.9*((G112*1000)/4750)/1000))))/0.9,0)</f>
        <v>215</v>
      </c>
      <c r="H79" s="411">
        <f>ROUND((6.25*(1/0.8*(0.2*$H$8^0.75+(30*(C79/1000))+(1.9*((H112*1000)/4750)/1000))))/0.9,0)</f>
        <v>218</v>
      </c>
      <c r="I79" s="411">
        <f>ROUND((6.25*(1/0.8*(0.2*$I$8^0.75+(30*(C79/1000))+(1.9*((I112*1000)/4750)/1000))))/0.9,0)</f>
        <v>221</v>
      </c>
      <c r="J79" s="411">
        <f>ROUND((6.25*(1/0.8*(0.2*$J$8^0.75+(30*(C79/1000))+(1.9*((J112*1000)/4750)/1000))))/0.9,0)</f>
        <v>225</v>
      </c>
      <c r="K79" s="411">
        <f>ROUND((6.25*(1/0.8*(0.2*$K$8^0.75+(30*(C79/1000))+(1.9*((K112*1000)/4750)/1000))))/0.9,0)</f>
        <v>228</v>
      </c>
      <c r="L79" s="411">
        <f>ROUND((6.25*(1/0.8*(0.2*$L$8^0.75+(30*(C79/1000))+(1.9*((L112*1000)/4750)/1000))))/0.9,0)</f>
        <v>231</v>
      </c>
      <c r="M79" s="411">
        <f>ROUND((6.25*(1/0.8*(0.2*$M$8^0.75+(30*(C79/1000))+(1.9*((M112*1000)/4750)/1000))))/0.9,0)</f>
        <v>234</v>
      </c>
      <c r="N79" s="411">
        <f>ROUND((6.25*(1/0.8*(0.2*$N$8^0.75+(30*(C79/1000))+(1.9*((N112*1000)/4750)/1000))))/0.9,0)</f>
        <v>237</v>
      </c>
      <c r="O79" s="411">
        <f>ROUND((6.25*(1/0.8*(0.2*$O$66^0.75+(30*(C79/1000))+(1.9*((O112*1000)/4750)/1000))))/0.9,0)</f>
        <v>240</v>
      </c>
      <c r="P79" s="411">
        <f>ROUND((6.25*(1/0.8*(0.2*$P$66^0.75+(30*(C79/1000))+(1.9*((P112*1000)/4750)/1000))))/0.9,0)</f>
        <v>242</v>
      </c>
      <c r="Q79" s="411">
        <f>ROUND((6.25*(1/0.8*(0.2*$Q$66^0.75+(30*(C79/1000))+(1.9*((Q112*1000)/4750)/1000))))/0.9,0)</f>
        <v>245</v>
      </c>
      <c r="R79" s="412">
        <f>ROUND((6.25*(1/0.8*(0.2*$R$66^0.75+(30*(C79/1000))+(1.9*((R112*1000)/4750)/1000))))/0.9,0)</f>
        <v>248</v>
      </c>
      <c r="S79" s="393">
        <f t="shared" si="1"/>
        <v>650</v>
      </c>
    </row>
    <row r="80" spans="1:19" x14ac:dyDescent="0.15">
      <c r="B80" s="390">
        <v>14</v>
      </c>
      <c r="C80" s="404">
        <v>700</v>
      </c>
      <c r="D80" s="410">
        <f>ROUND((6.25*(1/0.8*(0.2*$D$8^0.75+(30*(C80/1000))+(1.9*((D113*1000)/4750)/1000))))/0.9,0)</f>
        <v>218</v>
      </c>
      <c r="E80" s="411">
        <f>ROUND((6.25*(1/0.8*(0.2*$E$8^0.75+(30*(C80/1000))+(1.9*((E113*1000)/4750)/1000))))/0.9,0)</f>
        <v>221</v>
      </c>
      <c r="F80" s="411">
        <f>ROUND((6.25*(1/0.8*(0.2*$F$8^0.75+(30*(C80/1000))+(1.9*((F113*1000)/4750)/1000))))/0.9,0)</f>
        <v>225</v>
      </c>
      <c r="G80" s="411">
        <f>ROUND((6.25*(1/0.8*(0.2*$G$8^0.75+(30*(C80/1000))+(1.9*((G113*1000)/4750)/1000))))/0.9,0)</f>
        <v>229</v>
      </c>
      <c r="H80" s="411">
        <f>ROUND((6.25*(1/0.8*(0.2*$H$8^0.75+(30*(C80/1000))+(1.9*((H113*1000)/4750)/1000))))/0.9,0)</f>
        <v>232</v>
      </c>
      <c r="I80" s="411">
        <f>ROUND((6.25*(1/0.8*(0.2*$I$8^0.75+(30*(C80/1000))+(1.9*((I113*1000)/4750)/1000))))/0.9,0)</f>
        <v>235</v>
      </c>
      <c r="J80" s="411">
        <f>ROUND((6.25*(1/0.8*(0.2*$J$8^0.75+(30*(C80/1000))+(1.9*((J113*1000)/4750)/1000))))/0.9,0)</f>
        <v>238</v>
      </c>
      <c r="K80" s="411">
        <f>ROUND((6.25*(1/0.8*(0.2*$K$8^0.75+(30*(C80/1000))+(1.9*((K113*1000)/4750)/1000))))/0.9,0)</f>
        <v>242</v>
      </c>
      <c r="L80" s="411">
        <f>ROUND((6.25*(1/0.8*(0.2*$L$8^0.75+(30*(C80/1000))+(1.9*((L113*1000)/4750)/1000))))/0.9,0)</f>
        <v>245</v>
      </c>
      <c r="M80" s="411">
        <f>ROUND((6.25*(1/0.8*(0.2*$M$8^0.75+(30*(C80/1000))+(1.9*((M113*1000)/4750)/1000))))/0.9,0)</f>
        <v>248</v>
      </c>
      <c r="N80" s="411">
        <f>ROUND((6.25*(1/0.8*(0.2*$N$8^0.75+(30*(C80/1000))+(1.9*((N113*1000)/4750)/1000))))/0.9,0)</f>
        <v>251</v>
      </c>
      <c r="O80" s="411">
        <f>ROUND((6.25*(1/0.8*(0.2*$O$66^0.75+(30*(C80/1000))+(1.9*((O113*1000)/4750)/1000))))/0.9,0)</f>
        <v>254</v>
      </c>
      <c r="P80" s="411">
        <f>ROUND((6.25*(1/0.8*(0.2*$P$66^0.75+(30*(C80/1000))+(1.9*((P113*1000)/4750)/1000))))/0.9,0)</f>
        <v>256</v>
      </c>
      <c r="Q80" s="411">
        <f>ROUND((6.25*(1/0.8*(0.2*$Q$66^0.75+(30*(C80/1000))+(1.9*((Q113*1000)/4750)/1000))))/0.9,0)</f>
        <v>259</v>
      </c>
      <c r="R80" s="412">
        <f>ROUND((6.25*(1/0.8*(0.2*$R$66^0.75+(30*(C80/1000))+(1.9*((R113*1000)/4750)/1000))))/0.9,0)</f>
        <v>262</v>
      </c>
      <c r="S80" s="393">
        <f t="shared" si="1"/>
        <v>700</v>
      </c>
    </row>
    <row r="81" spans="2:23" x14ac:dyDescent="0.15">
      <c r="B81" s="390">
        <v>15</v>
      </c>
      <c r="C81" s="404">
        <v>750</v>
      </c>
      <c r="D81" s="410">
        <f>ROUND((6.25*(1/0.8*(0.2*$D$8^0.75+(30*(C81/1000))+(1.9*((D114*1000)/4750)/1000))))/0.9,0)</f>
        <v>231</v>
      </c>
      <c r="E81" s="411">
        <f>ROUND((6.25*(1/0.8*(0.2*$E$8^0.75+(30*(C81/1000))+(1.9*((E114*1000)/4750)/1000))))/0.9,0)</f>
        <v>235</v>
      </c>
      <c r="F81" s="411">
        <f>ROUND((6.25*(1/0.8*(0.2*$F$8^0.75+(30*(C81/1000))+(1.9*((F114*1000)/4750)/1000))))/0.9,0)</f>
        <v>239</v>
      </c>
      <c r="G81" s="411">
        <f>ROUND((6.25*(1/0.8*(0.2*$G$8^0.75+(30*(C81/1000))+(1.9*((G114*1000)/4750)/1000))))/0.9,0)</f>
        <v>242</v>
      </c>
      <c r="H81" s="411">
        <f>ROUND((6.25*(1/0.8*(0.2*$H$8^0.75+(30*(C81/1000))+(1.9*((H114*1000)/4750)/1000))))/0.9,0)</f>
        <v>246</v>
      </c>
      <c r="I81" s="411">
        <f>ROUND((6.25*(1/0.8*(0.2*$I$8^0.75+(30*(C81/1000))+(1.9*((I114*1000)/4750)/1000))))/0.9,0)</f>
        <v>249</v>
      </c>
      <c r="J81" s="411">
        <f>ROUND((6.25*(1/0.8*(0.2*$J$8^0.75+(30*(C81/1000))+(1.9*((J114*1000)/4750)/1000))))/0.9,0)</f>
        <v>252</v>
      </c>
      <c r="K81" s="411">
        <f>ROUND((6.25*(1/0.8*(0.2*$K$8^0.75+(30*(C81/1000))+(1.9*((K114*1000)/4750)/1000))))/0.9,0)</f>
        <v>256</v>
      </c>
      <c r="L81" s="411">
        <f>ROUND((6.25*(1/0.8*(0.2*$L$8^0.75+(30*(C81/1000))+(1.9*((L114*1000)/4750)/1000))))/0.9,0)</f>
        <v>259</v>
      </c>
      <c r="M81" s="411">
        <f>ROUND((6.25*(1/0.8*(0.2*$M$8^0.75+(30*(C81/1000))+(1.9*((M114*1000)/4750)/1000))))/0.9,0)</f>
        <v>262</v>
      </c>
      <c r="N81" s="411">
        <f>ROUND((6.25*(1/0.8*(0.2*$N$8^0.75+(30*(C81/1000))+(1.9*((N114*1000)/4750)/1000))))/0.9,0)</f>
        <v>265</v>
      </c>
      <c r="O81" s="411">
        <f>ROUND((6.25*(1/0.8*(0.2*$O$66^0.75+(30*(C81/1000))+(1.9*((O114*1000)/4750)/1000))))/0.9,0)</f>
        <v>268</v>
      </c>
      <c r="P81" s="411">
        <f>ROUND((6.25*(1/0.8*(0.2*$P$66^0.75+(30*(C81/1000))+(1.9*((P114*1000)/4750)/1000))))/0.9,0)</f>
        <v>270</v>
      </c>
      <c r="Q81" s="411">
        <f>ROUND((6.25*(1/0.8*(0.2*$Q$66^0.75+(30*(C81/1000))+(1.9*((Q114*1000)/4750)/1000))))/0.9,0)</f>
        <v>273</v>
      </c>
      <c r="R81" s="412">
        <f>ROUND((6.25*(1/0.8*(0.2*$R$66^0.75+(30*(C81/1000))+(1.9*((R114*1000)/4750)/1000))))/0.9,0)</f>
        <v>276</v>
      </c>
      <c r="S81" s="393">
        <f t="shared" si="1"/>
        <v>750</v>
      </c>
    </row>
    <row r="82" spans="2:23" x14ac:dyDescent="0.15">
      <c r="B82" s="390">
        <v>16</v>
      </c>
      <c r="C82" s="404">
        <v>800</v>
      </c>
      <c r="D82" s="410">
        <f>ROUND((6.25*(1/0.8*(0.2*$D$8^0.75+(30*(C82/1000))+(1.9*((D115*1000)/4750)/1000))))/0.9,0)</f>
        <v>245</v>
      </c>
      <c r="E82" s="411">
        <f>ROUND((6.25*(1/0.8*(0.2*$E$8^0.75+(30*(C82/1000))+(1.9*((E115*1000)/4750)/1000))))/0.9,0)</f>
        <v>249</v>
      </c>
      <c r="F82" s="411">
        <f>ROUND((6.25*(1/0.8*(0.2*$F$8^0.75+(30*(C82/1000))+(1.9*((F115*1000)/4750)/1000))))/0.9,0)</f>
        <v>252</v>
      </c>
      <c r="G82" s="411">
        <f>ROUND((6.25*(1/0.8*(0.2*$G$8^0.75+(30*(C82/1000))+(1.9*((G115*1000)/4750)/1000))))/0.9,0)</f>
        <v>256</v>
      </c>
      <c r="H82" s="411">
        <f>ROUND((6.25*(1/0.8*(0.2*$H$8^0.75+(30*(C82/1000))+(1.9*((H115*1000)/4750)/1000))))/0.9,0)</f>
        <v>260</v>
      </c>
      <c r="I82" s="411">
        <f>ROUND((6.25*(1/0.8*(0.2*$I$8^0.75+(30*(C82/1000))+(1.9*((I115*1000)/4750)/1000))))/0.9,0)</f>
        <v>263</v>
      </c>
      <c r="J82" s="411">
        <f>ROUND((6.25*(1/0.8*(0.2*$J$8^0.75+(30*(C82/1000))+(1.9*((J115*1000)/4750)/1000))))/0.9,0)</f>
        <v>266</v>
      </c>
      <c r="K82" s="411">
        <f>ROUND((6.25*(1/0.8*(0.2*$K$8^0.75+(30*(C82/1000))+(1.9*((K115*1000)/4750)/1000))))/0.9,0)</f>
        <v>269</v>
      </c>
      <c r="L82" s="411">
        <f>ROUND((6.25*(1/0.8*(0.2*$L$8^0.75+(30*(C82/1000))+(1.9*((L115*1000)/4750)/1000))))/0.9,0)</f>
        <v>273</v>
      </c>
      <c r="M82" s="411">
        <f>ROUND((6.25*(1/0.8*(0.2*$M$8^0.75+(30*(C82/1000))+(1.9*((M115*1000)/4750)/1000))))/0.9,0)</f>
        <v>276</v>
      </c>
      <c r="N82" s="411">
        <f>ROUND((6.25*(1/0.8*(0.2*$N$8^0.75+(30*(C82/1000))+(1.9*((N115*1000)/4750)/1000))))/0.9,0)</f>
        <v>279</v>
      </c>
      <c r="O82" s="411">
        <f>ROUND((6.25*(1/0.8*(0.2*$O$66^0.75+(30*(C82/1000))+(1.9*((O115*1000)/4750)/1000))))/0.9,0)</f>
        <v>282</v>
      </c>
      <c r="P82" s="411">
        <f>ROUND((6.25*(1/0.8*(0.2*$P$66^0.75+(30*(C82/1000))+(1.9*((P115*1000)/4750)/1000))))/0.9,0)</f>
        <v>284</v>
      </c>
      <c r="Q82" s="411">
        <f>ROUND((6.25*(1/0.8*(0.2*$Q$66^0.75+(30*(C82/1000))+(1.9*((Q115*1000)/4750)/1000))))/0.9,0)</f>
        <v>287</v>
      </c>
      <c r="R82" s="412">
        <f>ROUND((6.25*(1/0.8*(0.2*$R$66^0.75+(30*(C82/1000))+(1.9*((R115*1000)/4750)/1000))))/0.9,0)</f>
        <v>290</v>
      </c>
      <c r="S82" s="393">
        <f t="shared" si="1"/>
        <v>800</v>
      </c>
    </row>
    <row r="83" spans="2:23" x14ac:dyDescent="0.15">
      <c r="B83" s="390">
        <v>17</v>
      </c>
      <c r="C83" s="404">
        <v>850</v>
      </c>
      <c r="D83" s="410">
        <f>ROUND((6.25*(1/0.8*(0.2*$D$8^0.75+(30*(C83/1000))+(1.9*((D116*1000)/4750)/1000))))/0.9,0)</f>
        <v>259</v>
      </c>
      <c r="E83" s="411">
        <f>ROUND((6.25*(1/0.8*(0.2*$E$8^0.75+(30*(C83/1000))+(1.9*((E116*1000)/4750)/1000))))/0.9,0)</f>
        <v>263</v>
      </c>
      <c r="F83" s="411">
        <f>ROUND((6.25*(1/0.8*(0.2*$F$8^0.75+(30*(C83/1000))+(1.9*((F116*1000)/4750)/1000))))/0.9,0)</f>
        <v>266</v>
      </c>
      <c r="G83" s="411">
        <f>ROUND((6.25*(1/0.8*(0.2*$G$8^0.75+(30*(C83/1000))+(1.9*((G116*1000)/4750)/1000))))/0.9,0)</f>
        <v>270</v>
      </c>
      <c r="H83" s="411">
        <f>ROUND((6.25*(1/0.8*(0.2*$H$8^0.75+(30*(C83/1000))+(1.9*((H116*1000)/4750)/1000))))/0.9,0)</f>
        <v>273</v>
      </c>
      <c r="I83" s="411">
        <f>ROUND((6.25*(1/0.8*(0.2*$I$8^0.75+(30*(C83/1000))+(1.9*((I116*1000)/4750)/1000))))/0.9,0)</f>
        <v>277</v>
      </c>
      <c r="J83" s="411">
        <f>ROUND((6.25*(1/0.8*(0.2*$J$8^0.75+(30*(C83/1000))+(1.9*((J116*1000)/4750)/1000))))/0.9,0)</f>
        <v>280</v>
      </c>
      <c r="K83" s="411">
        <f>ROUND((6.25*(1/0.8*(0.2*$K$8^0.75+(30*(C83/1000))+(1.9*((K116*1000)/4750)/1000))))/0.9,0)</f>
        <v>283</v>
      </c>
      <c r="L83" s="411">
        <f>ROUND((6.25*(1/0.8*(0.2*$L$8^0.75+(30*(C83/1000))+(1.9*((L116*1000)/4750)/1000))))/0.9,0)</f>
        <v>286</v>
      </c>
      <c r="M83" s="411">
        <f>ROUND((6.25*(1/0.8*(0.2*$M$8^0.75+(30*(C83/1000))+(1.9*((M116*1000)/4750)/1000))))/0.9,0)</f>
        <v>290</v>
      </c>
      <c r="N83" s="411">
        <f>ROUND((6.25*(1/0.8*(0.2*$N$8^0.75+(30*(C83/1000))+(1.9*((N116*1000)/4750)/1000))))/0.9,0)</f>
        <v>293</v>
      </c>
      <c r="O83" s="411">
        <f>ROUND((6.25*(1/0.8*(0.2*$O$66^0.75+(30*(C83/1000))+(1.9*((O116*1000)/4750)/1000))))/0.9,0)</f>
        <v>296</v>
      </c>
      <c r="P83" s="411">
        <f>ROUND((6.25*(1/0.8*(0.2*$P$66^0.75+(30*(C83/1000))+(1.9*((P116*1000)/4750)/1000))))/0.9,0)</f>
        <v>298</v>
      </c>
      <c r="Q83" s="411">
        <f>ROUND((6.25*(1/0.8*(0.2*$Q$66^0.75+(30*(C83/1000))+(1.9*((Q116*1000)/4750)/1000))))/0.9,0)</f>
        <v>301</v>
      </c>
      <c r="R83" s="412">
        <f>ROUND((6.25*(1/0.8*(0.2*$R$66^0.75+(30*(C83/1000))+(1.9*((R116*1000)/4750)/1000))))/0.9,0)</f>
        <v>304</v>
      </c>
      <c r="S83" s="393">
        <f t="shared" si="1"/>
        <v>850</v>
      </c>
    </row>
    <row r="84" spans="2:23" x14ac:dyDescent="0.15">
      <c r="B84" s="390">
        <v>18</v>
      </c>
      <c r="C84" s="404">
        <v>900</v>
      </c>
      <c r="D84" s="410">
        <f>ROUND((6.25*(1/0.8*(0.2*$D$8^0.75+(30*(C84/1000))+(1.9*((D117*1000)/4750)/1000))))/0.9,0)</f>
        <v>272</v>
      </c>
      <c r="E84" s="411">
        <f>ROUND((6.25*(1/0.8*(0.2*$E$8^0.75+(30*(C84/1000))+(1.9*((E117*1000)/4750)/1000))))/0.9,0)</f>
        <v>276</v>
      </c>
      <c r="F84" s="411">
        <f>ROUND((6.25*(1/0.8*(0.2*$F$8^0.75+(30*(C84/1000))+(1.9*((F117*1000)/4750)/1000))))/0.9,0)</f>
        <v>280</v>
      </c>
      <c r="G84" s="411">
        <f>ROUND((6.25*(1/0.8*(0.2*$G$8^0.75+(30*(C84/1000))+(1.9*((G117*1000)/4750)/1000))))/0.9,0)</f>
        <v>284</v>
      </c>
      <c r="H84" s="411">
        <f>ROUND((6.25*(1/0.8*(0.2*$H$8^0.75+(30*(C84/1000))+(1.9*((H117*1000)/4750)/1000))))/0.9,0)</f>
        <v>287</v>
      </c>
      <c r="I84" s="411">
        <f>ROUND((6.25*(1/0.8*(0.2*$I$8^0.75+(30*(C84/1000))+(1.9*((I117*1000)/4750)/1000))))/0.9,0)</f>
        <v>291</v>
      </c>
      <c r="J84" s="411">
        <f>ROUND((6.25*(1/0.8*(0.2*$J$8^0.75+(30*(C84/1000))+(1.9*((J117*1000)/4750)/1000))))/0.9,0)</f>
        <v>294</v>
      </c>
      <c r="K84" s="411">
        <f>ROUND((6.25*(1/0.8*(0.2*$K$8^0.75+(30*(C84/1000))+(1.9*((K117*1000)/4750)/1000))))/0.9,0)</f>
        <v>297</v>
      </c>
      <c r="L84" s="411">
        <f>ROUND((6.25*(1/0.8*(0.2*$L$8^0.75+(30*(C84/1000))+(1.9*((L117*1000)/4750)/1000))))/0.9,0)</f>
        <v>300</v>
      </c>
      <c r="M84" s="411">
        <f>ROUND((6.25*(1/0.8*(0.2*$M$8^0.75+(30*(C84/1000))+(1.9*((M117*1000)/4750)/1000))))/0.9,0)</f>
        <v>304</v>
      </c>
      <c r="N84" s="411">
        <f>ROUND((6.25*(1/0.8*(0.2*$N$8^0.75+(30*(C84/1000))+(1.9*((N117*1000)/4750)/1000))))/0.9,0)</f>
        <v>307</v>
      </c>
      <c r="O84" s="411">
        <f>ROUND((6.25*(1/0.8*(0.2*$O$66^0.75+(30*(C84/1000))+(1.9*((O117*1000)/4750)/1000))))/0.9,0)</f>
        <v>310</v>
      </c>
      <c r="P84" s="411">
        <f>ROUND((6.25*(1/0.8*(0.2*$P$66^0.75+(30*(C84/1000))+(1.9*((P117*1000)/4750)/1000))))/0.9,0)</f>
        <v>313</v>
      </c>
      <c r="Q84" s="411">
        <f>ROUND((6.25*(1/0.8*(0.2*$Q$66^0.75+(30*(C84/1000))+(1.9*((Q117*1000)/4750)/1000))))/0.9,0)</f>
        <v>315</v>
      </c>
      <c r="R84" s="412">
        <f>ROUND((6.25*(1/0.8*(0.2*$R$66^0.75+(30*(C84/1000))+(1.9*((R117*1000)/4750)/1000))))/0.9,0)</f>
        <v>318</v>
      </c>
      <c r="S84" s="393">
        <f t="shared" si="1"/>
        <v>900</v>
      </c>
    </row>
    <row r="85" spans="2:23" x14ac:dyDescent="0.15">
      <c r="B85" s="390">
        <v>19</v>
      </c>
      <c r="C85" s="404">
        <v>950</v>
      </c>
      <c r="D85" s="410">
        <f>ROUND((6.25*(1/0.8*(0.2*$D$8^0.75+(30*(C85/1000))+(1.9*((D118*1000)/4750)/1000))))/0.9,0)</f>
        <v>286</v>
      </c>
      <c r="E85" s="411">
        <f>ROUND((6.25*(1/0.8*(0.2*$E$8^0.75+(30*(C85/1000))+(1.9*((E118*1000)/4750)/1000))))/0.9,0)</f>
        <v>290</v>
      </c>
      <c r="F85" s="411">
        <f>ROUND((6.25*(1/0.8*(0.2*$F$8^0.75+(30*(C85/1000))+(1.9*((F118*1000)/4750)/1000))))/0.9,0)</f>
        <v>294</v>
      </c>
      <c r="G85" s="411">
        <f>ROUND((6.25*(1/0.8*(0.2*$G$8^0.75+(30*(C85/1000))+(1.9*((G118*1000)/4750)/1000))))/0.9,0)</f>
        <v>298</v>
      </c>
      <c r="H85" s="411">
        <f>ROUND((6.25*(1/0.8*(0.2*$H$8^0.75+(30*(C85/1000))+(1.9*((H118*1000)/4750)/1000))))/0.9,0)</f>
        <v>301</v>
      </c>
      <c r="I85" s="411">
        <f>ROUND((6.25*(1/0.8*(0.2*$I$8^0.75+(30*(C85/1000))+(1.9*((I118*1000)/4750)/1000))))/0.9,0)</f>
        <v>305</v>
      </c>
      <c r="J85" s="411">
        <f>ROUND((6.25*(1/0.8*(0.2*$J$8^0.75+(30*(C85/1000))+(1.9*((J118*1000)/4750)/1000))))/0.9,0)</f>
        <v>308</v>
      </c>
      <c r="K85" s="411">
        <f>ROUND((6.25*(1/0.8*(0.2*$K$8^0.75+(30*(C85/1000))+(1.9*((K118*1000)/4750)/1000))))/0.9,0)</f>
        <v>311</v>
      </c>
      <c r="L85" s="411">
        <f>ROUND((6.25*(1/0.8*(0.2*$L$8^0.75+(30*(C85/1000))+(1.9*((L118*1000)/4750)/1000))))/0.9,0)</f>
        <v>314</v>
      </c>
      <c r="M85" s="411">
        <f>ROUND((6.25*(1/0.8*(0.2*$M$8^0.75+(30*(C85/1000))+(1.9*((M118*1000)/4750)/1000))))/0.9,0)</f>
        <v>318</v>
      </c>
      <c r="N85" s="411">
        <f>ROUND((6.25*(1/0.8*(0.2*$N$8^0.75+(30*(C85/1000))+(1.9*((N118*1000)/4750)/1000))))/0.9,0)</f>
        <v>321</v>
      </c>
      <c r="O85" s="411">
        <f>ROUND((6.25*(1/0.8*(0.2*$O$66^0.75+(30*(C85/1000))+(1.9*((O118*1000)/4750)/1000))))/0.9,0)</f>
        <v>324</v>
      </c>
      <c r="P85" s="411">
        <f>ROUND((6.25*(1/0.8*(0.2*$P$66^0.75+(30*(C85/1000))+(1.9*((P118*1000)/4750)/1000))))/0.9,0)</f>
        <v>327</v>
      </c>
      <c r="Q85" s="411">
        <f>ROUND((6.25*(1/0.8*(0.2*$Q$66^0.75+(30*(C85/1000))+(1.9*((Q118*1000)/4750)/1000))))/0.9,0)</f>
        <v>329</v>
      </c>
      <c r="R85" s="412">
        <f>ROUND((6.25*(1/0.8*(0.2*$R$66^0.75+(30*(C85/1000))+(1.9*((R118*1000)/4750)/1000))))/0.9,0)</f>
        <v>332</v>
      </c>
      <c r="S85" s="393">
        <f t="shared" si="1"/>
        <v>950</v>
      </c>
    </row>
    <row r="86" spans="2:23" ht="14" thickBot="1" x14ac:dyDescent="0.2">
      <c r="B86" s="390">
        <v>20</v>
      </c>
      <c r="C86" s="404">
        <v>1000</v>
      </c>
      <c r="D86" s="413">
        <f>ROUND((6.25*(1/0.8*(0.2*$D$8^0.75+(30*(C86/1000))+(1.9*((D119*1000)/4750)/1000))))/0.9,0)</f>
        <v>300</v>
      </c>
      <c r="E86" s="414">
        <f>ROUND((6.25*(1/0.8*(0.2*$E$8^0.75+(30*(C86/1000))+(1.9*((E119*1000)/4750)/1000))))/0.9,0)</f>
        <v>304</v>
      </c>
      <c r="F86" s="414">
        <f>ROUND((6.25*(1/0.8*(0.2*$F$8^0.75+(30*(C86/1000))+(1.9*((F119*1000)/4750)/1000))))/0.9,0)</f>
        <v>308</v>
      </c>
      <c r="G86" s="414">
        <f>ROUND((6.25*(1/0.8*(0.2*$G$8^0.75+(30*(C86/1000))+(1.9*((G119*1000)/4750)/1000))))/0.9,0)</f>
        <v>311</v>
      </c>
      <c r="H86" s="414">
        <f>ROUND((6.25*(1/0.8*(0.2*$H$8^0.75+(30*(C86/1000))+(1.9*((H119*1000)/4750)/1000))))/0.9,0)</f>
        <v>315</v>
      </c>
      <c r="I86" s="414">
        <f>ROUND((6.25*(1/0.8*(0.2*$I$8^0.75+(30*(C86/1000))+(1.9*((I119*1000)/4750)/1000))))/0.9,0)</f>
        <v>318</v>
      </c>
      <c r="J86" s="414">
        <f>ROUND((6.25*(1/0.8*(0.2*$J$8^0.75+(30*(C86/1000))+(1.9*((J119*1000)/4750)/1000))))/0.9,0)</f>
        <v>322</v>
      </c>
      <c r="K86" s="414">
        <f>ROUND((6.25*(1/0.8*(0.2*$K$8^0.75+(30*(C86/1000))+(1.9*((K119*1000)/4750)/1000))))/0.9,0)</f>
        <v>325</v>
      </c>
      <c r="L86" s="414">
        <f>ROUND((6.25*(1/0.8*(0.2*$L$8^0.75+(30*(C86/1000))+(1.9*((L119*1000)/4750)/1000))))/0.9,0)</f>
        <v>328</v>
      </c>
      <c r="M86" s="414">
        <f>ROUND((6.25*(1/0.8*(0.2*$M$8^0.75+(30*(C86/1000))+(1.9*((M119*1000)/4750)/1000))))/0.9,0)</f>
        <v>331</v>
      </c>
      <c r="N86" s="414">
        <f>ROUND((6.25*(1/0.8*(0.2*$N$8^0.75+(30*(C86/1000))+(1.9*((N119*1000)/4750)/1000))))/0.9,0)</f>
        <v>335</v>
      </c>
      <c r="O86" s="414">
        <f>ROUND((6.25*(1/0.8*(0.2*$O$66^0.75+(30*(C86/1000))+(1.9*((O119*1000)/4750)/1000))))/0.9,0)</f>
        <v>338</v>
      </c>
      <c r="P86" s="414">
        <f>ROUND((6.25*(1/0.8*(0.2*$P$66^0.75+(30*(C86/1000))+(1.9*((P119*1000)/4750)/1000))))/0.9,0)</f>
        <v>341</v>
      </c>
      <c r="Q86" s="414">
        <f>ROUND((6.25*(1/0.8*(0.2*$Q$66^0.75+(30*(C86/1000))+(1.9*((Q119*1000)/4750)/1000))))/0.9,0)</f>
        <v>344</v>
      </c>
      <c r="R86" s="415">
        <f>ROUND((6.25*(1/0.8*(0.2*$R$66^0.75+(30*(C86/1000))+(1.9*((R119*1000)/4750)/1000))))/0.9,0)</f>
        <v>346</v>
      </c>
      <c r="S86" s="393">
        <f t="shared" si="1"/>
        <v>1000</v>
      </c>
    </row>
    <row r="88" spans="2:23" x14ac:dyDescent="0.15">
      <c r="N88" s="390" t="str">
        <f>IFERROR(VLOOKUP(AF4,R11:AD30,MATCH(AF3,T8:AD8,0)-AG3,0),"")</f>
        <v/>
      </c>
      <c r="V88" s="419" t="s">
        <v>226</v>
      </c>
      <c r="W88" s="393">
        <f>Concorrente!B1</f>
        <v>45</v>
      </c>
    </row>
    <row r="89" spans="2:23" x14ac:dyDescent="0.15">
      <c r="V89" s="419" t="s">
        <v>227</v>
      </c>
      <c r="W89" s="390">
        <f>(Concorrente!B4)*1000</f>
        <v>700000</v>
      </c>
    </row>
    <row r="91" spans="2:23" x14ac:dyDescent="0.15">
      <c r="S91" s="390">
        <f>MATCH(H92,D99:N99,0)</f>
        <v>4</v>
      </c>
      <c r="T91" s="390">
        <f>S91-2</f>
        <v>2</v>
      </c>
      <c r="V91" s="390">
        <f>MATCH(W88,D99:R99,0)</f>
        <v>4</v>
      </c>
      <c r="W91" s="390">
        <f>V91-2</f>
        <v>2</v>
      </c>
    </row>
    <row r="92" spans="2:23" x14ac:dyDescent="0.15">
      <c r="D92" s="393"/>
      <c r="E92" s="393"/>
      <c r="F92" s="389" t="s">
        <v>205</v>
      </c>
      <c r="H92" s="390">
        <f>G59</f>
        <v>45</v>
      </c>
      <c r="S92" s="390">
        <f>S96</f>
        <v>15</v>
      </c>
      <c r="V92" s="390">
        <f>V96</f>
        <v>20</v>
      </c>
    </row>
    <row r="93" spans="2:23" x14ac:dyDescent="0.15">
      <c r="F93" s="390" t="s">
        <v>206</v>
      </c>
      <c r="H93" s="393">
        <f>Concorrente!F19</f>
        <v>4901.3685142017002</v>
      </c>
      <c r="S93" s="390">
        <f>MATCH(S91,D97:N97,0)-5</f>
        <v>-1</v>
      </c>
      <c r="T93" s="390">
        <f>IFERROR(VLOOKUP(S92,B100:N119,MATCH(S91,D97:R97,0)-T91,0),"")</f>
        <v>750</v>
      </c>
      <c r="V93" s="390">
        <f>MATCH(V91,D97:R97,0)-5</f>
        <v>-1</v>
      </c>
      <c r="W93" s="390">
        <f>IFERROR(VLOOKUP(V92,B100:R119,MATCH(V91,D97:R97,0)-W91,0),"")</f>
        <v>1000</v>
      </c>
    </row>
    <row r="94" spans="2:23" x14ac:dyDescent="0.15">
      <c r="F94" s="391" t="s">
        <v>207</v>
      </c>
      <c r="G94" s="391"/>
      <c r="H94" s="391">
        <f>T93</f>
        <v>750</v>
      </c>
    </row>
    <row r="95" spans="2:23" x14ac:dyDescent="0.15">
      <c r="D95" s="390">
        <f>IFERROR(IF($V$91=1,MATCH($W$89,D100:D119,1),0),0)</f>
        <v>0</v>
      </c>
      <c r="E95" s="390">
        <f>IFERROR(IF($V$91=2,MATCH($W$89,E100:E119,1),0),0)</f>
        <v>0</v>
      </c>
      <c r="F95" s="390">
        <f>IFERROR(IF($V$91=3,MATCH($W$89,F100:F119,1),0),0)</f>
        <v>0</v>
      </c>
      <c r="G95" s="390">
        <f>IFERROR(IF($V$91=4,MATCH($W$89,G100:G119,1),0),0)</f>
        <v>20</v>
      </c>
      <c r="H95" s="390">
        <f>IFERROR(IF($V$91=5,MATCH($W$89,H100:H119,1),0),0)</f>
        <v>0</v>
      </c>
      <c r="I95" s="390">
        <f>IFERROR(IF($V$91=6,MATCH($W$89,I100:I119,1),0),0)</f>
        <v>0</v>
      </c>
      <c r="J95" s="390">
        <f>IFERROR(IF($V$91=7,MATCH($W$89,J100:J119,1),0),0)</f>
        <v>0</v>
      </c>
      <c r="K95" s="390">
        <f>IFERROR(IF($V$91=8,MATCH($W$89,K100:K119,1),0),0)</f>
        <v>0</v>
      </c>
      <c r="L95" s="390">
        <f>IFERROR(IF($V$91=9,MATCH($W$89,L100:L119,1),0),0)</f>
        <v>0</v>
      </c>
      <c r="M95" s="390">
        <f>IFERROR(IF($V$91=10,MATCH($W$89,M100:M119,1),0),0)</f>
        <v>0</v>
      </c>
      <c r="N95" s="390">
        <f>IFERROR(IF($V$91=11,MATCH($W$89,N100:N119,1),0),0)</f>
        <v>0</v>
      </c>
      <c r="O95" s="390">
        <f>IFERROR(IF($V$91=12,MATCH($W$89,O100:O119,1),0),0)</f>
        <v>0</v>
      </c>
      <c r="P95" s="390">
        <f>IFERROR(IF($V$91=13,MATCH($W$89,P100:P119,1),0),0)</f>
        <v>0</v>
      </c>
      <c r="Q95" s="390">
        <f>IFERROR(IF($V$91=14,MATCH($W$89,Q100:Q119,1),0),0)</f>
        <v>0</v>
      </c>
      <c r="R95" s="390">
        <f>IFERROR(IF($V$91=15,MATCH($W$89,R100:R119,1),0),0)</f>
        <v>0</v>
      </c>
      <c r="S95" s="390">
        <f>SUM(D95:N95)</f>
        <v>20</v>
      </c>
    </row>
    <row r="96" spans="2:23" x14ac:dyDescent="0.15">
      <c r="D96" s="390">
        <f>IFERROR(IF($S$91=1,MATCH($H$93,D100:D119,1),0),0)</f>
        <v>0</v>
      </c>
      <c r="E96" s="390">
        <f>IFERROR(IF($S$91=2,MATCH($H$93,E100:E119,1),0),0)</f>
        <v>0</v>
      </c>
      <c r="F96" s="390">
        <f>IFERROR(IF($S$91=3,MATCH($H$93,F100:F119,1),0),0)</f>
        <v>0</v>
      </c>
      <c r="G96" s="390">
        <f>IFERROR(IF($S$91=4,MATCH($H$93,G100:G119,1),0),0)</f>
        <v>15</v>
      </c>
      <c r="H96" s="390">
        <f>IFERROR(IF($S$91=5,MATCH($H$93,H100:H119,1),0),0)</f>
        <v>0</v>
      </c>
      <c r="I96" s="390">
        <f>IFERROR(IF($S$91=6,MATCH($H$93,I100:I119,1),0),0)</f>
        <v>0</v>
      </c>
      <c r="J96" s="390">
        <f>IFERROR(IF($S$91=7,MATCH($H$93,J100:J119,1),0),0)</f>
        <v>0</v>
      </c>
      <c r="K96" s="390">
        <f>IFERROR(IF($S$91=8,MATCH($H$93,K100:K119,1),0),0)</f>
        <v>0</v>
      </c>
      <c r="L96" s="390">
        <f>IFERROR(IF($S$91=9,MATCH($H$93,L100:L119,1),0),0)</f>
        <v>0</v>
      </c>
      <c r="M96" s="390">
        <f>IFERROR(IF($S$91=10,MATCH($H$93,M100:M119,1),0),0)</f>
        <v>0</v>
      </c>
      <c r="N96" s="390">
        <f>IFERROR(IF($S$91=11,MATCH($H$93,N100:N119,1),0),0)</f>
        <v>0</v>
      </c>
      <c r="O96" s="390">
        <f>IFERROR(IF($S$91=12,MATCH($H$93,O100:O119,1),0),0)</f>
        <v>0</v>
      </c>
      <c r="P96" s="390">
        <f>IFERROR(IF($S$91=13,MATCH($H$93,P100:P119,1),0),0)</f>
        <v>0</v>
      </c>
      <c r="Q96" s="390">
        <f>IFERROR(IF($S$91=14,MATCH($H$93,Q100:Q119,1),0),0)</f>
        <v>0</v>
      </c>
      <c r="R96" s="390">
        <f>IFERROR(IF($S$91=15,MATCH($H$93,R100:R119,1),0),0)</f>
        <v>0</v>
      </c>
      <c r="S96" s="390">
        <f>SUM(D96:N96)</f>
        <v>15</v>
      </c>
      <c r="T96" s="390" t="str">
        <f>IFERROR(VLOOKUP(T93,B100:N119,MATCH(T92,D97:N97,0)-U92,0),"")</f>
        <v/>
      </c>
      <c r="V96" s="390">
        <f>SUM(D95:R95)</f>
        <v>20</v>
      </c>
      <c r="W96" s="390" t="str">
        <f>IFERROR(VLOOKUP(W93,E100:Q119,MATCH(W92,G97:Q97,0)-AR36,0),"")</f>
        <v/>
      </c>
    </row>
    <row r="97" spans="1:19" x14ac:dyDescent="0.15">
      <c r="D97" s="390">
        <v>1</v>
      </c>
      <c r="E97" s="390">
        <v>2</v>
      </c>
      <c r="F97" s="390">
        <v>3</v>
      </c>
      <c r="G97" s="390">
        <v>4</v>
      </c>
      <c r="H97" s="390">
        <v>5</v>
      </c>
      <c r="I97" s="390">
        <v>6</v>
      </c>
      <c r="J97" s="390">
        <v>7</v>
      </c>
      <c r="K97" s="390">
        <v>8</v>
      </c>
      <c r="L97" s="390">
        <v>9</v>
      </c>
      <c r="M97" s="390">
        <v>10</v>
      </c>
      <c r="N97" s="390">
        <v>11</v>
      </c>
      <c r="O97" s="390">
        <v>12</v>
      </c>
      <c r="P97" s="390">
        <v>13</v>
      </c>
      <c r="Q97" s="390">
        <v>14</v>
      </c>
      <c r="R97" s="390">
        <v>15</v>
      </c>
    </row>
    <row r="98" spans="1:19" ht="14" thickBot="1" x14ac:dyDescent="0.2">
      <c r="A98" s="395"/>
      <c r="B98" s="395"/>
      <c r="C98" s="395"/>
      <c r="D98" s="395"/>
      <c r="E98" s="395"/>
      <c r="F98" s="395"/>
      <c r="G98" s="395"/>
      <c r="H98" s="395" t="s">
        <v>198</v>
      </c>
      <c r="I98" s="395"/>
      <c r="J98" s="395"/>
      <c r="K98" s="395"/>
      <c r="L98" s="395"/>
      <c r="M98" s="395"/>
      <c r="N98" s="395"/>
      <c r="O98" s="395"/>
      <c r="P98" s="395"/>
      <c r="Q98" s="395"/>
      <c r="R98" s="395"/>
      <c r="S98" s="395"/>
    </row>
    <row r="99" spans="1:19" ht="14" thickBot="1" x14ac:dyDescent="0.2">
      <c r="C99" s="390" t="s">
        <v>208</v>
      </c>
      <c r="D99" s="420">
        <v>30</v>
      </c>
      <c r="E99" s="402">
        <v>35</v>
      </c>
      <c r="F99" s="402">
        <v>40</v>
      </c>
      <c r="G99" s="402">
        <v>45</v>
      </c>
      <c r="H99" s="402">
        <v>50</v>
      </c>
      <c r="I99" s="402">
        <v>55</v>
      </c>
      <c r="J99" s="402">
        <v>60</v>
      </c>
      <c r="K99" s="402">
        <v>65</v>
      </c>
      <c r="L99" s="402">
        <v>70</v>
      </c>
      <c r="M99" s="402">
        <v>75</v>
      </c>
      <c r="N99" s="402">
        <v>80</v>
      </c>
      <c r="O99" s="402">
        <v>85</v>
      </c>
      <c r="P99" s="402">
        <v>90</v>
      </c>
      <c r="Q99" s="402">
        <v>95</v>
      </c>
      <c r="R99" s="403">
        <v>100</v>
      </c>
      <c r="S99" s="390" t="s">
        <v>208</v>
      </c>
    </row>
    <row r="100" spans="1:19" x14ac:dyDescent="0.15">
      <c r="A100" s="393"/>
      <c r="B100" s="393">
        <v>1</v>
      </c>
      <c r="C100" s="393">
        <v>50</v>
      </c>
      <c r="D100" s="408">
        <f>((0.1*($C$37^0.75)+(0.84*($C$37^0.355))*((C67/1000)^1.2))*1000)*1.2</f>
        <v>1630.8314311601123</v>
      </c>
      <c r="E100" s="393">
        <f>((0.1*($D$37^0.75)+(0.84*($D$37^0.355))*((C67/1000)^1.2))*1000)*1.2</f>
        <v>1824.5679105771255</v>
      </c>
      <c r="F100" s="393">
        <f>((0.1*($E$37^0.75)+(0.84*($E$37^0.355))*((C67/1000)^1.2))*1000)*1.2</f>
        <v>2011.2045117846244</v>
      </c>
      <c r="G100" s="393">
        <f>((0.1*($F$37^0.75)+(0.84*($F$37^0.355))*((C67/1000)^1.2))*1000)*1.2</f>
        <v>2191.8597284748685</v>
      </c>
      <c r="H100" s="393">
        <f>((0.1*($G$37^0.75)+(0.84*($G$37^0.355))*((C67/1000)^1.2))*1000)*1.2</f>
        <v>2367.3710343752095</v>
      </c>
      <c r="I100" s="393">
        <f>((0.1*($H$37^0.75)+(0.84*($H$37^0.355))*((C67/1000)^1.2))*1000)*1.2</f>
        <v>2538.3865900860656</v>
      </c>
      <c r="J100" s="393">
        <f>((0.1*($I$37^0.75)+(0.84*($I$37^0.355))*((C67/1000)^1.2))*1000)*1.2</f>
        <v>2705.4213791892948</v>
      </c>
      <c r="K100" s="393">
        <f>((0.1*($J$37^0.75)+(0.84*($J$37^0.355))*((C67/1000)^1.2))*1000)*1.2</f>
        <v>2868.8933971948413</v>
      </c>
      <c r="L100" s="393">
        <f>((0.1*($K$37^0.75)+(0.84*($K$37^0.355))*((C67/1000)^1.2))*1000)*1.2</f>
        <v>3029.147975106282</v>
      </c>
      <c r="M100" s="393">
        <f>((0.1*($L$37^0.75)+(0.84*($L$37^0.355))*((C67/1000)^1.2))*1000)*1.2</f>
        <v>3186.4746995030082</v>
      </c>
      <c r="N100" s="393">
        <f>((0.1*($M$37^0.75)+(0.84*($M$37^0.355))*((C67/1000)^1.2))*1000)*1.2</f>
        <v>3341.1195267273479</v>
      </c>
      <c r="O100" s="393">
        <f>((0.1*($O$99^0.75)+(0.84*($O$99^0.355))*((C100/1000)^1.2))*1000)*1.2</f>
        <v>3493.2936716300223</v>
      </c>
      <c r="P100" s="393">
        <f>((0.1*($P$99^0.75)+(0.84*($P$99^0.355))*((C100/1000)^1.2))*1000)*1.2</f>
        <v>3643.1802690310501</v>
      </c>
      <c r="Q100" s="393">
        <f>((0.1*($Q$99^0.75)+(0.84*($Q$99^0.355))*((C100/1000)^1.2))*1000)*1.2</f>
        <v>3790.9394587951751</v>
      </c>
      <c r="R100" s="409">
        <f>((0.1*($R$99^0.75)+(0.84*($R$99^0.355))*((C100/1000)^1.2))*1000)*1.2</f>
        <v>3936.7123309229032</v>
      </c>
      <c r="S100" s="390">
        <v>50</v>
      </c>
    </row>
    <row r="101" spans="1:19" x14ac:dyDescent="0.15">
      <c r="A101" s="393"/>
      <c r="B101" s="393">
        <v>2</v>
      </c>
      <c r="C101" s="393">
        <v>100</v>
      </c>
      <c r="D101" s="408">
        <f>((0.1*($C$37^0.75)+(0.84*($C$37^0.355))*((C68/1000)^1.2))*1000)*1.2</f>
        <v>1750.968041744082</v>
      </c>
      <c r="E101" s="393">
        <f>((0.1*($D$37^0.75)+(0.84*($D$37^0.355))*((C68/1000)^1.2))*1000)*1.2</f>
        <v>1951.4620267949165</v>
      </c>
      <c r="F101" s="393">
        <f>((0.1*($E$37^0.75)+(0.84*($E$37^0.355))*((C68/1000)^1.2))*1000)*1.2</f>
        <v>2144.2587235625265</v>
      </c>
      <c r="G101" s="393">
        <f>((0.1*($F$37^0.75)+(0.84*($F$37^0.355))*((C68/1000)^1.2))*1000)*1.2</f>
        <v>2330.5952822379436</v>
      </c>
      <c r="H101" s="393">
        <f>((0.1*($G$37^0.75)+(0.84*($G$37^0.355))*((C68/1000)^1.2))*1000)*1.2</f>
        <v>2511.3939773705788</v>
      </c>
      <c r="I101" s="393">
        <f>((0.1*($H$37^0.75)+(0.84*($H$37^0.355))*((C68/1000)^1.2))*1000)*1.2</f>
        <v>2687.3659432645859</v>
      </c>
      <c r="J101" s="393">
        <f>((0.1*($I$37^0.75)+(0.84*($I$37^0.355))*((C68/1000)^1.2))*1000)*1.2</f>
        <v>2859.0743719097327</v>
      </c>
      <c r="K101" s="393">
        <f>((0.1*($J$37^0.75)+(0.84*($J$37^0.355))*((C68/1000)^1.2))*1000)*1.2</f>
        <v>3026.9750875735594</v>
      </c>
      <c r="L101" s="393">
        <f>((0.1*($K$37^0.75)+(0.84*($K$37^0.355))*((C68/1000)^1.2))*1000)*1.2</f>
        <v>3191.4437200977786</v>
      </c>
      <c r="M101" s="393">
        <f>((0.1*($L$37^0.75)+(0.84*($L$37^0.355))*((C68/1000)^1.2))*1000)*1.2</f>
        <v>3352.7945469993269</v>
      </c>
      <c r="N101" s="393">
        <f>((0.1*($M$37^0.75)+(0.84*($M$37^0.355))*((C68/1000)^1.2))*1000)*1.2</f>
        <v>3511.2939451195184</v>
      </c>
      <c r="O101" s="393">
        <f>((0.1*($O$99^0.75)+(0.84*($O$99^0.355))*((C101/1000)^1.2))*1000)*1.2</f>
        <v>3667.1702351428034</v>
      </c>
      <c r="P101" s="393">
        <f>((0.1*($P$99^0.75)+(0.84*($P$99^0.355))*((C101/1000)^1.2))*1000)*1.2</f>
        <v>3820.6210419045624</v>
      </c>
      <c r="Q101" s="393">
        <f>((0.1*($Q$99^0.75)+(0.84*($Q$99^0.355))*((C101/1000)^1.2))*1000)*1.2</f>
        <v>3971.818900756477</v>
      </c>
      <c r="R101" s="409">
        <f>((0.1*($R$99^0.75)+(0.84*($R$99^0.355))*((C101/1000)^1.2))*1000)*1.2</f>
        <v>4120.9155983871224</v>
      </c>
      <c r="S101" s="390">
        <v>100</v>
      </c>
    </row>
    <row r="102" spans="1:19" x14ac:dyDescent="0.15">
      <c r="A102" s="393"/>
      <c r="B102" s="393">
        <v>3</v>
      </c>
      <c r="C102" s="393">
        <v>150</v>
      </c>
      <c r="D102" s="408">
        <f>((0.1*($C$37^0.75)+(0.84*($C$37^0.355))*((C69/1000)^1.2))*1000)*1.2</f>
        <v>1884.2905815016518</v>
      </c>
      <c r="E102" s="393">
        <f>((0.1*($D$37^0.75)+(0.84*($D$37^0.355))*((C69/1000)^1.2))*1000)*1.2</f>
        <v>2092.2837610873398</v>
      </c>
      <c r="F102" s="393">
        <f>((0.1*($E$37^0.75)+(0.84*($E$37^0.355))*((C69/1000)^1.2))*1000)*1.2</f>
        <v>2291.9166719051991</v>
      </c>
      <c r="G102" s="393">
        <f>((0.1*($F$37^0.75)+(0.84*($F$37^0.355))*((C69/1000)^1.2))*1000)*1.2</f>
        <v>2484.5581441203994</v>
      </c>
      <c r="H102" s="393">
        <f>((0.1*($G$37^0.75)+(0.84*($G$37^0.355))*((C69/1000)^1.2))*1000)*1.2</f>
        <v>2671.2245606554425</v>
      </c>
      <c r="I102" s="393">
        <f>((0.1*($H$37^0.75)+(0.84*($H$37^0.355))*((C69/1000)^1.2))*1000)*1.2</f>
        <v>2852.6969413729234</v>
      </c>
      <c r="J102" s="393">
        <f>((0.1*($I$37^0.75)+(0.84*($I$37^0.355))*((C69/1000)^1.2))*1000)*1.2</f>
        <v>3029.5919779189521</v>
      </c>
      <c r="K102" s="393">
        <f>((0.1*($J$37^0.75)+(0.84*($J$37^0.355))*((C69/1000)^1.2))*1000)*1.2</f>
        <v>3202.4074753195873</v>
      </c>
      <c r="L102" s="393">
        <f>((0.1*($K$37^0.75)+(0.84*($K$37^0.355))*((C69/1000)^1.2))*1000)*1.2</f>
        <v>3371.5526877882703</v>
      </c>
      <c r="M102" s="393">
        <f>((0.1*($L$37^0.75)+(0.84*($L$37^0.355))*((C69/1000)^1.2))*1000)*1.2</f>
        <v>3537.3692938022782</v>
      </c>
      <c r="N102" s="393">
        <f>((0.1*($M$37^0.75)+(0.84*($M$37^0.355))*((C69/1000)^1.2))*1000)*1.2</f>
        <v>3700.1463320108041</v>
      </c>
      <c r="O102" s="393">
        <f>((0.1*($O$99^0.75)+(0.84*($O$99^0.355))*((C102/1000)^1.2))*1000)*1.2</f>
        <v>3860.1311064305751</v>
      </c>
      <c r="P102" s="393">
        <f>((0.1*($P$99^0.75)+(0.84*($P$99^0.355))*((C102/1000)^1.2))*1000)*1.2</f>
        <v>4017.5373223044321</v>
      </c>
      <c r="Q102" s="393">
        <f>((0.1*($Q$99^0.75)+(0.84*($Q$99^0.355))*((C102/1000)^1.2))*1000)*1.2</f>
        <v>4172.551270972278</v>
      </c>
      <c r="R102" s="409">
        <f>((0.1*($R$99^0.75)+(0.84*($R$99^0.355))*((C102/1000)^1.2))*1000)*1.2</f>
        <v>4325.3366098556244</v>
      </c>
      <c r="S102" s="390">
        <v>150</v>
      </c>
    </row>
    <row r="103" spans="1:19" x14ac:dyDescent="0.15">
      <c r="A103" s="393"/>
      <c r="B103" s="393">
        <v>4</v>
      </c>
      <c r="C103" s="393">
        <v>200</v>
      </c>
      <c r="D103" s="408">
        <f>((0.1*($C$37^0.75)+(0.84*($C$37^0.355))*((C70/1000)^1.2))*1000)*1.2</f>
        <v>2026.9694956495314</v>
      </c>
      <c r="E103" s="393">
        <f>((0.1*($D$37^0.75)+(0.84*($D$37^0.355))*((C70/1000)^1.2))*1000)*1.2</f>
        <v>2242.9881519112737</v>
      </c>
      <c r="F103" s="393">
        <f>((0.1*($E$37^0.75)+(0.84*($E$37^0.355))*((C70/1000)^1.2))*1000)*1.2</f>
        <v>2449.9370319519335</v>
      </c>
      <c r="G103" s="393">
        <f>((0.1*($F$37^0.75)+(0.84*($F$37^0.355))*((C70/1000)^1.2))*1000)*1.2</f>
        <v>2649.3258870124373</v>
      </c>
      <c r="H103" s="393">
        <f>((0.1*($G$37^0.75)+(0.84*($G$37^0.355))*((C70/1000)^1.2))*1000)*1.2</f>
        <v>2842.2718127718035</v>
      </c>
      <c r="I103" s="393">
        <f>((0.1*($H$37^0.75)+(0.84*($H$37^0.355))*((C70/1000)^1.2))*1000)*1.2</f>
        <v>3029.630619113962</v>
      </c>
      <c r="J103" s="393">
        <f>((0.1*($I$37^0.75)+(0.84*($I$37^0.355))*((C70/1000)^1.2))*1000)*1.2</f>
        <v>3212.0762518664096</v>
      </c>
      <c r="K103" s="393">
        <f>((0.1*($J$37^0.75)+(0.84*($J$37^0.355))*((C70/1000)^1.2))*1000)*1.2</f>
        <v>3390.1514429599274</v>
      </c>
      <c r="L103" s="393">
        <f>((0.1*($K$37^0.75)+(0.84*($K$37^0.355))*((C70/1000)^1.2))*1000)*1.2</f>
        <v>3564.3014306872801</v>
      </c>
      <c r="M103" s="393">
        <f>((0.1*($L$37^0.75)+(0.84*($L$37^0.355))*((C70/1000)^1.2))*1000)*1.2</f>
        <v>3734.8972174440842</v>
      </c>
      <c r="N103" s="393">
        <f>((0.1*($M$37^0.75)+(0.84*($M$37^0.355))*((C70/1000)^1.2))*1000)*1.2</f>
        <v>3902.2520940588452</v>
      </c>
      <c r="O103" s="393">
        <f>((0.1*($O$99^0.75)+(0.84*($O$99^0.355))*((C103/1000)^1.2))*1000)*1.2</f>
        <v>4066.6336801021425</v>
      </c>
      <c r="P103" s="393">
        <f>((0.1*($P$99^0.75)+(0.84*($P$99^0.355))*((C103/1000)^1.2))*1000)*1.2</f>
        <v>4228.2728897229754</v>
      </c>
      <c r="Q103" s="393">
        <f>((0.1*($Q$99^0.75)+(0.84*($Q$99^0.355))*((C103/1000)^1.2))*1000)*1.2</f>
        <v>4387.3707356239365</v>
      </c>
      <c r="R103" s="409">
        <f>((0.1*($R$99^0.75)+(0.84*($R$99^0.355))*((C103/1000)^1.2))*1000)*1.2</f>
        <v>4544.1035790295755</v>
      </c>
      <c r="S103" s="390">
        <v>200</v>
      </c>
    </row>
    <row r="104" spans="1:19" x14ac:dyDescent="0.15">
      <c r="A104" s="393"/>
      <c r="B104" s="393">
        <v>5</v>
      </c>
      <c r="C104" s="393">
        <v>250</v>
      </c>
      <c r="D104" s="408">
        <f>((0.1*($C$37^0.75)+(0.84*($C$37^0.355))*((C71/1000)^1.2))*1000)*1.2</f>
        <v>2177.0356948273584</v>
      </c>
      <c r="E104" s="393">
        <f>((0.1*($D$37^0.75)+(0.84*($D$37^0.355))*((C71/1000)^1.2))*1000)*1.2</f>
        <v>2401.4953515589918</v>
      </c>
      <c r="F104" s="393">
        <f>((0.1*($E$37^0.75)+(0.84*($E$37^0.355))*((C71/1000)^1.2))*1000)*1.2</f>
        <v>2616.1389894489416</v>
      </c>
      <c r="G104" s="393">
        <f>((0.1*($F$37^0.75)+(0.84*($F$37^0.355))*((C71/1000)^1.2))*1000)*1.2</f>
        <v>2822.6245770858022</v>
      </c>
      <c r="H104" s="393">
        <f>((0.1*($G$37^0.75)+(0.84*($G$37^0.355))*((C71/1000)^1.2))*1000)*1.2</f>
        <v>3022.1751373675452</v>
      </c>
      <c r="I104" s="393">
        <f>((0.1*($H$37^0.75)+(0.84*($H$37^0.355))*((C71/1000)^1.2))*1000)*1.2</f>
        <v>3215.7251424969522</v>
      </c>
      <c r="J104" s="393">
        <f>((0.1*($I$37^0.75)+(0.84*($I$37^0.355))*((C71/1000)^1.2))*1000)*1.2</f>
        <v>3404.008756851958</v>
      </c>
      <c r="K104" s="393">
        <f>((0.1*($J$37^0.75)+(0.84*($J$37^0.355))*((C71/1000)^1.2))*1000)*1.2</f>
        <v>3587.6159653850818</v>
      </c>
      <c r="L104" s="393">
        <f>((0.1*($K$37^0.75)+(0.84*($K$37^0.355))*((C71/1000)^1.2))*1000)*1.2</f>
        <v>3767.0298535653742</v>
      </c>
      <c r="M104" s="393">
        <f>((0.1*($L$37^0.75)+(0.84*($L$37^0.355))*((C71/1000)^1.2))*1000)*1.2</f>
        <v>3942.6522659699731</v>
      </c>
      <c r="N104" s="393">
        <f>((0.1*($M$37^0.75)+(0.84*($M$37^0.355))*((C71/1000)^1.2))*1000)*1.2</f>
        <v>4114.8220012776028</v>
      </c>
      <c r="O104" s="393">
        <f>((0.1*($O$99^0.75)+(0.84*($O$99^0.355))*((C104/1000)^1.2))*1000)*1.2</f>
        <v>4283.8280464624913</v>
      </c>
      <c r="P104" s="393">
        <f>((0.1*($P$99^0.75)+(0.84*($P$99^0.355))*((C104/1000)^1.2))*1000)*1.2</f>
        <v>4449.9194155810746</v>
      </c>
      <c r="Q104" s="393">
        <f>((0.1*($Q$99^0.75)+(0.84*($Q$99^0.355))*((C104/1000)^1.2))*1000)*1.2</f>
        <v>4613.312604905881</v>
      </c>
      <c r="R104" s="409">
        <f>((0.1*($R$99^0.75)+(0.84*($R$99^0.355))*((C104/1000)^1.2))*1000)*1.2</f>
        <v>4774.1973372114007</v>
      </c>
      <c r="S104" s="390">
        <v>250</v>
      </c>
    </row>
    <row r="105" spans="1:19" x14ac:dyDescent="0.15">
      <c r="A105" s="393"/>
      <c r="B105" s="393">
        <v>6</v>
      </c>
      <c r="C105" s="393">
        <v>300</v>
      </c>
      <c r="D105" s="408">
        <f>((0.1*($C$37^0.75)+(0.84*($C$37^0.355))*((C72/1000)^1.2))*1000)*1.2</f>
        <v>2333.2642598566258</v>
      </c>
      <c r="E105" s="393">
        <f>((0.1*($D$37^0.75)+(0.84*($D$37^0.355))*((C72/1000)^1.2))*1000)*1.2</f>
        <v>2566.5115409703471</v>
      </c>
      <c r="F105" s="393">
        <f>((0.1*($E$37^0.75)+(0.84*($E$37^0.355))*((C72/1000)^1.2))*1000)*1.2</f>
        <v>2789.1659166788627</v>
      </c>
      <c r="G105" s="393">
        <f>((0.1*($F$37^0.75)+(0.84*($F$37^0.355))*((C72/1000)^1.2))*1000)*1.2</f>
        <v>3003.0396593624632</v>
      </c>
      <c r="H105" s="393">
        <f>((0.1*($G$37^0.75)+(0.84*($G$37^0.355))*((C72/1000)^1.2))*1000)*1.2</f>
        <v>3209.4660689668831</v>
      </c>
      <c r="I105" s="393">
        <f>((0.1*($H$37^0.75)+(0.84*($H$37^0.355))*((C72/1000)^1.2))*1000)*1.2</f>
        <v>3409.4615102280914</v>
      </c>
      <c r="J105" s="393">
        <f>((0.1*($I$37^0.75)+(0.84*($I$37^0.355))*((C72/1000)^1.2))*1000)*1.2</f>
        <v>3603.8228389080537</v>
      </c>
      <c r="K105" s="393">
        <f>((0.1*($J$37^0.75)+(0.84*($J$37^0.355))*((C72/1000)^1.2))*1000)*1.2</f>
        <v>3793.1892333940555</v>
      </c>
      <c r="L105" s="393">
        <f>((0.1*($K$37^0.75)+(0.84*($K$37^0.355))*((C72/1000)^1.2))*1000)*1.2</f>
        <v>3978.0831804998434</v>
      </c>
      <c r="M105" s="393">
        <f>((0.1*($L$37^0.75)+(0.84*($L$37^0.355))*((C72/1000)^1.2))*1000)*1.2</f>
        <v>4158.9386334971723</v>
      </c>
      <c r="N105" s="393">
        <f>((0.1*($M$37^0.75)+(0.84*($M$37^0.355))*((C72/1000)^1.2))*1000)*1.2</f>
        <v>4336.1209463774112</v>
      </c>
      <c r="O105" s="393">
        <f>((0.1*($O$99^0.75)+(0.84*($O$99^0.355))*((C105/1000)^1.2))*1000)*1.2</f>
        <v>4509.9413509562582</v>
      </c>
      <c r="P105" s="393">
        <f>((0.1*($P$99^0.75)+(0.84*($P$99^0.355))*((C105/1000)^1.2))*1000)*1.2</f>
        <v>4680.6677044579046</v>
      </c>
      <c r="Q105" s="393">
        <f>((0.1*($Q$99^0.75)+(0.84*($Q$99^0.355))*((C105/1000)^1.2))*1000)*1.2</f>
        <v>4848.532622547028</v>
      </c>
      <c r="R105" s="409">
        <f>((0.1*($R$99^0.75)+(0.84*($R$99^0.355))*((C105/1000)^1.2))*1000)*1.2</f>
        <v>5013.7397382309709</v>
      </c>
      <c r="S105" s="390">
        <v>300</v>
      </c>
    </row>
    <row r="106" spans="1:19" x14ac:dyDescent="0.15">
      <c r="A106" s="393"/>
      <c r="B106" s="393">
        <v>7</v>
      </c>
      <c r="C106" s="393">
        <v>350</v>
      </c>
      <c r="D106" s="408">
        <f>((0.1*($C$37^0.75)+(0.84*($C$37^0.355))*((C73/1000)^1.2))*1000)*1.2</f>
        <v>2494.8108756543552</v>
      </c>
      <c r="E106" s="393">
        <f>((0.1*($D$37^0.75)+(0.84*($D$37^0.355))*((C73/1000)^1.2))*1000)*1.2</f>
        <v>2737.1449135949219</v>
      </c>
      <c r="F106" s="393">
        <f>((0.1*($E$37^0.75)+(0.84*($E$37^0.355))*((C73/1000)^1.2))*1000)*1.2</f>
        <v>2968.0827141968939</v>
      </c>
      <c r="G106" s="393">
        <f>((0.1*($F$37^0.75)+(0.84*($F$37^0.355))*((C73/1000)^1.2))*1000)*1.2</f>
        <v>3189.5961061633629</v>
      </c>
      <c r="H106" s="393">
        <f>((0.1*($G$37^0.75)+(0.84*($G$37^0.355))*((C73/1000)^1.2))*1000)*1.2</f>
        <v>3403.1324203400072</v>
      </c>
      <c r="I106" s="393">
        <f>((0.1*($H$37^0.75)+(0.84*($H$37^0.355))*((C73/1000)^1.2))*1000)*1.2</f>
        <v>3609.792701633753</v>
      </c>
      <c r="J106" s="393">
        <f>((0.1*($I$37^0.75)+(0.84*($I$37^0.355))*((C73/1000)^1.2))*1000)*1.2</f>
        <v>3810.4386312175138</v>
      </c>
      <c r="K106" s="393">
        <f>((0.1*($J$37^0.75)+(0.84*($J$37^0.355))*((C73/1000)^1.2))*1000)*1.2</f>
        <v>4005.7602554674395</v>
      </c>
      <c r="L106" s="393">
        <f>((0.1*($K$37^0.75)+(0.84*($K$37^0.355))*((C73/1000)^1.2))*1000)*1.2</f>
        <v>4196.320803771413</v>
      </c>
      <c r="M106" s="393">
        <f>((0.1*($L$37^0.75)+(0.84*($L$37^0.355))*((C73/1000)^1.2))*1000)*1.2</f>
        <v>4382.5874310820273</v>
      </c>
      <c r="N106" s="393">
        <f>((0.1*($M$37^0.75)+(0.84*($M$37^0.355))*((C73/1000)^1.2))*1000)*1.2</f>
        <v>4564.9529506513045</v>
      </c>
      <c r="O106" s="393">
        <f>((0.1*($O$99^0.75)+(0.84*($O$99^0.355))*((C106/1000)^1.2))*1000)*1.2</f>
        <v>4743.7515963551477</v>
      </c>
      <c r="P106" s="393">
        <f>((0.1*($P$99^0.75)+(0.84*($P$99^0.355))*((C106/1000)^1.2))*1000)*1.2</f>
        <v>4919.2707100106063</v>
      </c>
      <c r="Q106" s="393">
        <f>((0.1*($Q$99^0.75)+(0.84*($Q$99^0.355))*((C106/1000)^1.2))*1000)*1.2</f>
        <v>5091.7595753817486</v>
      </c>
      <c r="R106" s="409">
        <f>((0.1*($R$99^0.75)+(0.84*($R$99^0.355))*((C106/1000)^1.2))*1000)*1.2</f>
        <v>5261.4362092158062</v>
      </c>
      <c r="S106" s="390">
        <v>350</v>
      </c>
    </row>
    <row r="107" spans="1:19" x14ac:dyDescent="0.15">
      <c r="A107" s="393"/>
      <c r="B107" s="393">
        <v>8</v>
      </c>
      <c r="C107" s="393">
        <v>400</v>
      </c>
      <c r="D107" s="408">
        <f>((0.1*($C$37^0.75)+(0.84*($C$37^0.355))*((C74/1000)^1.2))*1000)*1.2</f>
        <v>2661.0543278054915</v>
      </c>
      <c r="E107" s="393">
        <f>((0.1*($D$37^0.75)+(0.84*($D$37^0.355))*((C74/1000)^1.2))*1000)*1.2</f>
        <v>2912.7393126309134</v>
      </c>
      <c r="F107" s="393">
        <f>((0.1*($E$37^0.75)+(0.84*($E$37^0.355))*((C74/1000)^1.2))*1000)*1.2</f>
        <v>3152.2013719623083</v>
      </c>
      <c r="G107" s="393">
        <f>((0.1*($F$37^0.75)+(0.84*($F$37^0.355))*((C74/1000)^1.2))*1000)*1.2</f>
        <v>3381.5765297957805</v>
      </c>
      <c r="H107" s="393">
        <f>((0.1*($G$37^0.75)+(0.84*($G$37^0.355))*((C74/1000)^1.2))*1000)*1.2</f>
        <v>3602.4294632325377</v>
      </c>
      <c r="I107" s="393">
        <f>((0.1*($H$37^0.75)+(0.84*($H$37^0.355))*((C74/1000)^1.2))*1000)*1.2</f>
        <v>3815.9483593575051</v>
      </c>
      <c r="J107" s="393">
        <f>((0.1*($I$37^0.75)+(0.84*($I$37^0.355))*((C74/1000)^1.2))*1000)*1.2</f>
        <v>4023.0616095006008</v>
      </c>
      <c r="K107" s="393">
        <f>((0.1*($J$37^0.75)+(0.84*($J$37^0.355))*((C74/1000)^1.2))*1000)*1.2</f>
        <v>4224.5116069722053</v>
      </c>
      <c r="L107" s="393">
        <f>((0.1*($K$37^0.75)+(0.84*($K$37^0.355))*((C74/1000)^1.2))*1000)*1.2</f>
        <v>4420.9035082915207</v>
      </c>
      <c r="M107" s="393">
        <f>((0.1*($L$37^0.75)+(0.84*($L$37^0.355))*((C74/1000)^1.2))*1000)*1.2</f>
        <v>4612.7386354038172</v>
      </c>
      <c r="N107" s="393">
        <f>((0.1*($M$37^0.75)+(0.84*($M$37^0.355))*((C74/1000)^1.2))*1000)*1.2</f>
        <v>4800.4380591774252</v>
      </c>
      <c r="O107" s="393">
        <f>((0.1*($O$99^0.75)+(0.84*($O$99^0.355))*((C107/1000)^1.2))*1000)*1.2</f>
        <v>4984.3596843146242</v>
      </c>
      <c r="P107" s="393">
        <f>((0.1*($P$99^0.75)+(0.84*($P$99^0.355))*((C107/1000)^1.2))*1000)*1.2</f>
        <v>5164.8109037240001</v>
      </c>
      <c r="Q107" s="393">
        <f>((0.1*($Q$99^0.75)+(0.84*($Q$99^0.355))*((C107/1000)^1.2))*1000)*1.2</f>
        <v>5342.0581538804363</v>
      </c>
      <c r="R107" s="409">
        <f>((0.1*($R$99^0.75)+(0.84*($R$99^0.355))*((C107/1000)^1.2))*1000)*1.2</f>
        <v>5516.3342534665808</v>
      </c>
      <c r="S107" s="390">
        <v>400</v>
      </c>
    </row>
    <row r="108" spans="1:19" x14ac:dyDescent="0.15">
      <c r="A108" s="393"/>
      <c r="B108" s="393">
        <v>9</v>
      </c>
      <c r="C108" s="393">
        <v>450</v>
      </c>
      <c r="D108" s="408">
        <f>((0.1*($C$37^0.75)+(0.84*($C$37^0.355))*((C75/1000)^1.2))*1000)*1.2</f>
        <v>2831.5162980290002</v>
      </c>
      <c r="E108" s="393">
        <f>((0.1*($D$37^0.75)+(0.84*($D$37^0.355))*((C75/1000)^1.2))*1000)*1.2</f>
        <v>3092.7895151055109</v>
      </c>
      <c r="F108" s="393">
        <f>((0.1*($E$37^0.75)+(0.84*($E$37^0.355))*((C75/1000)^1.2))*1000)*1.2</f>
        <v>3340.9921408707141</v>
      </c>
      <c r="G108" s="393">
        <f>((0.1*($F$37^0.75)+(0.84*($F$37^0.355))*((C75/1000)^1.2))*1000)*1.2</f>
        <v>3578.4285611586406</v>
      </c>
      <c r="H108" s="393">
        <f>((0.1*($G$37^0.75)+(0.84*($G$37^0.355))*((C75/1000)^1.2))*1000)*1.2</f>
        <v>3806.7837770511323</v>
      </c>
      <c r="I108" s="393">
        <f>((0.1*($H$37^0.75)+(0.84*($H$37^0.355))*((C75/1000)^1.2))*1000)*1.2</f>
        <v>4027.3353290913019</v>
      </c>
      <c r="J108" s="393">
        <f>((0.1*($I$37^0.75)+(0.84*($I$37^0.355))*((C75/1000)^1.2))*1000)*1.2</f>
        <v>4241.0800115726115</v>
      </c>
      <c r="K108" s="393">
        <f>((0.1*($J$37^0.75)+(0.84*($J$37^0.355))*((C75/1000)^1.2))*1000)*1.2</f>
        <v>4448.8138930716159</v>
      </c>
      <c r="L108" s="393">
        <f>((0.1*($K$37^0.75)+(0.84*($K$37^0.355))*((C75/1000)^1.2))*1000)*1.2</f>
        <v>4651.1851211626126</v>
      </c>
      <c r="M108" s="393">
        <f>((0.1*($L$37^0.75)+(0.84*($L$37^0.355))*((C75/1000)^1.2))*1000)*1.2</f>
        <v>4848.7300517895819</v>
      </c>
      <c r="N108" s="393">
        <f>((0.1*($M$37^0.75)+(0.84*($M$37^0.355))*((C75/1000)^1.2))*1000)*1.2</f>
        <v>5041.8987304895536</v>
      </c>
      <c r="O108" s="393">
        <f>((0.1*($O$99^0.75)+(0.84*($O$99^0.355))*((C108/1000)^1.2))*1000)*1.2</f>
        <v>5231.0733334512925</v>
      </c>
      <c r="P108" s="393">
        <f>((0.1*($P$99^0.75)+(0.84*($P$99^0.355))*((C108/1000)^1.2))*1000)*1.2</f>
        <v>5416.5818134822703</v>
      </c>
      <c r="Q108" s="393">
        <f>((0.1*($Q$99^0.75)+(0.84*($Q$99^0.355))*((C108/1000)^1.2))*1000)*1.2</f>
        <v>5598.708195027566</v>
      </c>
      <c r="R108" s="409">
        <f>((0.1*($R$99^0.75)+(0.84*($R$99^0.355))*((C108/1000)^1.2))*1000)*1.2</f>
        <v>5777.7004743124071</v>
      </c>
      <c r="S108" s="390">
        <v>450</v>
      </c>
    </row>
    <row r="109" spans="1:19" x14ac:dyDescent="0.15">
      <c r="A109" s="393"/>
      <c r="B109" s="393">
        <v>10</v>
      </c>
      <c r="C109" s="393">
        <v>500</v>
      </c>
      <c r="D109" s="408">
        <f>((0.1*($C$37^0.75)+(0.84*($C$37^0.355))*((C76/1000)^1.2))*1000)*1.2</f>
        <v>3005.8159200779464</v>
      </c>
      <c r="E109" s="393">
        <f>((0.1*($D$37^0.75)+(0.84*($D$37^0.355))*((C76/1000)^1.2))*1000)*1.2</f>
        <v>3276.893231611954</v>
      </c>
      <c r="F109" s="393">
        <f>((0.1*($E$37^0.75)+(0.84*($E$37^0.355))*((C76/1000)^1.2))*1000)*1.2</f>
        <v>3534.0332023105098</v>
      </c>
      <c r="G109" s="393">
        <f>((0.1*($F$37^0.75)+(0.84*($F$37^0.355))*((C76/1000)^1.2))*1000)*1.2</f>
        <v>3779.7123702166109</v>
      </c>
      <c r="H109" s="393">
        <f>((0.1*($G$37^0.75)+(0.84*($G$37^0.355))*((C76/1000)^1.2))*1000)*1.2</f>
        <v>4015.7387692757884</v>
      </c>
      <c r="I109" s="393">
        <f>((0.1*($H$37^0.75)+(0.84*($H$37^0.355))*((C76/1000)^1.2))*1000)*1.2</f>
        <v>4243.4813051255005</v>
      </c>
      <c r="J109" s="393">
        <f>((0.1*($I$37^0.75)+(0.84*($I$37^0.355))*((C76/1000)^1.2))*1000)*1.2</f>
        <v>4464.0067149953202</v>
      </c>
      <c r="K109" s="393">
        <f>((0.1*($J$37^0.75)+(0.84*($J$37^0.355))*((C76/1000)^1.2))*1000)*1.2</f>
        <v>4678.1659511323069</v>
      </c>
      <c r="L109" s="393">
        <f>((0.1*($K$37^0.75)+(0.84*($K$37^0.355))*((C76/1000)^1.2))*1000)*1.2</f>
        <v>4886.6511200339419</v>
      </c>
      <c r="M109" s="393">
        <f>((0.1*($L$37^0.75)+(0.84*($L$37^0.355))*((C76/1000)^1.2))*1000)*1.2</f>
        <v>5090.0344003718537</v>
      </c>
      <c r="N109" s="393">
        <f>((0.1*($M$37^0.75)+(0.84*($M$37^0.355))*((C76/1000)^1.2))*1000)*1.2</f>
        <v>5288.7954646655435</v>
      </c>
      <c r="O109" s="393">
        <f>((0.1*($O$99^0.75)+(0.84*($O$99^0.355))*((C109/1000)^1.2))*1000)*1.2</f>
        <v>5483.3413070201377</v>
      </c>
      <c r="P109" s="393">
        <f>((0.1*($P$99^0.75)+(0.84*($P$99^0.355))*((C109/1000)^1.2))*1000)*1.2</f>
        <v>5674.0209030120122</v>
      </c>
      <c r="Q109" s="393">
        <f>((0.1*($Q$99^0.75)+(0.84*($Q$99^0.355))*((C109/1000)^1.2))*1000)*1.2</f>
        <v>5861.1362610186861</v>
      </c>
      <c r="R109" s="409">
        <f>((0.1*($R$99^0.75)+(0.84*($R$99^0.355))*((C109/1000)^1.2))*1000)*1.2</f>
        <v>6044.9508965036794</v>
      </c>
      <c r="S109" s="390">
        <v>500</v>
      </c>
    </row>
    <row r="110" spans="1:19" x14ac:dyDescent="0.15">
      <c r="A110" s="393"/>
      <c r="B110" s="393">
        <v>11</v>
      </c>
      <c r="C110" s="393">
        <v>550</v>
      </c>
      <c r="D110" s="408">
        <f>((0.1*($C$37^0.75)+(0.84*($C$37^0.355))*((C77/1000)^1.2))*1000)*1.2</f>
        <v>3183.6419823034284</v>
      </c>
      <c r="E110" s="393">
        <f>((0.1*($D$37^0.75)+(0.84*($D$37^0.355))*((C77/1000)^1.2))*1000)*1.2</f>
        <v>3464.7217453090379</v>
      </c>
      <c r="F110" s="393">
        <f>((0.1*($E$37^0.75)+(0.84*($E$37^0.355))*((C77/1000)^1.2))*1000)*1.2</f>
        <v>3730.9798818278423</v>
      </c>
      <c r="G110" s="393">
        <f>((0.1*($F$37^0.75)+(0.84*($F$37^0.355))*((C77/1000)^1.2))*1000)*1.2</f>
        <v>3985.0685651053914</v>
      </c>
      <c r="H110" s="393">
        <f>((0.1*($G$37^0.75)+(0.84*($G$37^0.355))*((C77/1000)^1.2))*1000)*1.2</f>
        <v>4228.9213511590242</v>
      </c>
      <c r="I110" s="393">
        <f>((0.1*($H$37^0.75)+(0.84*($H$37^0.355))*((C77/1000)^1.2))*1000)*1.2</f>
        <v>4464.0003592244893</v>
      </c>
      <c r="J110" s="393">
        <f>((0.1*($I$37^0.75)+(0.84*($I$37^0.355))*((C77/1000)^1.2))*1000)*1.2</f>
        <v>4691.4436845570526</v>
      </c>
      <c r="K110" s="393">
        <f>((0.1*($J$37^0.75)+(0.84*($J$37^0.355))*((C77/1000)^1.2))*1000)*1.2</f>
        <v>4912.1582734839267</v>
      </c>
      <c r="L110" s="393">
        <f>((0.1*($K$37^0.75)+(0.84*($K$37^0.355))*((C77/1000)^1.2))*1000)*1.2</f>
        <v>5126.8810808052813</v>
      </c>
      <c r="M110" s="393">
        <f>((0.1*($L$37^0.75)+(0.84*($L$37^0.355))*((C77/1000)^1.2))*1000)*1.2</f>
        <v>5336.2208326879272</v>
      </c>
      <c r="N110" s="393">
        <f>((0.1*($M$37^0.75)+(0.84*($M$37^0.355))*((C77/1000)^1.2))*1000)*1.2</f>
        <v>5540.6874280486782</v>
      </c>
      <c r="O110" s="393">
        <f>((0.1*($O$99^0.75)+(0.84*($O$99^0.355))*((C110/1000)^1.2))*1000)*1.2</f>
        <v>5740.7131810265664</v>
      </c>
      <c r="P110" s="393">
        <f>((0.1*($P$99^0.75)+(0.84*($P$99^0.355))*((C110/1000)^1.2))*1000)*1.2</f>
        <v>5936.6685153007611</v>
      </c>
      <c r="Q110" s="393">
        <f>((0.1*($Q$99^0.75)+(0.84*($Q$99^0.355))*((C110/1000)^1.2))*1000)*1.2</f>
        <v>6128.8737870331979</v>
      </c>
      <c r="R110" s="409">
        <f>((0.1*($R$99^0.75)+(0.84*($R$99^0.355))*((C110/1000)^1.2))*1000)*1.2</f>
        <v>6317.6083449118332</v>
      </c>
      <c r="S110" s="390">
        <v>550</v>
      </c>
    </row>
    <row r="111" spans="1:19" x14ac:dyDescent="0.15">
      <c r="A111" s="393"/>
      <c r="B111" s="393">
        <v>12</v>
      </c>
      <c r="C111" s="393">
        <v>600</v>
      </c>
      <c r="D111" s="408">
        <f>((0.1*($C$37^0.75)+(0.84*($C$37^0.355))*((C78/1000)^1.2))*1000)*1.2</f>
        <v>3364.7349113832797</v>
      </c>
      <c r="E111" s="393">
        <f>((0.1*($D$37^0.75)+(0.84*($D$37^0.355))*((C78/1000)^1.2))*1000)*1.2</f>
        <v>3656.0008822613609</v>
      </c>
      <c r="F111" s="393">
        <f>((0.1*($E$37^0.75)+(0.84*($E$37^0.355))*((C78/1000)^1.2))*1000)*1.2</f>
        <v>3931.5446956689152</v>
      </c>
      <c r="G111" s="393">
        <f>((0.1*($F$37^0.75)+(0.84*($F$37^0.355))*((C78/1000)^1.2))*1000)*1.2</f>
        <v>4194.1973866723201</v>
      </c>
      <c r="H111" s="393">
        <f>((0.1*($G$37^0.75)+(0.84*($G$37^0.355))*((C78/1000)^1.2))*1000)*1.2</f>
        <v>4446.0203393438323</v>
      </c>
      <c r="I111" s="393">
        <f>((0.1*($H$37^0.75)+(0.84*($H$37^0.355))*((C78/1000)^1.2))*1000)*1.2</f>
        <v>4688.5705989572225</v>
      </c>
      <c r="J111" s="393">
        <f>((0.1*($I$37^0.75)+(0.84*($I$37^0.355))*((C78/1000)^1.2))*1000)*1.2</f>
        <v>4923.0589297214783</v>
      </c>
      <c r="K111" s="393">
        <f>((0.1*($J$37^0.75)+(0.84*($J$37^0.355))*((C78/1000)^1.2))*1000)*1.2</f>
        <v>5150.4493007188521</v>
      </c>
      <c r="L111" s="393">
        <f>((0.1*($K$37^0.75)+(0.84*($K$37^0.355))*((C78/1000)^1.2))*1000)*1.2</f>
        <v>5371.5243389664929</v>
      </c>
      <c r="M111" s="393">
        <f>((0.1*($L$37^0.75)+(0.84*($L$37^0.355))*((C78/1000)^1.2))*1000)*1.2</f>
        <v>5586.9299895454096</v>
      </c>
      <c r="N111" s="393">
        <f>((0.1*($M$37^0.75)+(0.84*($M$37^0.355))*((C78/1000)^1.2))*1000)*1.2</f>
        <v>5797.206933063002</v>
      </c>
      <c r="O111" s="393">
        <f>((0.1*($O$99^0.75)+(0.84*($O$99^0.355))*((C111/1000)^1.2))*1000)*1.2</f>
        <v>6002.8132688500036</v>
      </c>
      <c r="P111" s="393">
        <f>((0.1*($P$99^0.75)+(0.84*($P$99^0.355))*((C111/1000)^1.2))*1000)*1.2</f>
        <v>6204.1412627144036</v>
      </c>
      <c r="Q111" s="393">
        <f>((0.1*($Q$99^0.75)+(0.84*($Q$99^0.355))*((C111/1000)^1.2))*1000)*1.2</f>
        <v>6401.5299556722057</v>
      </c>
      <c r="R111" s="409">
        <f>((0.1*($R$99^0.75)+(0.84*($R$99^0.355))*((C111/1000)^1.2))*1000)*1.2</f>
        <v>6595.2748205101207</v>
      </c>
      <c r="S111" s="390">
        <v>600</v>
      </c>
    </row>
    <row r="112" spans="1:19" x14ac:dyDescent="0.15">
      <c r="A112" s="393"/>
      <c r="B112" s="393">
        <v>13</v>
      </c>
      <c r="C112" s="393">
        <v>650</v>
      </c>
      <c r="D112" s="408">
        <f>((0.1*($C$37^0.75)+(0.84*($C$37^0.355))*((C79/1000)^1.2))*1000)*1.2</f>
        <v>3548.8745530213509</v>
      </c>
      <c r="E112" s="393">
        <f>((0.1*($D$37^0.75)+(0.84*($D$37^0.355))*((C79/1000)^1.2))*1000)*1.2</f>
        <v>3850.4981048211057</v>
      </c>
      <c r="F112" s="393">
        <f>((0.1*($E$37^0.75)+(0.84*($E$37^0.355))*((C79/1000)^1.2))*1000)*1.2</f>
        <v>4135.4838176078874</v>
      </c>
      <c r="G112" s="393">
        <f>((0.1*($F$37^0.75)+(0.84*($F$37^0.355))*((C79/1000)^1.2))*1000)*1.2</f>
        <v>4406.844597445227</v>
      </c>
      <c r="H112" s="393">
        <f>((0.1*($G$37^0.75)+(0.84*($G$37^0.355))*((C79/1000)^1.2))*1000)*1.2</f>
        <v>4666.7718070431083</v>
      </c>
      <c r="I112" s="393">
        <f>((0.1*($H$37^0.75)+(0.84*($H$37^0.355))*((C79/1000)^1.2))*1000)*1.2</f>
        <v>4916.919014751672</v>
      </c>
      <c r="J112" s="393">
        <f>((0.1*($I$37^0.75)+(0.84*($I$37^0.355))*((C79/1000)^1.2))*1000)*1.2</f>
        <v>5158.5708763181647</v>
      </c>
      <c r="K112" s="393">
        <f>((0.1*($J$37^0.75)+(0.84*($J$37^0.355))*((C79/1000)^1.2))*1000)*1.2</f>
        <v>5392.7493429323113</v>
      </c>
      <c r="L112" s="393">
        <f>((0.1*($K$37^0.75)+(0.84*($K$37^0.355))*((C79/1000)^1.2))*1000)*1.2</f>
        <v>5620.2834822189125</v>
      </c>
      <c r="M112" s="393">
        <f>((0.1*($L$37^0.75)+(0.84*($L$37^0.355))*((C79/1000)^1.2))*1000)*1.2</f>
        <v>5841.8570843452471</v>
      </c>
      <c r="N112" s="393">
        <f>((0.1*($M$37^0.75)+(0.84*($M$37^0.355))*((C79/1000)^1.2))*1000)*1.2</f>
        <v>6058.0421294813268</v>
      </c>
      <c r="O112" s="393">
        <f>((0.1*($O$99^0.75)+(0.84*($O$99^0.355))*((C112/1000)^1.2))*1000)*1.2</f>
        <v>6269.322935960382</v>
      </c>
      <c r="P112" s="393">
        <f>((0.1*($P$99^0.75)+(0.84*($P$99^0.355))*((C112/1000)^1.2))*1000)*1.2</f>
        <v>6476.1139791918149</v>
      </c>
      <c r="Q112" s="393">
        <f>((0.1*($Q$99^0.75)+(0.84*($Q$99^0.355))*((C112/1000)^1.2))*1000)*1.2</f>
        <v>6678.7732994002063</v>
      </c>
      <c r="R112" s="409">
        <f>((0.1*($R$99^0.75)+(0.84*($R$99^0.355))*((C112/1000)^1.2))*1000)*1.2</f>
        <v>6877.612764743325</v>
      </c>
      <c r="S112" s="390">
        <v>650</v>
      </c>
    </row>
    <row r="113" spans="1:19" x14ac:dyDescent="0.15">
      <c r="A113" s="393"/>
      <c r="B113" s="393">
        <v>14</v>
      </c>
      <c r="C113" s="393">
        <v>700</v>
      </c>
      <c r="D113" s="408">
        <f>((0.1*($C$37^0.75)+(0.84*($C$37^0.355))*((C80/1000)^1.2))*1000)*1.2</f>
        <v>3735.8715750276601</v>
      </c>
      <c r="E113" s="393">
        <f>((0.1*($D$37^0.75)+(0.84*($D$37^0.355))*((C80/1000)^1.2))*1000)*1.2</f>
        <v>4048.0134311442516</v>
      </c>
      <c r="F113" s="393">
        <f>((0.1*($E$37^0.75)+(0.84*($E$37^0.355))*((C80/1000)^1.2))*1000)*1.2</f>
        <v>4342.5875576495137</v>
      </c>
      <c r="G113" s="393">
        <f>((0.1*($F$37^0.75)+(0.84*($F$37^0.355))*((C80/1000)^1.2))*1000)*1.2</f>
        <v>4622.7915537808922</v>
      </c>
      <c r="H113" s="393">
        <f>((0.1*($G$37^0.75)+(0.84*($G$37^0.355))*((C80/1000)^1.2))*1000)*1.2</f>
        <v>4890.9487778250041</v>
      </c>
      <c r="I113" s="393">
        <f>((0.1*($H$37^0.75)+(0.84*($H$37^0.355))*((C80/1000)^1.2))*1000)*1.2</f>
        <v>5148.8108190017811</v>
      </c>
      <c r="J113" s="393">
        <f>((0.1*($I$37^0.75)+(0.84*($I$37^0.355))*((C80/1000)^1.2))*1000)*1.2</f>
        <v>5397.7373712060526</v>
      </c>
      <c r="K113" s="393">
        <f>((0.1*($J$37^0.75)+(0.84*($J$37^0.355))*((C80/1000)^1.2))*1000)*1.2</f>
        <v>5638.8092674703203</v>
      </c>
      <c r="L113" s="393">
        <f>((0.1*($K$37^0.75)+(0.84*($K$37^0.355))*((C80/1000)^1.2))*1000)*1.2</f>
        <v>5872.9027366675227</v>
      </c>
      <c r="M113" s="393">
        <f>((0.1*($L$37^0.75)+(0.84*($L$37^0.355))*((C80/1000)^1.2))*1000)*1.2</f>
        <v>6100.7400013109846</v>
      </c>
      <c r="N113" s="393">
        <f>((0.1*($M$37^0.75)+(0.84*($M$37^0.355))*((C80/1000)^1.2))*1000)*1.2</f>
        <v>6322.9248268231959</v>
      </c>
      <c r="O113" s="393">
        <f>((0.1*($O$99^0.75)+(0.84*($O$99^0.355))*((C113/1000)^1.2))*1000)*1.2</f>
        <v>6539.9681573923208</v>
      </c>
      <c r="P113" s="393">
        <f>((0.1*($P$99^0.75)+(0.84*($P$99^0.355))*((C113/1000)^1.2))*1000)*1.2</f>
        <v>6752.3070226658774</v>
      </c>
      <c r="Q113" s="393">
        <f>((0.1*($Q$99^0.75)+(0.84*($Q$99^0.355))*((C113/1000)^1.2))*1000)*1.2</f>
        <v>6960.3187568965732</v>
      </c>
      <c r="R113" s="409">
        <f>((0.1*($R$99^0.75)+(0.84*($R$99^0.355))*((C113/1000)^1.2))*1000)*1.2</f>
        <v>7164.3318780278232</v>
      </c>
      <c r="S113" s="390">
        <v>700</v>
      </c>
    </row>
    <row r="114" spans="1:19" x14ac:dyDescent="0.15">
      <c r="A114" s="393"/>
      <c r="B114" s="393">
        <v>15</v>
      </c>
      <c r="C114" s="393">
        <v>750</v>
      </c>
      <c r="D114" s="408">
        <f>((0.1*($C$37^0.75)+(0.84*($C$37^0.355))*((C81/1000)^1.2))*1000)*1.2</f>
        <v>3925.5612333022527</v>
      </c>
      <c r="E114" s="393">
        <f>((0.1*($D$37^0.75)+(0.84*($D$37^0.355))*((C81/1000)^1.2))*1000)*1.2</f>
        <v>4248.3728505202898</v>
      </c>
      <c r="F114" s="393">
        <f>((0.1*($E$37^0.75)+(0.84*($E$37^0.355))*((C81/1000)^1.2))*1000)*1.2</f>
        <v>4552.6734577049747</v>
      </c>
      <c r="G114" s="393">
        <f>((0.1*($F$37^0.75)+(0.84*($F$37^0.355))*((C81/1000)^1.2))*1000)*1.2</f>
        <v>4841.8480067300143</v>
      </c>
      <c r="H114" s="393">
        <f>((0.1*($G$37^0.75)+(0.84*($G$37^0.355))*((C81/1000)^1.2))*1000)*1.2</f>
        <v>5118.3537521096569</v>
      </c>
      <c r="I114" s="393">
        <f>((0.1*($H$37^0.75)+(0.84*($H$37^0.355))*((C81/1000)^1.2))*1000)*1.2</f>
        <v>5384.0417153708049</v>
      </c>
      <c r="J114" s="393">
        <f>((0.1*($I$37^0.75)+(0.84*($I$37^0.355))*((C81/1000)^1.2))*1000)*1.2</f>
        <v>5640.3477090566994</v>
      </c>
      <c r="K114" s="393">
        <f>((0.1*($J$37^0.75)+(0.84*($J$37^0.355))*((C81/1000)^1.2))*1000)*1.2</f>
        <v>5888.4122959031074</v>
      </c>
      <c r="L114" s="393">
        <f>((0.1*($K$37^0.75)+(0.84*($K$37^0.355))*((C81/1000)^1.2))*1000)*1.2</f>
        <v>6129.159545122594</v>
      </c>
      <c r="M114" s="393">
        <f>((0.1*($L$37^0.75)+(0.84*($L$37^0.355))*((C81/1000)^1.2))*1000)*1.2</f>
        <v>6363.35066497548</v>
      </c>
      <c r="N114" s="393">
        <f>((0.1*($M$37^0.75)+(0.84*($M$37^0.355))*((C81/1000)^1.2))*1000)*1.2</f>
        <v>6591.6216638238202</v>
      </c>
      <c r="O114" s="393">
        <f>((0.1*($O$99^0.75)+(0.84*($O$99^0.355))*((C114/1000)^1.2))*1000)*1.2</f>
        <v>6814.5104951058283</v>
      </c>
      <c r="P114" s="393">
        <f>((0.1*($P$99^0.75)+(0.84*($P$99^0.355))*((C114/1000)^1.2))*1000)*1.2</f>
        <v>7032.4770674735801</v>
      </c>
      <c r="Q114" s="393">
        <f>((0.1*($Q$99^0.75)+(0.84*($Q$99^0.355))*((C114/1000)^1.2))*1000)*1.2</f>
        <v>7245.9182870294544</v>
      </c>
      <c r="R114" s="409">
        <f>((0.1*($R$99^0.75)+(0.84*($R$99^0.355))*((C114/1000)^1.2))*1000)*1.2</f>
        <v>7455.1795612486567</v>
      </c>
      <c r="S114" s="390">
        <v>750</v>
      </c>
    </row>
    <row r="115" spans="1:19" x14ac:dyDescent="0.15">
      <c r="A115" s="393"/>
      <c r="B115" s="393">
        <v>16</v>
      </c>
      <c r="C115" s="393">
        <v>800</v>
      </c>
      <c r="D115" s="408">
        <f>((0.1*($C$37^0.75)+(0.84*($C$37^0.355))*((C82/1000)^1.2))*1000)*1.2</f>
        <v>4117.7987350577359</v>
      </c>
      <c r="E115" s="393">
        <f>((0.1*($D$37^0.75)+(0.84*($D$37^0.355))*((C82/1000)^1.2))*1000)*1.2</f>
        <v>4451.423425782923</v>
      </c>
      <c r="F115" s="393">
        <f>((0.1*($E$37^0.75)+(0.84*($E$37^0.355))*((C82/1000)^1.2))*1000)*1.2</f>
        <v>4765.5811562483022</v>
      </c>
      <c r="G115" s="393">
        <f>((0.1*($F$37^0.75)+(0.84*($F$37^0.355))*((C82/1000)^1.2))*1000)*1.2</f>
        <v>5063.8467474172749</v>
      </c>
      <c r="H115" s="393">
        <f>((0.1*($G$37^0.75)+(0.84*($G$37^0.355))*((C82/1000)^1.2))*1000)*1.2</f>
        <v>5348.8131484778487</v>
      </c>
      <c r="I115" s="393">
        <f>((0.1*($H$37^0.75)+(0.84*($H$37^0.355))*((C82/1000)^1.2))*1000)*1.2</f>
        <v>5622.4321488029937</v>
      </c>
      <c r="J115" s="393">
        <f>((0.1*($I$37^0.75)+(0.84*($I$37^0.355))*((C82/1000)^1.2))*1000)*1.2</f>
        <v>5886.2167019827557</v>
      </c>
      <c r="K115" s="393">
        <f>((0.1*($J$37^0.75)+(0.84*($J$37^0.355))*((C82/1000)^1.2))*1000)*1.2</f>
        <v>6141.367902724126</v>
      </c>
      <c r="L115" s="393">
        <f>((0.1*($K$37^0.75)+(0.84*($K$37^0.355))*((C82/1000)^1.2))*1000)*1.2</f>
        <v>6388.85830315359</v>
      </c>
      <c r="M115" s="393">
        <f>((0.1*($L$37^0.75)+(0.84*($L$37^0.355))*((C82/1000)^1.2))*1000)*1.2</f>
        <v>6629.488620921039</v>
      </c>
      <c r="N115" s="393">
        <f>((0.1*($M$37^0.75)+(0.84*($M$37^0.355))*((C82/1000)^1.2))*1000)*1.2</f>
        <v>6863.9275404036989</v>
      </c>
      <c r="O115" s="393">
        <f>((0.1*($O$99^0.75)+(0.84*($O$99^0.355))*((C115/1000)^1.2))*1000)*1.2</f>
        <v>7092.7403870683856</v>
      </c>
      <c r="P115" s="393">
        <f>((0.1*($P$99^0.75)+(0.84*($P$99^0.355))*((C115/1000)^1.2))*1000)*1.2</f>
        <v>7316.4102558743334</v>
      </c>
      <c r="Q115" s="393">
        <f>((0.1*($Q$99^0.75)+(0.84*($Q$99^0.355))*((C115/1000)^1.2))*1000)*1.2</f>
        <v>7535.3538876556504</v>
      </c>
      <c r="R115" s="409">
        <f>((0.1*($R$99^0.75)+(0.84*($R$99^0.355))*((C115/1000)^1.2))*1000)*1.2</f>
        <v>7749.9338062734751</v>
      </c>
      <c r="S115" s="390">
        <v>800</v>
      </c>
    </row>
    <row r="116" spans="1:19" x14ac:dyDescent="0.15">
      <c r="A116" s="393"/>
      <c r="B116" s="393">
        <v>17</v>
      </c>
      <c r="C116" s="393">
        <v>850</v>
      </c>
      <c r="D116" s="408">
        <f>((0.1*($C$37^0.75)+(0.84*($C$37^0.355))*((C83/1000)^1.2))*1000)*1.2</f>
        <v>4312.4557146524348</v>
      </c>
      <c r="E116" s="393">
        <f>((0.1*($D$37^0.75)+(0.84*($D$37^0.355))*((C83/1000)^1.2))*1000)*1.2</f>
        <v>4657.0295709140892</v>
      </c>
      <c r="F116" s="393">
        <f>((0.1*($E$37^0.75)+(0.84*($E$37^0.355))*((C83/1000)^1.2))*1000)*1.2</f>
        <v>4981.1684852160797</v>
      </c>
      <c r="G116" s="393">
        <f>((0.1*($F$37^0.75)+(0.84*($F$37^0.355))*((C83/1000)^1.2))*1000)*1.2</f>
        <v>5288.6395372807992</v>
      </c>
      <c r="H116" s="393">
        <f>((0.1*($G$37^0.75)+(0.84*($G$37^0.355))*((C83/1000)^1.2))*1000)*1.2</f>
        <v>5582.1730788066898</v>
      </c>
      <c r="I116" s="393">
        <f>((0.1*($H$37^0.75)+(0.84*($H$37^0.355))*((C83/1000)^1.2))*1000)*1.2</f>
        <v>5863.822935264654</v>
      </c>
      <c r="J116" s="393">
        <f>((0.1*($I$37^0.75)+(0.84*($I$37^0.355))*((C83/1000)^1.2))*1000)*1.2</f>
        <v>6135.1801721793909</v>
      </c>
      <c r="K116" s="393">
        <f>((0.1*($J$37^0.75)+(0.84*($J$37^0.355))*((C83/1000)^1.2))*1000)*1.2</f>
        <v>6397.5071780771459</v>
      </c>
      <c r="L116" s="393">
        <f>((0.1*($K$37^0.75)+(0.84*($K$37^0.355))*((C83/1000)^1.2))*1000)*1.2</f>
        <v>6651.8255981983848</v>
      </c>
      <c r="M116" s="393">
        <f>((0.1*($L$37^0.75)+(0.84*($L$37^0.355))*((C83/1000)^1.2))*1000)*1.2</f>
        <v>6898.9761568429522</v>
      </c>
      <c r="N116" s="393">
        <f>((0.1*($M$37^0.75)+(0.84*($M$37^0.355))*((C83/1000)^1.2))*1000)*1.2</f>
        <v>7139.6606256595996</v>
      </c>
      <c r="O116" s="393">
        <f>((0.1*($O$99^0.75)+(0.84*($O$99^0.355))*((C116/1000)^1.2))*1000)*1.2</f>
        <v>7374.4720466447734</v>
      </c>
      <c r="P116" s="393">
        <f>((0.1*($P$99^0.75)+(0.84*($P$99^0.355))*((C116/1000)^1.2))*1000)*1.2</f>
        <v>7603.9169928849087</v>
      </c>
      <c r="Q116" s="393">
        <f>((0.1*($Q$99^0.75)+(0.84*($Q$99^0.355))*((C116/1000)^1.2))*1000)*1.2</f>
        <v>7828.4322895833657</v>
      </c>
      <c r="R116" s="409">
        <f>((0.1*($R$99^0.75)+(0.84*($R$99^0.355))*((C116/1000)^1.2))*1000)*1.2</f>
        <v>8048.3977924119681</v>
      </c>
      <c r="S116" s="390">
        <v>850</v>
      </c>
    </row>
    <row r="117" spans="1:19" x14ac:dyDescent="0.15">
      <c r="A117" s="393"/>
      <c r="B117" s="393">
        <v>18</v>
      </c>
      <c r="C117" s="393">
        <v>900</v>
      </c>
      <c r="D117" s="408">
        <f>((0.1*($C$37^0.75)+(0.84*($C$37^0.355))*((C84/1000)^1.2))*1000)*1.2</f>
        <v>4509.4175046283326</v>
      </c>
      <c r="E117" s="393">
        <f>((0.1*($D$37^0.75)+(0.84*($D$37^0.355))*((C84/1000)^1.2))*1000)*1.2</f>
        <v>4865.0701685818294</v>
      </c>
      <c r="F117" s="393">
        <f>((0.1*($E$37^0.75)+(0.84*($E$37^0.355))*((C84/1000)^1.2))*1000)*1.2</f>
        <v>5199.3084476157237</v>
      </c>
      <c r="G117" s="393">
        <f>((0.1*($F$37^0.75)+(0.84*($F$37^0.355))*((C84/1000)^1.2))*1000)*1.2</f>
        <v>5516.0939566259603</v>
      </c>
      <c r="H117" s="393">
        <f>((0.1*($G$37^0.75)+(0.84*($G$37^0.355))*((C84/1000)^1.2))*1000)*1.2</f>
        <v>5818.2960767177838</v>
      </c>
      <c r="I117" s="393">
        <f>((0.1*($H$37^0.75)+(0.84*($H$37^0.355))*((C84/1000)^1.2))*1000)*1.2</f>
        <v>6108.0718776050353</v>
      </c>
      <c r="J117" s="393">
        <f>((0.1*($I$37^0.75)+(0.84*($I$37^0.355))*((C84/1000)^1.2))*1000)*1.2</f>
        <v>6387.0914616211567</v>
      </c>
      <c r="K117" s="393">
        <f>((0.1*($J$37^0.75)+(0.84*($J$37^0.355))*((C84/1000)^1.2))*1000)*1.2</f>
        <v>6656.6792368530605</v>
      </c>
      <c r="L117" s="393">
        <f>((0.1*($K$37^0.75)+(0.84*($K$37^0.355))*((C84/1000)^1.2))*1000)*1.2</f>
        <v>6917.906522935763</v>
      </c>
      <c r="M117" s="393">
        <f>((0.1*($L$37^0.75)+(0.84*($L$37^0.355))*((C84/1000)^1.2))*1000)*1.2</f>
        <v>7171.6545245125353</v>
      </c>
      <c r="N117" s="393">
        <f>((0.1*($M$37^0.75)+(0.84*($M$37^0.355))*((C84/1000)^1.2))*1000)*1.2</f>
        <v>7418.6584922691436</v>
      </c>
      <c r="O117" s="393">
        <f>((0.1*($O$99^0.75)+(0.84*($O$99^0.355))*((C117/1000)^1.2))*1000)*1.2</f>
        <v>7659.539512905596</v>
      </c>
      <c r="P117" s="393">
        <f>((0.1*($P$99^0.75)+(0.84*($P$99^0.355))*((C117/1000)^1.2))*1000)*1.2</f>
        <v>7894.8279156252001</v>
      </c>
      <c r="Q117" s="393">
        <f>((0.1*($Q$99^0.75)+(0.84*($Q$99^0.355))*((C117/1000)^1.2))*1000)*1.2</f>
        <v>8124.9808478069099</v>
      </c>
      <c r="R117" s="409">
        <f>((0.1*($R$99^0.75)+(0.84*($R$99^0.355))*((C117/1000)^1.2))*1000)*1.2</f>
        <v>8350.3957021482584</v>
      </c>
      <c r="S117" s="390">
        <v>900</v>
      </c>
    </row>
    <row r="118" spans="1:19" x14ac:dyDescent="0.15">
      <c r="A118" s="393"/>
      <c r="B118" s="393">
        <v>19</v>
      </c>
      <c r="C118" s="393">
        <v>950</v>
      </c>
      <c r="D118" s="408">
        <f>((0.1*($C$37^0.75)+(0.84*($C$37^0.355))*((C85/1000)^1.2))*1000)*1.2</f>
        <v>4708.5809878832442</v>
      </c>
      <c r="E118" s="393">
        <f>((0.1*($D$37^0.75)+(0.84*($D$37^0.355))*((C85/1000)^1.2))*1000)*1.2</f>
        <v>5075.4363015003591</v>
      </c>
      <c r="F118" s="393">
        <f>((0.1*($E$37^0.75)+(0.84*($E$37^0.355))*((C85/1000)^1.2))*1000)*1.2</f>
        <v>5419.8868387540506</v>
      </c>
      <c r="G118" s="393">
        <f>((0.1*($F$37^0.75)+(0.84*($F$37^0.355))*((C85/1000)^1.2))*1000)*1.2</f>
        <v>5746.0909242817152</v>
      </c>
      <c r="H118" s="393">
        <f>((0.1*($G$37^0.75)+(0.84*($G$37^0.355))*((C85/1000)^1.2))*1000)*1.2</f>
        <v>6057.0585227044949</v>
      </c>
      <c r="I118" s="393">
        <f>((0.1*($H$37^0.75)+(0.84*($H$37^0.355))*((C85/1000)^1.2))*1000)*1.2</f>
        <v>6355.0511020718277</v>
      </c>
      <c r="J118" s="393">
        <f>((0.1*($I$37^0.75)+(0.84*($I$37^0.355))*((C85/1000)^1.2))*1000)*1.2</f>
        <v>6641.8186850211778</v>
      </c>
      <c r="K118" s="393">
        <f>((0.1*($J$37^0.75)+(0.84*($J$37^0.355))*((C85/1000)^1.2))*1000)*1.2</f>
        <v>6918.748392471899</v>
      </c>
      <c r="L118" s="393">
        <f>((0.1*($K$37^0.75)+(0.84*($K$37^0.355))*((C85/1000)^1.2))*1000)*1.2</f>
        <v>7186.961773727654</v>
      </c>
      <c r="M118" s="393">
        <f>((0.1*($L$37^0.75)+(0.84*($L$37^0.355))*((C85/1000)^1.2))*1000)*1.2</f>
        <v>7447.3809662755975</v>
      </c>
      <c r="N118" s="393">
        <f>((0.1*($M$37^0.75)+(0.84*($M$37^0.355))*((C85/1000)^1.2))*1000)*1.2</f>
        <v>7700.7750740764377</v>
      </c>
      <c r="O118" s="393">
        <f>((0.1*($O$99^0.75)+(0.84*($O$99^0.355))*((C118/1000)^1.2))*1000)*1.2</f>
        <v>7947.7935420251779</v>
      </c>
      <c r="P118" s="393">
        <f>((0.1*($P$99^0.75)+(0.84*($P$99^0.355))*((C118/1000)^1.2))*1000)*1.2</f>
        <v>8188.9907209944404</v>
      </c>
      <c r="Q118" s="393">
        <f>((0.1*($Q$99^0.75)+(0.84*($Q$99^0.355))*((C118/1000)^1.2))*1000)*1.2</f>
        <v>8424.8443077056581</v>
      </c>
      <c r="R118" s="409">
        <f>((0.1*($R$99^0.75)+(0.84*($R$99^0.355))*((C118/1000)^1.2))*1000)*1.2</f>
        <v>8655.7694279157913</v>
      </c>
      <c r="S118" s="390">
        <v>950</v>
      </c>
    </row>
    <row r="119" spans="1:19" ht="14" thickBot="1" x14ac:dyDescent="0.2">
      <c r="A119" s="393"/>
      <c r="B119" s="393">
        <v>20</v>
      </c>
      <c r="C119" s="393">
        <v>1000</v>
      </c>
      <c r="D119" s="416">
        <f>((0.1*($C$37^0.75)+(0.84*($C$37^0.355))*((C86/1000)^1.2))*1000)*1.2</f>
        <v>4909.852882876793</v>
      </c>
      <c r="E119" s="417">
        <f>((0.1*($D$37^0.75)+(0.84*($D$37^0.355))*((C86/1000)^1.2))*1000)*1.2</f>
        <v>5288.0294411814129</v>
      </c>
      <c r="F119" s="417">
        <f>((0.1*($E$37^0.75)+(0.84*($E$37^0.355))*((C86/1000)^1.2))*1000)*1.2</f>
        <v>5642.8003470612739</v>
      </c>
      <c r="G119" s="417">
        <f>((0.1*($F$37^0.75)+(0.84*($F$37^0.355))*((C86/1000)^1.2))*1000)*1.2</f>
        <v>5978.5227173308149</v>
      </c>
      <c r="H119" s="417">
        <f>((0.1*($G$37^0.75)+(0.84*($G$37^0.355))*((C86/1000)^1.2))*1000)*1.2</f>
        <v>6298.3485883915473</v>
      </c>
      <c r="I119" s="417">
        <f>((0.1*($H$37^0.75)+(0.84*($H$37^0.355))*((C86/1000)^1.2))*1000)*1.2</f>
        <v>6604.6449318244622</v>
      </c>
      <c r="J119" s="417">
        <f>((0.1*($I$37^0.75)+(0.84*($I$37^0.355))*((C86/1000)^1.2))*1000)*1.2</f>
        <v>6899.2425366343114</v>
      </c>
      <c r="K119" s="417">
        <f>((0.1*($J$37^0.75)+(0.84*($J$37^0.355))*((C86/1000)^1.2))*1000)*1.2</f>
        <v>7183.5919004720618</v>
      </c>
      <c r="L119" s="417">
        <f>((0.1*($K$37^0.75)+(0.84*($K$37^0.355))*((C86/1000)^1.2))*1000)*1.2</f>
        <v>7458.8653340582214</v>
      </c>
      <c r="M119" s="417">
        <f>((0.1*($L$37^0.75)+(0.84*($L$37^0.355))*((C86/1000)^1.2))*1000)*1.2</f>
        <v>7726.0263410527086</v>
      </c>
      <c r="N119" s="417">
        <f>((0.1*($M$37^0.75)+(0.84*($M$37^0.355))*((C86/1000)^1.2))*1000)*1.2</f>
        <v>7985.8782370733434</v>
      </c>
      <c r="O119" s="417">
        <f>((0.1*($O$99^0.75)+(0.84*($O$99^0.355))*((C119/1000)^1.2))*1000)*1.2</f>
        <v>8239.0991254195342</v>
      </c>
      <c r="P119" s="417">
        <f>((0.1*($P$99^0.75)+(0.84*($P$99^0.355))*((C119/1000)^1.2))*1000)*1.2</f>
        <v>8486.2676329346996</v>
      </c>
      <c r="Q119" s="417">
        <f>((0.1*($Q$99^0.75)+(0.84*($Q$99^0.355))*((C119/1000)^1.2))*1000)*1.2</f>
        <v>8727.8822232250168</v>
      </c>
      <c r="R119" s="418">
        <f>((0.1*($R$99^0.75)+(0.84*($R$99^0.355))*((C119/1000)^1.2))*1000)*1.2</f>
        <v>8964.3759428350149</v>
      </c>
      <c r="S119" s="390">
        <v>1000</v>
      </c>
    </row>
    <row r="121" spans="1:19" x14ac:dyDescent="0.15">
      <c r="G121" s="390" t="str">
        <f>IFERROR(VLOOKUP(AF4,R11:AD30,MATCH(AF3,T8:AD8,0)-AG3,0),"")</f>
        <v/>
      </c>
    </row>
    <row r="123" spans="1:19" ht="15" x14ac:dyDescent="0.2">
      <c r="A123" s="421">
        <v>500</v>
      </c>
      <c r="B123" s="422">
        <v>2.1</v>
      </c>
      <c r="C123" s="423">
        <v>51</v>
      </c>
      <c r="D123" s="424"/>
      <c r="E123" s="425">
        <v>4.2000000000000006E-3</v>
      </c>
      <c r="F123" s="425">
        <v>0.10199999999999999</v>
      </c>
    </row>
    <row r="124" spans="1:19" ht="15" x14ac:dyDescent="0.2">
      <c r="A124" s="421">
        <v>550</v>
      </c>
      <c r="B124" s="422">
        <v>2.3000000000000003</v>
      </c>
      <c r="C124" s="423">
        <v>56.1</v>
      </c>
      <c r="D124" s="424"/>
      <c r="E124" s="425">
        <v>4.1818181818181824E-3</v>
      </c>
      <c r="F124" s="425">
        <v>0.10200000000000001</v>
      </c>
    </row>
    <row r="125" spans="1:19" ht="15" x14ac:dyDescent="0.2">
      <c r="A125" s="421">
        <v>600</v>
      </c>
      <c r="B125" s="422">
        <v>2.5</v>
      </c>
      <c r="C125" s="423">
        <v>61.2</v>
      </c>
      <c r="D125" s="424"/>
      <c r="E125" s="425">
        <v>4.1666666666666666E-3</v>
      </c>
      <c r="F125" s="425">
        <v>0.10200000000000001</v>
      </c>
    </row>
    <row r="126" spans="1:19" ht="15" x14ac:dyDescent="0.2">
      <c r="A126" s="421">
        <v>650</v>
      </c>
      <c r="B126" s="422">
        <v>2.8000000000000003</v>
      </c>
      <c r="C126" s="423">
        <v>66.3</v>
      </c>
      <c r="D126" s="424"/>
      <c r="E126" s="425">
        <v>4.3076923076923084E-3</v>
      </c>
      <c r="F126" s="425">
        <v>0.10199999999999999</v>
      </c>
    </row>
    <row r="127" spans="1:19" ht="15" x14ac:dyDescent="0.2">
      <c r="A127" s="421">
        <v>700</v>
      </c>
      <c r="B127" s="422">
        <v>3</v>
      </c>
      <c r="C127" s="423">
        <v>71.399999999999991</v>
      </c>
      <c r="D127" s="424"/>
      <c r="E127" s="425">
        <v>4.2857142857142859E-3</v>
      </c>
      <c r="F127" s="425">
        <v>0.10199999999999999</v>
      </c>
    </row>
    <row r="128" spans="1:19" ht="15" x14ac:dyDescent="0.2">
      <c r="A128" s="421">
        <v>750</v>
      </c>
      <c r="B128" s="422">
        <v>3.2</v>
      </c>
      <c r="C128" s="423">
        <v>76.499999999999986</v>
      </c>
      <c r="D128" s="424"/>
      <c r="E128" s="425">
        <v>4.2666666666666669E-3</v>
      </c>
      <c r="F128" s="425">
        <v>0.10199999999999998</v>
      </c>
    </row>
    <row r="129" spans="1:6" ht="15" x14ac:dyDescent="0.2">
      <c r="A129" s="421">
        <v>800</v>
      </c>
      <c r="B129" s="422">
        <v>3.33</v>
      </c>
      <c r="C129" s="423">
        <v>81.599999999999994</v>
      </c>
      <c r="D129" s="424"/>
      <c r="E129" s="425">
        <v>4.1625000000000004E-3</v>
      </c>
      <c r="F129" s="425">
        <v>0.10199999999999999</v>
      </c>
    </row>
    <row r="130" spans="1:6" ht="15" x14ac:dyDescent="0.2">
      <c r="A130" s="421">
        <v>850</v>
      </c>
      <c r="B130" s="422">
        <v>3.6</v>
      </c>
      <c r="C130" s="423">
        <v>86.7</v>
      </c>
      <c r="D130" s="424"/>
      <c r="E130" s="425">
        <v>4.2352941176470593E-3</v>
      </c>
      <c r="F130" s="425">
        <v>0.10200000000000001</v>
      </c>
    </row>
    <row r="131" spans="1:6" ht="15" x14ac:dyDescent="0.2">
      <c r="A131" s="421">
        <v>900</v>
      </c>
      <c r="B131" s="422">
        <v>3.8000000000000003</v>
      </c>
      <c r="C131" s="423">
        <v>91.8</v>
      </c>
      <c r="D131" s="424"/>
      <c r="E131" s="425">
        <v>4.2222222222222227E-3</v>
      </c>
      <c r="F131" s="425">
        <v>0.10199999999999999</v>
      </c>
    </row>
    <row r="132" spans="1:6" ht="15" x14ac:dyDescent="0.2">
      <c r="A132" s="421">
        <v>950</v>
      </c>
      <c r="B132" s="422">
        <v>4</v>
      </c>
      <c r="C132" s="423">
        <v>96.9</v>
      </c>
      <c r="D132" s="424"/>
      <c r="E132" s="425">
        <v>4.2105263157894736E-3</v>
      </c>
      <c r="F132" s="425">
        <v>0.10200000000000001</v>
      </c>
    </row>
    <row r="133" spans="1:6" ht="15" x14ac:dyDescent="0.2">
      <c r="A133" s="421">
        <v>1000</v>
      </c>
      <c r="B133" s="422">
        <v>4.1999999999999993</v>
      </c>
      <c r="C133" s="423">
        <v>102</v>
      </c>
      <c r="D133" s="424"/>
      <c r="E133" s="425">
        <v>4.1999999999999989E-3</v>
      </c>
      <c r="F133" s="425">
        <v>0.10199999999999999</v>
      </c>
    </row>
  </sheetData>
  <conditionalFormatting sqref="C9:R28">
    <cfRule type="cellIs" dxfId="3" priority="5" operator="equal">
      <formula>$G$3</formula>
    </cfRule>
  </conditionalFormatting>
  <conditionalFormatting sqref="C67:R86">
    <cfRule type="cellIs" dxfId="2" priority="3" operator="equal">
      <formula>$G$3</formula>
    </cfRule>
  </conditionalFormatting>
  <conditionalFormatting sqref="D8:R8">
    <cfRule type="cellIs" dxfId="1" priority="1" operator="equal">
      <formula>$G$1</formula>
    </cfRule>
  </conditionalFormatting>
  <conditionalFormatting sqref="D66:R66">
    <cfRule type="cellIs" dxfId="0" priority="2" operator="equal">
      <formula>$G$1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S102"/>
  <sheetViews>
    <sheetView workbookViewId="0">
      <selection activeCell="J105" sqref="J105"/>
    </sheetView>
  </sheetViews>
  <sheetFormatPr baseColWidth="10" defaultColWidth="8.83203125" defaultRowHeight="15" x14ac:dyDescent="0.2"/>
  <cols>
    <col min="1" max="1" width="25.83203125" style="426" bestFit="1" customWidth="1"/>
    <col min="2" max="2" width="23.6640625" style="426" bestFit="1" customWidth="1"/>
    <col min="3" max="3" width="5.6640625" style="426" bestFit="1" customWidth="1"/>
    <col min="4" max="4" width="4.1640625" style="426" bestFit="1" customWidth="1"/>
    <col min="5" max="5" width="12.1640625" style="426" bestFit="1" customWidth="1"/>
    <col min="6" max="9" width="8.83203125" style="426"/>
    <col min="10" max="10" width="20.33203125" style="426" bestFit="1" customWidth="1"/>
    <col min="11" max="11" width="5.6640625" style="426" bestFit="1" customWidth="1"/>
    <col min="12" max="13" width="8.83203125" style="426"/>
    <col min="14" max="14" width="8.1640625" style="426" bestFit="1" customWidth="1"/>
    <col min="15" max="16384" width="8.83203125" style="426"/>
  </cols>
  <sheetData>
    <row r="1" spans="1:19" x14ac:dyDescent="0.2">
      <c r="B1" s="426" t="s">
        <v>9</v>
      </c>
    </row>
    <row r="2" spans="1:19" x14ac:dyDescent="0.2">
      <c r="A2" s="426" t="s">
        <v>159</v>
      </c>
      <c r="B2" s="426" t="s">
        <v>7</v>
      </c>
    </row>
    <row r="3" spans="1:19" x14ac:dyDescent="0.2">
      <c r="A3" s="426">
        <v>1</v>
      </c>
      <c r="B3" s="426">
        <v>0</v>
      </c>
      <c r="R3" s="428"/>
    </row>
    <row r="4" spans="1:19" x14ac:dyDescent="0.2">
      <c r="A4" s="426">
        <v>2</v>
      </c>
      <c r="B4" s="428">
        <v>4</v>
      </c>
      <c r="R4" s="428"/>
    </row>
    <row r="5" spans="1:19" x14ac:dyDescent="0.2">
      <c r="A5" s="426">
        <v>3</v>
      </c>
      <c r="B5" s="428">
        <v>5</v>
      </c>
      <c r="R5" s="428"/>
    </row>
    <row r="6" spans="1:19" x14ac:dyDescent="0.2">
      <c r="A6" s="426">
        <v>4</v>
      </c>
      <c r="B6" s="428">
        <v>6</v>
      </c>
      <c r="R6" s="428"/>
      <c r="S6" s="429"/>
    </row>
    <row r="7" spans="1:19" x14ac:dyDescent="0.2">
      <c r="A7" s="426">
        <v>5</v>
      </c>
      <c r="B7" s="428">
        <v>7</v>
      </c>
      <c r="R7" s="428"/>
    </row>
    <row r="8" spans="1:19" x14ac:dyDescent="0.2">
      <c r="A8" s="426">
        <v>6</v>
      </c>
      <c r="B8" s="428">
        <v>8</v>
      </c>
      <c r="P8" s="429"/>
      <c r="Q8" s="429"/>
      <c r="R8" s="428"/>
      <c r="S8" s="429"/>
    </row>
    <row r="9" spans="1:19" x14ac:dyDescent="0.2">
      <c r="P9" s="430"/>
      <c r="Q9" s="430"/>
      <c r="R9" s="428"/>
      <c r="S9" s="430"/>
    </row>
    <row r="10" spans="1:19" x14ac:dyDescent="0.2">
      <c r="A10" s="426" t="s">
        <v>159</v>
      </c>
      <c r="B10" s="426" t="s">
        <v>8</v>
      </c>
      <c r="R10" s="428"/>
    </row>
    <row r="11" spans="1:19" x14ac:dyDescent="0.2">
      <c r="A11" s="428">
        <v>1</v>
      </c>
      <c r="B11" s="428">
        <v>0</v>
      </c>
      <c r="R11" s="428"/>
      <c r="S11" s="429"/>
    </row>
    <row r="12" spans="1:19" x14ac:dyDescent="0.2">
      <c r="A12" s="428">
        <v>2</v>
      </c>
      <c r="B12" s="431">
        <v>0.25</v>
      </c>
      <c r="R12" s="428"/>
    </row>
    <row r="13" spans="1:19" ht="15" customHeight="1" x14ac:dyDescent="0.2">
      <c r="A13" s="428">
        <v>3</v>
      </c>
      <c r="B13" s="431">
        <v>0.3</v>
      </c>
      <c r="R13" s="428"/>
    </row>
    <row r="14" spans="1:19" x14ac:dyDescent="0.2">
      <c r="A14" s="428">
        <v>4</v>
      </c>
      <c r="B14" s="431">
        <v>0.35</v>
      </c>
      <c r="R14" s="428"/>
    </row>
    <row r="15" spans="1:19" x14ac:dyDescent="0.2">
      <c r="A15" s="428">
        <v>5</v>
      </c>
      <c r="B15" s="431">
        <v>0.4</v>
      </c>
      <c r="C15" s="433"/>
      <c r="R15" s="428"/>
    </row>
    <row r="16" spans="1:19" x14ac:dyDescent="0.2">
      <c r="A16" s="428">
        <v>6</v>
      </c>
      <c r="B16" s="431">
        <v>0.45</v>
      </c>
      <c r="R16" s="428"/>
    </row>
    <row r="17" spans="1:18" x14ac:dyDescent="0.2">
      <c r="A17" s="428">
        <v>7</v>
      </c>
      <c r="B17" s="431">
        <v>0.5</v>
      </c>
      <c r="R17" s="428"/>
    </row>
    <row r="18" spans="1:18" x14ac:dyDescent="0.2">
      <c r="A18" s="428">
        <v>8</v>
      </c>
      <c r="B18" s="431">
        <v>0.75</v>
      </c>
      <c r="R18" s="428"/>
    </row>
    <row r="19" spans="1:18" x14ac:dyDescent="0.2">
      <c r="A19" s="428">
        <v>9</v>
      </c>
      <c r="B19" s="431">
        <v>1</v>
      </c>
      <c r="R19" s="428"/>
    </row>
    <row r="20" spans="1:18" x14ac:dyDescent="0.2">
      <c r="R20" s="428"/>
    </row>
    <row r="21" spans="1:18" x14ac:dyDescent="0.2">
      <c r="A21" s="428">
        <v>1</v>
      </c>
      <c r="B21" s="426" t="s">
        <v>199</v>
      </c>
    </row>
    <row r="22" spans="1:18" x14ac:dyDescent="0.2">
      <c r="A22" s="426">
        <v>2</v>
      </c>
      <c r="B22" s="428" t="s">
        <v>160</v>
      </c>
    </row>
    <row r="23" spans="1:18" x14ac:dyDescent="0.2">
      <c r="A23" s="426">
        <v>3</v>
      </c>
      <c r="B23" s="426" t="s">
        <v>33</v>
      </c>
    </row>
    <row r="25" spans="1:18" x14ac:dyDescent="0.2">
      <c r="A25" s="426">
        <v>1</v>
      </c>
      <c r="B25" s="426">
        <v>30</v>
      </c>
    </row>
    <row r="26" spans="1:18" x14ac:dyDescent="0.2">
      <c r="A26" s="426">
        <v>2</v>
      </c>
      <c r="B26" s="426">
        <v>35</v>
      </c>
    </row>
    <row r="27" spans="1:18" x14ac:dyDescent="0.2">
      <c r="A27" s="426">
        <v>3</v>
      </c>
      <c r="B27" s="426">
        <v>40</v>
      </c>
    </row>
    <row r="28" spans="1:18" x14ac:dyDescent="0.2">
      <c r="A28" s="426">
        <v>4</v>
      </c>
      <c r="B28" s="426">
        <v>45</v>
      </c>
    </row>
    <row r="29" spans="1:18" x14ac:dyDescent="0.2">
      <c r="A29" s="428">
        <v>5</v>
      </c>
      <c r="B29" s="426">
        <v>50</v>
      </c>
    </row>
    <row r="30" spans="1:18" x14ac:dyDescent="0.2">
      <c r="A30" s="428">
        <v>6</v>
      </c>
      <c r="B30" s="426">
        <v>55</v>
      </c>
    </row>
    <row r="31" spans="1:18" x14ac:dyDescent="0.2">
      <c r="A31" s="428">
        <v>7</v>
      </c>
      <c r="B31" s="426">
        <v>60</v>
      </c>
    </row>
    <row r="32" spans="1:18" x14ac:dyDescent="0.2">
      <c r="A32" s="428">
        <v>8</v>
      </c>
      <c r="B32" s="426">
        <v>65</v>
      </c>
    </row>
    <row r="33" spans="1:5" x14ac:dyDescent="0.2">
      <c r="A33" s="428">
        <v>9</v>
      </c>
      <c r="B33" s="426">
        <v>70</v>
      </c>
    </row>
    <row r="34" spans="1:5" x14ac:dyDescent="0.2">
      <c r="A34" s="428">
        <v>10</v>
      </c>
      <c r="B34" s="426">
        <v>75</v>
      </c>
    </row>
    <row r="35" spans="1:5" x14ac:dyDescent="0.2">
      <c r="A35" s="428">
        <v>11</v>
      </c>
      <c r="B35" s="426">
        <v>80</v>
      </c>
    </row>
    <row r="36" spans="1:5" x14ac:dyDescent="0.2">
      <c r="A36" s="428">
        <v>12</v>
      </c>
      <c r="B36" s="426">
        <v>85</v>
      </c>
    </row>
    <row r="37" spans="1:5" x14ac:dyDescent="0.2">
      <c r="A37" s="428">
        <v>13</v>
      </c>
      <c r="B37" s="426">
        <v>90</v>
      </c>
    </row>
    <row r="38" spans="1:5" x14ac:dyDescent="0.2">
      <c r="A38" s="428">
        <v>14</v>
      </c>
      <c r="B38" s="426">
        <v>95</v>
      </c>
    </row>
    <row r="39" spans="1:5" x14ac:dyDescent="0.2">
      <c r="A39" s="428">
        <v>15</v>
      </c>
      <c r="B39" s="426">
        <v>100</v>
      </c>
    </row>
    <row r="41" spans="1:5" x14ac:dyDescent="0.2">
      <c r="B41" s="426" t="s">
        <v>12</v>
      </c>
    </row>
    <row r="42" spans="1:5" x14ac:dyDescent="0.2">
      <c r="A42" s="426">
        <v>1</v>
      </c>
      <c r="B42" s="426" t="s">
        <v>13</v>
      </c>
    </row>
    <row r="43" spans="1:5" x14ac:dyDescent="0.2">
      <c r="A43" s="426">
        <v>2</v>
      </c>
      <c r="B43" s="426" t="s">
        <v>14</v>
      </c>
    </row>
    <row r="44" spans="1:5" x14ac:dyDescent="0.2">
      <c r="A44" s="426">
        <v>3</v>
      </c>
      <c r="B44" s="426" t="s">
        <v>15</v>
      </c>
    </row>
    <row r="45" spans="1:5" x14ac:dyDescent="0.2">
      <c r="A45" s="426">
        <v>4</v>
      </c>
      <c r="B45" s="426" t="s">
        <v>157</v>
      </c>
    </row>
    <row r="47" spans="1:5" x14ac:dyDescent="0.2">
      <c r="A47" s="426" t="s">
        <v>11</v>
      </c>
      <c r="B47" s="426" t="s">
        <v>31</v>
      </c>
      <c r="D47" s="426" t="s">
        <v>30</v>
      </c>
      <c r="E47" s="427" t="s">
        <v>32</v>
      </c>
    </row>
    <row r="48" spans="1:5" x14ac:dyDescent="0.2">
      <c r="D48" s="426">
        <v>1</v>
      </c>
      <c r="E48" s="426">
        <v>1</v>
      </c>
    </row>
    <row r="49" spans="1:5" x14ac:dyDescent="0.2">
      <c r="D49" s="426">
        <v>2</v>
      </c>
      <c r="E49" s="426">
        <v>1.01</v>
      </c>
    </row>
    <row r="50" spans="1:5" x14ac:dyDescent="0.2">
      <c r="D50" s="426">
        <v>3</v>
      </c>
      <c r="E50" s="426">
        <v>1.02</v>
      </c>
    </row>
    <row r="51" spans="1:5" x14ac:dyDescent="0.2">
      <c r="D51" s="426">
        <v>4</v>
      </c>
      <c r="E51" s="426">
        <v>1.03</v>
      </c>
    </row>
    <row r="53" spans="1:5" x14ac:dyDescent="0.2">
      <c r="A53" s="426" t="s">
        <v>10</v>
      </c>
    </row>
    <row r="54" spans="1:5" x14ac:dyDescent="0.2">
      <c r="A54" s="426" t="s">
        <v>95</v>
      </c>
    </row>
    <row r="55" spans="1:5" x14ac:dyDescent="0.2">
      <c r="A55" s="426" t="s">
        <v>94</v>
      </c>
    </row>
    <row r="57" spans="1:5" x14ac:dyDescent="0.2">
      <c r="B57" s="432" t="s">
        <v>93</v>
      </c>
      <c r="C57" s="432"/>
    </row>
    <row r="58" spans="1:5" x14ac:dyDescent="0.2">
      <c r="A58" s="426">
        <v>1</v>
      </c>
      <c r="B58" s="434">
        <v>0</v>
      </c>
      <c r="C58" s="434">
        <v>0</v>
      </c>
    </row>
    <row r="59" spans="1:5" x14ac:dyDescent="0.2">
      <c r="A59" s="426">
        <v>2</v>
      </c>
      <c r="B59" s="426" t="str">
        <f>"1 : 6"</f>
        <v>1 : 6</v>
      </c>
      <c r="C59" s="431">
        <f>(1/7)</f>
        <v>0.14285714285714285</v>
      </c>
    </row>
    <row r="60" spans="1:5" x14ac:dyDescent="0.2">
      <c r="A60" s="426">
        <v>3</v>
      </c>
      <c r="B60" s="426" t="str">
        <f>"1 : 7"</f>
        <v>1 : 7</v>
      </c>
      <c r="C60" s="431">
        <f>(1/8)</f>
        <v>0.125</v>
      </c>
    </row>
    <row r="61" spans="1:5" x14ac:dyDescent="0.2">
      <c r="A61" s="426">
        <v>4</v>
      </c>
      <c r="B61" s="426" t="str">
        <f>"1 : 8"</f>
        <v>1 : 8</v>
      </c>
      <c r="C61" s="431">
        <f>(1/9)</f>
        <v>0.1111111111111111</v>
      </c>
    </row>
    <row r="62" spans="1:5" x14ac:dyDescent="0.2">
      <c r="A62" s="426">
        <v>5</v>
      </c>
      <c r="B62" s="426" t="str">
        <f>"1 : 9"</f>
        <v>1 : 9</v>
      </c>
      <c r="C62" s="431">
        <f>(1/10)</f>
        <v>0.1</v>
      </c>
    </row>
    <row r="64" spans="1:5" x14ac:dyDescent="0.2">
      <c r="A64" s="426" t="s">
        <v>159</v>
      </c>
      <c r="B64" s="426" t="s">
        <v>10</v>
      </c>
    </row>
    <row r="65" spans="1:2" x14ac:dyDescent="0.2">
      <c r="A65" s="426">
        <v>1</v>
      </c>
      <c r="B65" s="426">
        <v>0</v>
      </c>
    </row>
    <row r="66" spans="1:2" x14ac:dyDescent="0.2">
      <c r="A66" s="426">
        <v>2</v>
      </c>
      <c r="B66" s="426">
        <v>5</v>
      </c>
    </row>
    <row r="67" spans="1:2" x14ac:dyDescent="0.2">
      <c r="A67" s="426">
        <v>3</v>
      </c>
      <c r="B67" s="426">
        <v>10</v>
      </c>
    </row>
    <row r="68" spans="1:2" x14ac:dyDescent="0.2">
      <c r="A68" s="426">
        <v>4</v>
      </c>
      <c r="B68" s="426">
        <v>15</v>
      </c>
    </row>
    <row r="69" spans="1:2" x14ac:dyDescent="0.2">
      <c r="A69" s="426">
        <v>5</v>
      </c>
      <c r="B69" s="426">
        <v>20</v>
      </c>
    </row>
    <row r="70" spans="1:2" x14ac:dyDescent="0.2">
      <c r="A70" s="426">
        <v>6</v>
      </c>
      <c r="B70" s="426">
        <v>25</v>
      </c>
    </row>
    <row r="71" spans="1:2" x14ac:dyDescent="0.2">
      <c r="A71" s="426">
        <v>7</v>
      </c>
      <c r="B71" s="426">
        <v>30</v>
      </c>
    </row>
    <row r="72" spans="1:2" x14ac:dyDescent="0.2">
      <c r="A72" s="426">
        <v>8</v>
      </c>
      <c r="B72" s="426">
        <v>35</v>
      </c>
    </row>
    <row r="73" spans="1:2" x14ac:dyDescent="0.2">
      <c r="A73" s="426">
        <v>9</v>
      </c>
      <c r="B73" s="426">
        <v>40</v>
      </c>
    </row>
    <row r="74" spans="1:2" x14ac:dyDescent="0.2">
      <c r="A74" s="426">
        <v>10</v>
      </c>
      <c r="B74" s="426">
        <v>45</v>
      </c>
    </row>
    <row r="75" spans="1:2" x14ac:dyDescent="0.2">
      <c r="A75" s="426">
        <v>11</v>
      </c>
      <c r="B75" s="426">
        <v>50</v>
      </c>
    </row>
    <row r="76" spans="1:2" x14ac:dyDescent="0.2">
      <c r="A76" s="426">
        <v>12</v>
      </c>
      <c r="B76" s="426">
        <v>75</v>
      </c>
    </row>
    <row r="77" spans="1:2" x14ac:dyDescent="0.2">
      <c r="A77" s="426">
        <v>13</v>
      </c>
      <c r="B77" s="426">
        <v>100</v>
      </c>
    </row>
    <row r="78" spans="1:2" x14ac:dyDescent="0.2">
      <c r="A78" s="426">
        <v>14</v>
      </c>
      <c r="B78" s="426">
        <v>125</v>
      </c>
    </row>
    <row r="79" spans="1:2" x14ac:dyDescent="0.2">
      <c r="A79" s="426">
        <v>15</v>
      </c>
      <c r="B79" s="426">
        <v>150</v>
      </c>
    </row>
    <row r="81" spans="1:5" x14ac:dyDescent="0.2">
      <c r="A81" s="426" t="str">
        <f>A54</f>
        <v>Substituição.Parcial</v>
      </c>
    </row>
    <row r="82" spans="1:5" x14ac:dyDescent="0.2">
      <c r="A82" s="435">
        <v>0.1</v>
      </c>
      <c r="B82" s="426">
        <v>0.1</v>
      </c>
    </row>
    <row r="83" spans="1:5" x14ac:dyDescent="0.2">
      <c r="A83" s="435">
        <v>0.2</v>
      </c>
      <c r="B83" s="426">
        <v>0.2</v>
      </c>
    </row>
    <row r="84" spans="1:5" x14ac:dyDescent="0.2">
      <c r="A84" s="435">
        <v>0.3</v>
      </c>
      <c r="B84" s="426">
        <v>0.3</v>
      </c>
    </row>
    <row r="85" spans="1:5" x14ac:dyDescent="0.2">
      <c r="A85" s="435">
        <v>0.4</v>
      </c>
      <c r="B85" s="426">
        <v>0.4</v>
      </c>
    </row>
    <row r="86" spans="1:5" x14ac:dyDescent="0.2">
      <c r="A86" s="435">
        <v>0.5</v>
      </c>
      <c r="B86" s="426">
        <v>0.5</v>
      </c>
    </row>
    <row r="87" spans="1:5" x14ac:dyDescent="0.2">
      <c r="A87" s="435">
        <v>0.6</v>
      </c>
      <c r="B87" s="426">
        <v>0.6</v>
      </c>
    </row>
    <row r="88" spans="1:5" x14ac:dyDescent="0.2">
      <c r="A88" s="435">
        <v>0.7</v>
      </c>
      <c r="B88" s="426">
        <v>0.7</v>
      </c>
    </row>
    <row r="89" spans="1:5" x14ac:dyDescent="0.2">
      <c r="A89" s="435">
        <v>0.8</v>
      </c>
      <c r="B89" s="426">
        <v>0.8</v>
      </c>
    </row>
    <row r="90" spans="1:5" x14ac:dyDescent="0.2">
      <c r="A90" s="435">
        <v>0.9</v>
      </c>
      <c r="B90" s="426">
        <v>0.9</v>
      </c>
    </row>
    <row r="92" spans="1:5" x14ac:dyDescent="0.2">
      <c r="E92" s="426">
        <f>0.16*60^0.75</f>
        <v>3.4493194748456069</v>
      </c>
    </row>
    <row r="93" spans="1:5" x14ac:dyDescent="0.2">
      <c r="C93" s="426" t="s">
        <v>195</v>
      </c>
      <c r="D93" s="426" t="s">
        <v>210</v>
      </c>
      <c r="E93" s="426" t="s">
        <v>211</v>
      </c>
    </row>
    <row r="94" spans="1:5" x14ac:dyDescent="0.2">
      <c r="A94" s="426">
        <v>1</v>
      </c>
      <c r="B94" s="426" t="s">
        <v>180</v>
      </c>
      <c r="C94" s="433">
        <v>2.6</v>
      </c>
      <c r="D94" s="426">
        <v>200</v>
      </c>
      <c r="E94" s="434">
        <f>D94*0.75</f>
        <v>150</v>
      </c>
    </row>
    <row r="95" spans="1:5" x14ac:dyDescent="0.2">
      <c r="A95" s="426">
        <v>2</v>
      </c>
      <c r="B95" s="426" t="s">
        <v>181</v>
      </c>
      <c r="C95" s="426">
        <v>2.77</v>
      </c>
      <c r="D95" s="426">
        <v>224</v>
      </c>
      <c r="E95" s="434">
        <f t="shared" ref="E95:E97" si="0">D95*0.75</f>
        <v>168</v>
      </c>
    </row>
    <row r="96" spans="1:5" x14ac:dyDescent="0.2">
      <c r="A96" s="426">
        <v>3</v>
      </c>
      <c r="B96" s="426" t="s">
        <v>193</v>
      </c>
      <c r="C96" s="426">
        <v>2.82</v>
      </c>
      <c r="D96" s="426">
        <v>246</v>
      </c>
      <c r="E96" s="434">
        <f t="shared" si="0"/>
        <v>184.5</v>
      </c>
    </row>
    <row r="97" spans="1:5" x14ac:dyDescent="0.2">
      <c r="A97" s="426">
        <v>4</v>
      </c>
      <c r="B97" s="426" t="s">
        <v>194</v>
      </c>
      <c r="C97" s="426">
        <v>2.87</v>
      </c>
      <c r="D97" s="426">
        <v>267</v>
      </c>
      <c r="E97" s="434">
        <f t="shared" si="0"/>
        <v>200.25</v>
      </c>
    </row>
    <row r="98" spans="1:5" x14ac:dyDescent="0.2">
      <c r="A98" s="426">
        <v>5</v>
      </c>
      <c r="B98" s="426" t="s">
        <v>196</v>
      </c>
      <c r="C98" s="426">
        <v>2.96</v>
      </c>
      <c r="D98" s="426">
        <v>237</v>
      </c>
      <c r="E98" s="434">
        <f>D98*0.8</f>
        <v>189.60000000000002</v>
      </c>
    </row>
    <row r="100" spans="1:5" x14ac:dyDescent="0.2">
      <c r="A100" s="426" t="s">
        <v>201</v>
      </c>
    </row>
    <row r="101" spans="1:5" x14ac:dyDescent="0.2">
      <c r="A101" s="426" t="s">
        <v>202</v>
      </c>
    </row>
    <row r="102" spans="1:5" x14ac:dyDescent="0.2">
      <c r="A102" s="426" t="s">
        <v>203</v>
      </c>
    </row>
  </sheetData>
  <mergeCells count="1">
    <mergeCell ref="B57:C5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3"/>
  <dimension ref="B1:S31"/>
  <sheetViews>
    <sheetView workbookViewId="0">
      <selection activeCell="P2" sqref="P2"/>
    </sheetView>
  </sheetViews>
  <sheetFormatPr baseColWidth="10" defaultColWidth="8.83203125" defaultRowHeight="15" x14ac:dyDescent="0.2"/>
  <cols>
    <col min="13" max="13" width="12.1640625" customWidth="1"/>
    <col min="14" max="14" width="10" bestFit="1" customWidth="1"/>
    <col min="15" max="15" width="10" customWidth="1"/>
    <col min="16" max="16" width="13.5" bestFit="1" customWidth="1"/>
  </cols>
  <sheetData>
    <row r="1" spans="2:19" x14ac:dyDescent="0.2">
      <c r="N1" s="101">
        <v>7.0000000000000007E-2</v>
      </c>
      <c r="O1" s="101"/>
      <c r="P1" s="101">
        <v>7.0000000000000007E-2</v>
      </c>
      <c r="Q1" s="100"/>
    </row>
    <row r="2" spans="2:19" ht="15.75" customHeight="1" thickBot="1" x14ac:dyDescent="0.25">
      <c r="M2" t="s">
        <v>113</v>
      </c>
      <c r="N2">
        <f>1-(1*N1)</f>
        <v>0.92999999999999994</v>
      </c>
      <c r="O2">
        <f>1+(1*N1)</f>
        <v>1.07</v>
      </c>
      <c r="P2">
        <f>1-(1*P1)</f>
        <v>0.92999999999999994</v>
      </c>
      <c r="Q2">
        <f>1+(1*P1)</f>
        <v>1.07</v>
      </c>
    </row>
    <row r="3" spans="2:19" ht="18" thickBot="1" x14ac:dyDescent="0.25">
      <c r="B3" s="104" t="s">
        <v>16</v>
      </c>
      <c r="C3" s="105"/>
      <c r="D3" s="105"/>
      <c r="E3" s="105"/>
      <c r="F3" s="105"/>
      <c r="G3" s="105"/>
      <c r="H3" s="105"/>
      <c r="I3" s="105"/>
      <c r="J3" s="105"/>
      <c r="K3" s="106"/>
    </row>
    <row r="4" spans="2:19" ht="17.25" customHeight="1" x14ac:dyDescent="0.2">
      <c r="B4" s="2" t="s">
        <v>17</v>
      </c>
      <c r="C4" s="107" t="s">
        <v>13</v>
      </c>
      <c r="D4" s="108"/>
      <c r="E4" s="109"/>
      <c r="F4" s="107" t="s">
        <v>14</v>
      </c>
      <c r="G4" s="108"/>
      <c r="H4" s="109"/>
      <c r="I4" s="107" t="s">
        <v>15</v>
      </c>
      <c r="J4" s="108"/>
      <c r="K4" s="110"/>
      <c r="N4" s="103">
        <f>Dados!C15</f>
        <v>0</v>
      </c>
      <c r="O4" s="103"/>
      <c r="P4" s="103"/>
    </row>
    <row r="5" spans="2:19" ht="18" thickBot="1" x14ac:dyDescent="0.25">
      <c r="B5" s="3" t="s">
        <v>18</v>
      </c>
      <c r="C5" s="4" t="s">
        <v>19</v>
      </c>
      <c r="D5" s="5" t="s">
        <v>20</v>
      </c>
      <c r="E5" s="6" t="s">
        <v>21</v>
      </c>
      <c r="F5" s="4" t="s">
        <v>19</v>
      </c>
      <c r="G5" s="5" t="s">
        <v>20</v>
      </c>
      <c r="H5" s="6" t="s">
        <v>21</v>
      </c>
      <c r="I5" s="4" t="s">
        <v>19</v>
      </c>
      <c r="J5" s="5" t="s">
        <v>20</v>
      </c>
      <c r="K5" s="7" t="s">
        <v>21</v>
      </c>
      <c r="M5" s="36" t="s">
        <v>22</v>
      </c>
      <c r="N5" s="36" t="s">
        <v>107</v>
      </c>
      <c r="O5" s="37" t="s">
        <v>108</v>
      </c>
      <c r="P5" s="37" t="s">
        <v>109</v>
      </c>
      <c r="Q5" s="37" t="s">
        <v>110</v>
      </c>
      <c r="R5" s="37" t="s">
        <v>112</v>
      </c>
      <c r="S5" s="37" t="s">
        <v>111</v>
      </c>
    </row>
    <row r="6" spans="2:19" ht="16" x14ac:dyDescent="0.2">
      <c r="B6" s="8">
        <v>0</v>
      </c>
      <c r="C6" s="9">
        <v>40</v>
      </c>
      <c r="D6" s="10">
        <v>70</v>
      </c>
      <c r="E6" s="23">
        <f>C6/D6</f>
        <v>0.5714285714285714</v>
      </c>
      <c r="F6" s="11">
        <v>34</v>
      </c>
      <c r="G6" s="12">
        <v>64</v>
      </c>
      <c r="H6" s="23">
        <f>F6/G6</f>
        <v>0.53125</v>
      </c>
      <c r="I6" s="9">
        <v>26</v>
      </c>
      <c r="J6" s="12">
        <v>58</v>
      </c>
      <c r="K6" s="24">
        <f>I6/J6</f>
        <v>0.44827586206896552</v>
      </c>
      <c r="M6" s="1">
        <f>B6</f>
        <v>0</v>
      </c>
      <c r="N6" s="1">
        <f>IF($N$4="Holandês",VLOOKUP(M6,$B$6:$K$9,2,FALSE),IF($N$4="Girolando",VLOOKUP(M6,$B$6:$K$9,5,FALSE),IF($N$4="Jersey",VLOOKUP(M6,$B$6:$K$9,8,FALSE))))*$N$2</f>
        <v>0</v>
      </c>
      <c r="O6" s="1">
        <f>IF($N$4="Holandês",VLOOKUP(M6,$B$6:$K$9,2,FALSE),IF($N$4="Girolando",VLOOKUP(M6,$B$6:$K$9,5,FALSE),IF($N$4="Jersey",VLOOKUP(M6,$B$6:$K$9,8,FALSE))))*$O$2</f>
        <v>0</v>
      </c>
      <c r="P6" s="1">
        <f>IF($N$4="Holandês",VLOOKUP(M6,$B$6:$K$9,3,FALSE),IF($N$4="Girolando",VLOOKUP(M6,$B$6:$K$9,6,FALSE),IF($N$4="Jersey",VLOOKUP(M6,$B$6:$K$9,9,FALSE))))*$P$2</f>
        <v>0</v>
      </c>
      <c r="Q6" s="1">
        <f>IF($N$4="Holandês",VLOOKUP(M6,$B$6:$K$9,3,FALSE),IF($N$4="Girolando",VLOOKUP(M6,$B$6:$K$9,6,FALSE),IF($N$4="Jersey",VLOOKUP(M6,$B$6:$K$9,9,FALSE))))*$Q$2</f>
        <v>0</v>
      </c>
      <c r="R6" s="35" t="e">
        <f t="shared" ref="R6:S9" si="0">N6/P6</f>
        <v>#DIV/0!</v>
      </c>
      <c r="S6" s="35" t="e">
        <f t="shared" si="0"/>
        <v>#DIV/0!</v>
      </c>
    </row>
    <row r="7" spans="2:19" ht="16" x14ac:dyDescent="0.2">
      <c r="B7" s="13">
        <v>30</v>
      </c>
      <c r="C7" s="14">
        <v>64</v>
      </c>
      <c r="D7" s="15">
        <v>78</v>
      </c>
      <c r="E7" s="23">
        <f t="shared" ref="E7:E9" si="1">C7/D7</f>
        <v>0.82051282051282048</v>
      </c>
      <c r="F7" s="16">
        <v>52</v>
      </c>
      <c r="G7" s="17">
        <v>71</v>
      </c>
      <c r="H7" s="23">
        <f t="shared" ref="H7:H9" si="2">F7/G7</f>
        <v>0.73239436619718312</v>
      </c>
      <c r="I7" s="14">
        <v>39</v>
      </c>
      <c r="J7" s="17">
        <v>63</v>
      </c>
      <c r="K7" s="24">
        <f t="shared" ref="K7:K9" si="3">I7/J7</f>
        <v>0.61904761904761907</v>
      </c>
      <c r="M7" s="1">
        <f>B7</f>
        <v>30</v>
      </c>
      <c r="N7" s="1">
        <f t="shared" ref="N7:N9" si="4">IF($N$4="Holandês",VLOOKUP(M7,$B$6:$K$9,2,FALSE),IF($N$4="Girolando",VLOOKUP(M7,$B$6:$K$9,5,FALSE),IF($N$4="Jersey",VLOOKUP(M7,$B$6:$K$9,8,FALSE))))*$N$2</f>
        <v>0</v>
      </c>
      <c r="O7" s="1">
        <f t="shared" ref="O7:O9" si="5">IF($N$4="Holandês",VLOOKUP(M7,$B$6:$K$9,2,FALSE),IF($N$4="Girolando",VLOOKUP(M7,$B$6:$K$9,5,FALSE),IF($N$4="Jersey",VLOOKUP(M7,$B$6:$K$9,8,FALSE))))*$O$2</f>
        <v>0</v>
      </c>
      <c r="P7" s="1">
        <f t="shared" ref="P7:P9" si="6">IF($N$4="Holandês",VLOOKUP(M7,$B$6:$K$9,3,FALSE),IF($N$4="Girolando",VLOOKUP(M7,$B$6:$K$9,6,FALSE),IF($N$4="Jersey",VLOOKUP(M7,$B$6:$K$9,9,FALSE))))*$P$2</f>
        <v>0</v>
      </c>
      <c r="Q7" s="1">
        <f t="shared" ref="Q7:Q9" si="7">IF($N$4="Holandês",VLOOKUP(M7,$B$6:$K$9,3,FALSE),IF($N$4="Girolando",VLOOKUP(M7,$B$6:$K$9,6,FALSE),IF($N$4="Jersey",VLOOKUP(M7,$B$6:$K$9,9,FALSE))))*$Q$2</f>
        <v>0</v>
      </c>
      <c r="R7" s="35" t="e">
        <f t="shared" si="0"/>
        <v>#DIV/0!</v>
      </c>
      <c r="S7" s="35" t="e">
        <f t="shared" si="0"/>
        <v>#DIV/0!</v>
      </c>
    </row>
    <row r="8" spans="2:19" ht="16" x14ac:dyDescent="0.2">
      <c r="B8" s="18">
        <v>60</v>
      </c>
      <c r="C8" s="19">
        <v>86</v>
      </c>
      <c r="D8" s="20">
        <v>85</v>
      </c>
      <c r="E8" s="23">
        <f t="shared" si="1"/>
        <v>1.0117647058823529</v>
      </c>
      <c r="F8" s="21">
        <v>69</v>
      </c>
      <c r="G8" s="22">
        <v>77</v>
      </c>
      <c r="H8" s="23">
        <f t="shared" si="2"/>
        <v>0.89610389610389607</v>
      </c>
      <c r="I8" s="19">
        <v>52</v>
      </c>
      <c r="J8" s="22">
        <v>69</v>
      </c>
      <c r="K8" s="24">
        <f t="shared" si="3"/>
        <v>0.75362318840579712</v>
      </c>
      <c r="M8" s="1">
        <f>B8</f>
        <v>60</v>
      </c>
      <c r="N8" s="1">
        <f t="shared" si="4"/>
        <v>0</v>
      </c>
      <c r="O8" s="1">
        <f t="shared" si="5"/>
        <v>0</v>
      </c>
      <c r="P8" s="1">
        <f t="shared" si="6"/>
        <v>0</v>
      </c>
      <c r="Q8" s="1">
        <f t="shared" si="7"/>
        <v>0</v>
      </c>
      <c r="R8" s="35" t="e">
        <f t="shared" si="0"/>
        <v>#DIV/0!</v>
      </c>
      <c r="S8" s="35" t="e">
        <f t="shared" si="0"/>
        <v>#DIV/0!</v>
      </c>
    </row>
    <row r="9" spans="2:19" ht="17" thickBot="1" x14ac:dyDescent="0.25">
      <c r="B9" s="28">
        <v>90</v>
      </c>
      <c r="C9" s="29">
        <v>104</v>
      </c>
      <c r="D9" s="30">
        <v>90</v>
      </c>
      <c r="E9" s="31">
        <f t="shared" si="1"/>
        <v>1.1555555555555554</v>
      </c>
      <c r="F9" s="32">
        <v>85</v>
      </c>
      <c r="G9" s="33">
        <v>82</v>
      </c>
      <c r="H9" s="31">
        <f t="shared" si="2"/>
        <v>1.0365853658536586</v>
      </c>
      <c r="I9" s="29">
        <v>66</v>
      </c>
      <c r="J9" s="33">
        <v>73</v>
      </c>
      <c r="K9" s="34">
        <f t="shared" si="3"/>
        <v>0.90410958904109584</v>
      </c>
      <c r="M9" s="1">
        <f>B9</f>
        <v>90</v>
      </c>
      <c r="N9" s="1">
        <f t="shared" si="4"/>
        <v>0</v>
      </c>
      <c r="O9" s="1">
        <f t="shared" si="5"/>
        <v>0</v>
      </c>
      <c r="P9" s="1">
        <f t="shared" si="6"/>
        <v>0</v>
      </c>
      <c r="Q9" s="1">
        <f t="shared" si="7"/>
        <v>0</v>
      </c>
      <c r="R9" s="35" t="e">
        <f t="shared" si="0"/>
        <v>#DIV/0!</v>
      </c>
      <c r="S9" s="35" t="e">
        <f t="shared" si="0"/>
        <v>#DIV/0!</v>
      </c>
    </row>
    <row r="10" spans="2:19" ht="16" x14ac:dyDescent="0.2">
      <c r="B10" s="25"/>
      <c r="C10" s="25"/>
      <c r="D10" s="25"/>
      <c r="E10" s="23"/>
      <c r="F10" s="25"/>
      <c r="G10" s="25"/>
      <c r="H10" s="23"/>
      <c r="I10" s="25"/>
      <c r="J10" s="25"/>
      <c r="K10" s="23"/>
    </row>
    <row r="11" spans="2:19" ht="16" x14ac:dyDescent="0.2">
      <c r="B11" s="25"/>
      <c r="C11" s="25"/>
      <c r="D11" s="25"/>
      <c r="E11" s="23"/>
      <c r="F11" s="25"/>
      <c r="G11" s="25"/>
      <c r="H11" s="23"/>
      <c r="I11" s="25"/>
      <c r="J11" s="25"/>
      <c r="K11" s="23"/>
    </row>
    <row r="12" spans="2:19" ht="16" x14ac:dyDescent="0.2">
      <c r="B12" s="25"/>
      <c r="C12" s="25"/>
      <c r="D12" s="25"/>
      <c r="E12" s="23"/>
      <c r="F12" s="25"/>
      <c r="G12" s="25"/>
      <c r="H12" s="23"/>
      <c r="I12" s="25"/>
      <c r="J12" s="25"/>
      <c r="K12" s="23"/>
    </row>
    <row r="13" spans="2:19" ht="16" x14ac:dyDescent="0.2">
      <c r="B13" s="25"/>
      <c r="C13" s="25"/>
      <c r="D13" s="25"/>
      <c r="E13" s="23"/>
      <c r="F13" s="25"/>
      <c r="G13" s="25"/>
      <c r="H13" s="23"/>
      <c r="I13" s="25"/>
      <c r="J13" s="25"/>
      <c r="K13" s="23"/>
    </row>
    <row r="14" spans="2:19" ht="16" x14ac:dyDescent="0.2">
      <c r="B14" s="25"/>
      <c r="C14" s="25"/>
      <c r="D14" s="25"/>
      <c r="E14" s="23"/>
      <c r="F14" s="25"/>
      <c r="G14" s="25"/>
      <c r="H14" s="23"/>
      <c r="I14" s="25"/>
      <c r="J14" s="25"/>
      <c r="K14" s="23"/>
    </row>
    <row r="15" spans="2:19" ht="16" x14ac:dyDescent="0.2">
      <c r="B15" s="25"/>
      <c r="C15" s="25"/>
      <c r="D15" s="25"/>
      <c r="E15" s="23"/>
      <c r="F15" s="25"/>
      <c r="G15" s="25"/>
      <c r="H15" s="23"/>
      <c r="I15" s="25"/>
      <c r="J15" s="25"/>
      <c r="K15" s="23"/>
    </row>
    <row r="16" spans="2:19" ht="16" x14ac:dyDescent="0.2">
      <c r="B16" s="25"/>
      <c r="C16" s="25"/>
      <c r="D16" s="25"/>
      <c r="E16" s="23"/>
      <c r="F16" s="25"/>
      <c r="G16" s="25"/>
      <c r="H16" s="23"/>
      <c r="I16" s="25"/>
      <c r="J16" s="25"/>
      <c r="K16" s="23"/>
    </row>
    <row r="17" spans="2:11" ht="16" x14ac:dyDescent="0.2">
      <c r="B17" s="25"/>
      <c r="C17" s="25"/>
      <c r="D17" s="25"/>
      <c r="E17" s="23"/>
      <c r="F17" s="25"/>
      <c r="G17" s="25"/>
      <c r="H17" s="23"/>
      <c r="I17" s="25"/>
      <c r="J17" s="25"/>
      <c r="K17" s="23"/>
    </row>
    <row r="18" spans="2:11" ht="16" x14ac:dyDescent="0.2">
      <c r="B18" s="25"/>
      <c r="C18" s="25"/>
      <c r="D18" s="25"/>
      <c r="E18" s="23"/>
      <c r="F18" s="25"/>
      <c r="G18" s="25"/>
      <c r="H18" s="23"/>
      <c r="I18" s="25"/>
      <c r="J18" s="25"/>
      <c r="K18" s="23"/>
    </row>
    <row r="19" spans="2:11" ht="16" x14ac:dyDescent="0.2">
      <c r="B19" s="26"/>
      <c r="C19" s="26"/>
      <c r="D19" s="26"/>
      <c r="E19" s="23"/>
      <c r="F19" s="26"/>
      <c r="G19" s="26"/>
      <c r="H19" s="23"/>
      <c r="I19" s="26"/>
      <c r="J19" s="26"/>
      <c r="K19" s="23"/>
    </row>
    <row r="20" spans="2:11" ht="16" x14ac:dyDescent="0.2">
      <c r="B20" s="25"/>
      <c r="C20" s="25"/>
      <c r="D20" s="25"/>
      <c r="E20" s="23"/>
      <c r="F20" s="25"/>
      <c r="G20" s="25"/>
      <c r="H20" s="23"/>
      <c r="I20" s="25"/>
      <c r="J20" s="25"/>
      <c r="K20" s="23"/>
    </row>
    <row r="21" spans="2:11" ht="16" x14ac:dyDescent="0.2">
      <c r="B21" s="26"/>
      <c r="C21" s="26"/>
      <c r="D21" s="26"/>
      <c r="E21" s="23"/>
      <c r="F21" s="26"/>
      <c r="G21" s="26"/>
      <c r="H21" s="23"/>
      <c r="I21" s="26"/>
      <c r="J21" s="26"/>
      <c r="K21" s="23"/>
    </row>
    <row r="22" spans="2:11" ht="16" x14ac:dyDescent="0.2">
      <c r="B22" s="25"/>
      <c r="C22" s="25"/>
      <c r="D22" s="25"/>
      <c r="E22" s="23"/>
      <c r="F22" s="25"/>
      <c r="G22" s="25"/>
      <c r="H22" s="23"/>
      <c r="I22" s="25"/>
      <c r="J22" s="25"/>
      <c r="K22" s="23"/>
    </row>
    <row r="23" spans="2:11" ht="16" x14ac:dyDescent="0.2">
      <c r="B23" s="25"/>
      <c r="C23" s="25"/>
      <c r="D23" s="25"/>
      <c r="E23" s="23"/>
      <c r="F23" s="25"/>
      <c r="G23" s="25"/>
      <c r="H23" s="23"/>
      <c r="I23" s="25"/>
      <c r="J23" s="25"/>
      <c r="K23" s="23"/>
    </row>
    <row r="24" spans="2:11" ht="16" x14ac:dyDescent="0.2">
      <c r="B24" s="25"/>
      <c r="C24" s="25"/>
      <c r="D24" s="25"/>
      <c r="E24" s="23"/>
      <c r="F24" s="25"/>
      <c r="G24" s="25"/>
      <c r="H24" s="23"/>
      <c r="I24" s="25"/>
      <c r="J24" s="25"/>
      <c r="K24" s="23"/>
    </row>
    <row r="25" spans="2:11" ht="16" x14ac:dyDescent="0.2">
      <c r="B25" s="25"/>
      <c r="C25" s="25"/>
      <c r="D25" s="25"/>
      <c r="E25" s="23"/>
      <c r="F25" s="25"/>
      <c r="G25" s="25"/>
      <c r="H25" s="23"/>
      <c r="I25" s="25"/>
      <c r="J25" s="25"/>
      <c r="K25" s="23"/>
    </row>
    <row r="26" spans="2:11" ht="16" x14ac:dyDescent="0.2">
      <c r="B26" s="25"/>
      <c r="C26" s="25"/>
      <c r="D26" s="25"/>
      <c r="E26" s="23"/>
      <c r="F26" s="25"/>
      <c r="G26" s="25"/>
      <c r="H26" s="23"/>
      <c r="I26" s="25"/>
      <c r="J26" s="25"/>
      <c r="K26" s="23"/>
    </row>
    <row r="27" spans="2:11" ht="16" x14ac:dyDescent="0.2">
      <c r="B27" s="25"/>
      <c r="C27" s="25"/>
      <c r="D27" s="25"/>
      <c r="E27" s="23"/>
      <c r="F27" s="25"/>
      <c r="G27" s="25"/>
      <c r="H27" s="23"/>
      <c r="I27" s="25"/>
      <c r="J27" s="25"/>
      <c r="K27" s="23"/>
    </row>
    <row r="28" spans="2:11" ht="16" x14ac:dyDescent="0.2">
      <c r="B28" s="25"/>
      <c r="C28" s="25"/>
      <c r="D28" s="25"/>
      <c r="E28" s="23"/>
      <c r="F28" s="25"/>
      <c r="G28" s="25"/>
      <c r="H28" s="23"/>
      <c r="I28" s="25"/>
      <c r="J28" s="25"/>
      <c r="K28" s="23"/>
    </row>
    <row r="29" spans="2:11" ht="16" x14ac:dyDescent="0.2">
      <c r="B29" s="25"/>
      <c r="C29" s="25"/>
      <c r="D29" s="25"/>
      <c r="E29" s="23"/>
      <c r="F29" s="25"/>
      <c r="G29" s="25"/>
      <c r="H29" s="23"/>
      <c r="I29" s="25"/>
      <c r="J29" s="25"/>
      <c r="K29" s="23"/>
    </row>
    <row r="30" spans="2:11" ht="16" x14ac:dyDescent="0.2">
      <c r="B30" s="25"/>
      <c r="C30" s="25"/>
      <c r="D30" s="25"/>
      <c r="E30" s="23"/>
      <c r="F30" s="25"/>
      <c r="G30" s="25"/>
      <c r="H30" s="23"/>
      <c r="I30" s="25"/>
      <c r="J30" s="25"/>
      <c r="K30" s="23"/>
    </row>
    <row r="31" spans="2:11" ht="19" x14ac:dyDescent="0.2">
      <c r="B31" s="26"/>
      <c r="C31" s="102"/>
      <c r="D31" s="102"/>
      <c r="E31" s="27"/>
      <c r="F31" s="102"/>
      <c r="G31" s="102"/>
      <c r="H31" s="27"/>
      <c r="I31" s="102"/>
      <c r="J31" s="102"/>
    </row>
  </sheetData>
  <mergeCells count="10">
    <mergeCell ref="N1:O1"/>
    <mergeCell ref="P1:Q1"/>
    <mergeCell ref="C31:D31"/>
    <mergeCell ref="F31:G31"/>
    <mergeCell ref="I31:J31"/>
    <mergeCell ref="N4:P4"/>
    <mergeCell ref="B3:K3"/>
    <mergeCell ref="C4:E4"/>
    <mergeCell ref="F4:H4"/>
    <mergeCell ref="I4:K4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5">
    <pageSetUpPr fitToPage="1"/>
  </sheetPr>
  <dimension ref="B2:F12"/>
  <sheetViews>
    <sheetView topLeftCell="A3" workbookViewId="0">
      <selection activeCell="B5" sqref="B5"/>
    </sheetView>
  </sheetViews>
  <sheetFormatPr baseColWidth="10" defaultColWidth="8.83203125" defaultRowHeight="15" x14ac:dyDescent="0.2"/>
  <cols>
    <col min="1" max="1" width="3" customWidth="1"/>
    <col min="2" max="2" width="30.33203125" customWidth="1"/>
    <col min="3" max="3" width="20.5" bestFit="1" customWidth="1"/>
    <col min="4" max="4" width="23.1640625" customWidth="1"/>
    <col min="5" max="5" width="39.5" customWidth="1"/>
    <col min="6" max="6" width="29.5" customWidth="1"/>
  </cols>
  <sheetData>
    <row r="2" spans="2:6" ht="72" customHeight="1" x14ac:dyDescent="0.2">
      <c r="B2" s="111" t="s">
        <v>45</v>
      </c>
      <c r="C2" s="112"/>
      <c r="D2" s="112"/>
      <c r="E2" s="112"/>
      <c r="F2" s="113"/>
    </row>
    <row r="3" spans="2:6" x14ac:dyDescent="0.2">
      <c r="B3" s="41" t="s">
        <v>46</v>
      </c>
      <c r="C3" s="41" t="s">
        <v>47</v>
      </c>
      <c r="D3" s="41" t="s">
        <v>48</v>
      </c>
      <c r="E3" s="41" t="s">
        <v>49</v>
      </c>
      <c r="F3" s="41" t="s">
        <v>50</v>
      </c>
    </row>
    <row r="4" spans="2:6" ht="32.25" customHeight="1" x14ac:dyDescent="0.2">
      <c r="B4" s="42" t="s">
        <v>77</v>
      </c>
      <c r="C4" s="42" t="s">
        <v>51</v>
      </c>
      <c r="D4" s="43" t="s">
        <v>52</v>
      </c>
      <c r="E4" s="43" t="s">
        <v>53</v>
      </c>
      <c r="F4" s="42"/>
    </row>
    <row r="5" spans="2:6" ht="30" x14ac:dyDescent="0.2">
      <c r="B5" s="43" t="e">
        <f>#REF!</f>
        <v>#REF!</v>
      </c>
      <c r="C5" s="43" t="s">
        <v>54</v>
      </c>
      <c r="D5" s="43" t="s">
        <v>52</v>
      </c>
      <c r="E5" s="43" t="s">
        <v>55</v>
      </c>
      <c r="F5" s="43" t="s">
        <v>56</v>
      </c>
    </row>
    <row r="6" spans="2:6" ht="30" x14ac:dyDescent="0.2">
      <c r="B6" s="43" t="s">
        <v>78</v>
      </c>
      <c r="C6" s="43" t="s">
        <v>44</v>
      </c>
      <c r="D6" s="43" t="s">
        <v>57</v>
      </c>
      <c r="E6" s="43" t="s">
        <v>58</v>
      </c>
      <c r="F6" s="43" t="s">
        <v>59</v>
      </c>
    </row>
    <row r="7" spans="2:6" ht="30" x14ac:dyDescent="0.2">
      <c r="B7" s="43" t="s">
        <v>79</v>
      </c>
      <c r="C7" s="43" t="s">
        <v>44</v>
      </c>
      <c r="D7" s="43" t="s">
        <v>60</v>
      </c>
      <c r="E7" s="43" t="s">
        <v>61</v>
      </c>
      <c r="F7" s="43" t="s">
        <v>62</v>
      </c>
    </row>
    <row r="8" spans="2:6" ht="60" x14ac:dyDescent="0.2">
      <c r="B8" s="43" t="s">
        <v>80</v>
      </c>
      <c r="C8" s="43" t="s">
        <v>63</v>
      </c>
      <c r="D8" s="43" t="s">
        <v>64</v>
      </c>
      <c r="E8" s="43" t="s">
        <v>65</v>
      </c>
      <c r="F8" s="43" t="s">
        <v>66</v>
      </c>
    </row>
    <row r="9" spans="2:6" ht="45" x14ac:dyDescent="0.2">
      <c r="B9" s="43" t="s">
        <v>81</v>
      </c>
      <c r="C9" s="43" t="s">
        <v>67</v>
      </c>
      <c r="D9" s="43" t="s">
        <v>68</v>
      </c>
      <c r="E9" s="43" t="s">
        <v>69</v>
      </c>
      <c r="F9" s="43" t="s">
        <v>70</v>
      </c>
    </row>
    <row r="10" spans="2:6" x14ac:dyDescent="0.2">
      <c r="B10" s="44" t="s">
        <v>28</v>
      </c>
      <c r="C10" s="114" t="s">
        <v>71</v>
      </c>
      <c r="D10" s="114"/>
      <c r="E10" s="45"/>
      <c r="F10" s="46"/>
    </row>
    <row r="11" spans="2:6" x14ac:dyDescent="0.2">
      <c r="B11" s="47" t="s">
        <v>27</v>
      </c>
      <c r="C11" s="115" t="s">
        <v>72</v>
      </c>
      <c r="D11" s="115"/>
      <c r="E11" s="48"/>
      <c r="F11" s="49"/>
    </row>
    <row r="12" spans="2:6" x14ac:dyDescent="0.2">
      <c r="B12" s="50" t="s">
        <v>73</v>
      </c>
      <c r="C12" s="116" t="s">
        <v>74</v>
      </c>
      <c r="D12" s="116"/>
      <c r="E12" s="51" t="s">
        <v>75</v>
      </c>
      <c r="F12" s="52" t="s">
        <v>76</v>
      </c>
    </row>
  </sheetData>
  <mergeCells count="4">
    <mergeCell ref="B2:F2"/>
    <mergeCell ref="C10:D10"/>
    <mergeCell ref="C11:D11"/>
    <mergeCell ref="C12:D12"/>
  </mergeCells>
  <pageMargins left="0.511811024" right="0.511811024" top="0.78740157499999996" bottom="0.78740157499999996" header="0.31496062000000002" footer="0.31496062000000002"/>
  <pageSetup paperSize="9" scale="93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6"/>
  <dimension ref="A1:G37"/>
  <sheetViews>
    <sheetView zoomScaleNormal="100" workbookViewId="0">
      <selection activeCell="I27" sqref="I27"/>
    </sheetView>
  </sheetViews>
  <sheetFormatPr baseColWidth="10" defaultColWidth="12.5" defaultRowHeight="15" x14ac:dyDescent="0.2"/>
  <cols>
    <col min="1" max="1" width="5.6640625" style="436" customWidth="1"/>
    <col min="2" max="2" width="26.83203125" style="436" customWidth="1"/>
    <col min="3" max="6" width="12.5" style="436"/>
    <col min="7" max="7" width="14.33203125" style="436" bestFit="1" customWidth="1"/>
    <col min="8" max="8" width="12.5" style="436"/>
    <col min="9" max="9" width="21.33203125" style="436" customWidth="1"/>
    <col min="10" max="16384" width="12.5" style="436"/>
  </cols>
  <sheetData>
    <row r="1" spans="1:7" x14ac:dyDescent="0.2">
      <c r="C1" s="437" t="s">
        <v>102</v>
      </c>
      <c r="D1" s="437" t="s">
        <v>35</v>
      </c>
      <c r="E1" s="437" t="s">
        <v>38</v>
      </c>
      <c r="F1" s="437" t="s">
        <v>39</v>
      </c>
      <c r="G1" s="437" t="s">
        <v>192</v>
      </c>
    </row>
    <row r="2" spans="1:7" x14ac:dyDescent="0.2">
      <c r="A2" s="436">
        <v>1</v>
      </c>
      <c r="G2" s="438" t="s">
        <v>7</v>
      </c>
    </row>
    <row r="3" spans="1:7" x14ac:dyDescent="0.2">
      <c r="A3" s="436">
        <v>2</v>
      </c>
      <c r="B3" s="438" t="s">
        <v>34</v>
      </c>
      <c r="C3" s="439">
        <v>0.125</v>
      </c>
      <c r="D3" s="440">
        <v>3.2000000000000001E-2</v>
      </c>
      <c r="E3" s="440">
        <v>3.7999999999999999E-2</v>
      </c>
      <c r="F3" s="440">
        <v>4.4999999999999998E-2</v>
      </c>
      <c r="G3" s="438" t="s">
        <v>7</v>
      </c>
    </row>
    <row r="4" spans="1:7" x14ac:dyDescent="0.2">
      <c r="A4" s="436">
        <v>3</v>
      </c>
      <c r="B4" s="438" t="s">
        <v>33</v>
      </c>
      <c r="C4" s="439">
        <v>0.1</v>
      </c>
      <c r="D4" s="440">
        <v>2.8000000000000001E-2</v>
      </c>
      <c r="E4" s="440">
        <v>3.7999999999999999E-2</v>
      </c>
      <c r="F4" s="440">
        <v>3.5000000000000003E-2</v>
      </c>
      <c r="G4" s="436" t="s">
        <v>41</v>
      </c>
    </row>
    <row r="5" spans="1:7" x14ac:dyDescent="0.2">
      <c r="B5" s="436" t="s">
        <v>26</v>
      </c>
      <c r="D5" s="441">
        <v>0.22</v>
      </c>
      <c r="E5" s="441">
        <v>0.2</v>
      </c>
      <c r="F5" s="441">
        <v>0.43</v>
      </c>
      <c r="G5" s="436" t="s">
        <v>41</v>
      </c>
    </row>
    <row r="6" spans="1:7" x14ac:dyDescent="0.2">
      <c r="B6" s="436" t="s">
        <v>25</v>
      </c>
      <c r="D6" s="441">
        <v>0.21</v>
      </c>
      <c r="E6" s="441">
        <v>0.15</v>
      </c>
      <c r="F6" s="441">
        <v>0.27</v>
      </c>
      <c r="G6" s="436" t="s">
        <v>41</v>
      </c>
    </row>
    <row r="7" spans="1:7" x14ac:dyDescent="0.2">
      <c r="B7" s="436" t="s">
        <v>24</v>
      </c>
      <c r="D7" s="441">
        <v>0.2</v>
      </c>
      <c r="E7" s="441">
        <v>0.14000000000000001</v>
      </c>
      <c r="F7" s="441">
        <v>0.16</v>
      </c>
      <c r="G7" s="438" t="s">
        <v>41</v>
      </c>
    </row>
    <row r="8" spans="1:7" x14ac:dyDescent="0.2">
      <c r="B8" s="442" t="s">
        <v>96</v>
      </c>
      <c r="C8" s="442"/>
      <c r="D8" s="443">
        <v>0.21</v>
      </c>
      <c r="E8" s="443">
        <v>0.15</v>
      </c>
      <c r="F8" s="443">
        <v>0.27</v>
      </c>
      <c r="G8" s="438"/>
    </row>
    <row r="9" spans="1:7" x14ac:dyDescent="0.2">
      <c r="G9" s="436">
        <v>2.87</v>
      </c>
    </row>
    <row r="10" spans="1:7" x14ac:dyDescent="0.2">
      <c r="B10" s="436" t="s">
        <v>42</v>
      </c>
      <c r="C10" s="436">
        <v>88</v>
      </c>
      <c r="D10" s="444">
        <v>21</v>
      </c>
      <c r="E10" s="441">
        <v>0.04</v>
      </c>
      <c r="F10" s="441">
        <f>1.5%</f>
        <v>1.4999999999999999E-2</v>
      </c>
      <c r="G10" s="438" t="s">
        <v>105</v>
      </c>
    </row>
    <row r="11" spans="1:7" x14ac:dyDescent="0.2">
      <c r="B11" s="438" t="s">
        <v>40</v>
      </c>
      <c r="C11" s="438">
        <v>88</v>
      </c>
      <c r="D11" s="443">
        <v>0.18</v>
      </c>
      <c r="E11" s="443">
        <v>0.03</v>
      </c>
      <c r="F11" s="443">
        <v>0</v>
      </c>
      <c r="G11" s="438"/>
    </row>
    <row r="12" spans="1:7" x14ac:dyDescent="0.2">
      <c r="B12" s="438"/>
      <c r="C12" s="438"/>
      <c r="D12" s="443"/>
      <c r="E12" s="443"/>
      <c r="F12" s="443"/>
      <c r="G12" s="438" t="s">
        <v>104</v>
      </c>
    </row>
    <row r="13" spans="1:7" x14ac:dyDescent="0.2">
      <c r="B13" s="438" t="s">
        <v>103</v>
      </c>
      <c r="C13" s="439">
        <v>0.33</v>
      </c>
      <c r="D13" s="443">
        <v>0.09</v>
      </c>
      <c r="E13" s="443">
        <v>3.5000000000000003E-2</v>
      </c>
      <c r="F13" s="443"/>
      <c r="G13" s="438" t="s">
        <v>104</v>
      </c>
    </row>
    <row r="14" spans="1:7" x14ac:dyDescent="0.2">
      <c r="B14" s="438" t="s">
        <v>106</v>
      </c>
      <c r="C14" s="439"/>
      <c r="D14" s="443"/>
      <c r="E14" s="443"/>
      <c r="F14" s="443"/>
      <c r="G14" s="438"/>
    </row>
    <row r="16" spans="1:7" ht="19" customHeight="1" x14ac:dyDescent="0.2">
      <c r="B16" s="445"/>
      <c r="C16" s="446" t="s">
        <v>114</v>
      </c>
      <c r="D16" s="446" t="s">
        <v>115</v>
      </c>
      <c r="E16" s="446" t="s">
        <v>116</v>
      </c>
      <c r="F16" s="446" t="s">
        <v>117</v>
      </c>
    </row>
    <row r="17" spans="1:6" x14ac:dyDescent="0.2">
      <c r="A17" s="436">
        <v>1</v>
      </c>
      <c r="B17" s="447" t="s">
        <v>118</v>
      </c>
      <c r="C17" s="447" t="s">
        <v>101</v>
      </c>
      <c r="D17" s="448">
        <v>22</v>
      </c>
      <c r="E17" s="448">
        <v>20</v>
      </c>
      <c r="F17" s="448">
        <v>42</v>
      </c>
    </row>
    <row r="18" spans="1:6" x14ac:dyDescent="0.2">
      <c r="A18" s="436">
        <v>2</v>
      </c>
      <c r="B18" s="447" t="s">
        <v>119</v>
      </c>
      <c r="C18" s="447" t="s">
        <v>101</v>
      </c>
      <c r="D18" s="448">
        <v>19.600000000000001</v>
      </c>
      <c r="E18" s="448">
        <v>15.6</v>
      </c>
      <c r="F18" s="448">
        <v>40</v>
      </c>
    </row>
    <row r="19" spans="1:6" x14ac:dyDescent="0.2">
      <c r="A19" s="436">
        <v>3</v>
      </c>
      <c r="B19" s="447" t="s">
        <v>25</v>
      </c>
      <c r="C19" s="447" t="s">
        <v>101</v>
      </c>
      <c r="D19" s="448">
        <v>19</v>
      </c>
      <c r="E19" s="448">
        <v>16</v>
      </c>
      <c r="F19" s="448">
        <v>29</v>
      </c>
    </row>
    <row r="20" spans="1:6" x14ac:dyDescent="0.2">
      <c r="A20" s="436">
        <v>4</v>
      </c>
      <c r="B20" s="447" t="s">
        <v>24</v>
      </c>
      <c r="C20" s="447" t="s">
        <v>101</v>
      </c>
      <c r="D20" s="448">
        <v>20</v>
      </c>
      <c r="E20" s="448">
        <v>13.5</v>
      </c>
      <c r="F20" s="448">
        <v>12</v>
      </c>
    </row>
    <row r="21" spans="1:6" x14ac:dyDescent="0.2">
      <c r="A21" s="436">
        <v>1</v>
      </c>
    </row>
    <row r="22" spans="1:6" x14ac:dyDescent="0.2">
      <c r="A22" s="436">
        <v>2</v>
      </c>
      <c r="B22" s="447" t="s">
        <v>126</v>
      </c>
      <c r="C22" s="447" t="s">
        <v>127</v>
      </c>
      <c r="D22" s="448">
        <v>21</v>
      </c>
      <c r="E22" s="448">
        <v>15</v>
      </c>
      <c r="F22" s="448">
        <v>42</v>
      </c>
    </row>
    <row r="23" spans="1:6" x14ac:dyDescent="0.2">
      <c r="A23" s="436">
        <v>3</v>
      </c>
      <c r="B23" s="447" t="s">
        <v>124</v>
      </c>
      <c r="C23" s="447" t="s">
        <v>125</v>
      </c>
      <c r="D23" s="448">
        <v>20</v>
      </c>
      <c r="E23" s="448">
        <v>16</v>
      </c>
      <c r="F23" s="448">
        <v>40</v>
      </c>
    </row>
    <row r="24" spans="1:6" x14ac:dyDescent="0.2">
      <c r="A24" s="436">
        <v>4</v>
      </c>
      <c r="B24" s="447" t="s">
        <v>141</v>
      </c>
      <c r="C24" s="447" t="s">
        <v>141</v>
      </c>
      <c r="D24" s="448">
        <v>20</v>
      </c>
      <c r="E24" s="448">
        <v>10</v>
      </c>
      <c r="F24" s="448">
        <v>40</v>
      </c>
    </row>
    <row r="25" spans="1:6" x14ac:dyDescent="0.2">
      <c r="A25" s="436">
        <v>5</v>
      </c>
      <c r="B25" s="447" t="s">
        <v>131</v>
      </c>
      <c r="C25" s="447" t="s">
        <v>132</v>
      </c>
      <c r="D25" s="448">
        <v>20</v>
      </c>
      <c r="E25" s="448">
        <v>10</v>
      </c>
      <c r="F25" s="448">
        <v>26</v>
      </c>
    </row>
    <row r="26" spans="1:6" x14ac:dyDescent="0.2">
      <c r="A26" s="436">
        <v>1</v>
      </c>
      <c r="B26" s="447" t="s">
        <v>130</v>
      </c>
      <c r="C26" s="447" t="s">
        <v>129</v>
      </c>
      <c r="D26" s="448">
        <v>20</v>
      </c>
      <c r="E26" s="448">
        <v>15</v>
      </c>
      <c r="F26" s="448">
        <v>46</v>
      </c>
    </row>
    <row r="27" spans="1:6" x14ac:dyDescent="0.2">
      <c r="A27" s="436">
        <v>2</v>
      </c>
      <c r="B27" s="447" t="s">
        <v>128</v>
      </c>
      <c r="C27" s="447" t="s">
        <v>129</v>
      </c>
      <c r="D27" s="448">
        <v>22</v>
      </c>
      <c r="E27" s="448">
        <v>17</v>
      </c>
      <c r="F27" s="448">
        <v>44</v>
      </c>
    </row>
    <row r="28" spans="1:6" x14ac:dyDescent="0.2">
      <c r="A28" s="436">
        <v>3</v>
      </c>
      <c r="B28" s="447" t="s">
        <v>118</v>
      </c>
      <c r="C28" s="447" t="s">
        <v>101</v>
      </c>
      <c r="D28" s="448">
        <v>22</v>
      </c>
      <c r="E28" s="448">
        <v>20</v>
      </c>
      <c r="F28" s="448">
        <v>42</v>
      </c>
    </row>
    <row r="29" spans="1:6" x14ac:dyDescent="0.2">
      <c r="A29" s="436">
        <v>9</v>
      </c>
      <c r="B29" s="447" t="s">
        <v>138</v>
      </c>
      <c r="C29" s="447" t="s">
        <v>139</v>
      </c>
      <c r="D29" s="448">
        <v>22.5</v>
      </c>
      <c r="E29" s="449">
        <v>18</v>
      </c>
      <c r="F29" s="448">
        <v>42</v>
      </c>
    </row>
    <row r="30" spans="1:6" x14ac:dyDescent="0.2">
      <c r="A30" s="436">
        <v>10</v>
      </c>
      <c r="B30" s="447" t="s">
        <v>140</v>
      </c>
      <c r="C30" s="447" t="s">
        <v>139</v>
      </c>
      <c r="D30" s="448">
        <v>21</v>
      </c>
      <c r="E30" s="448">
        <v>13</v>
      </c>
      <c r="F30" s="448">
        <v>47</v>
      </c>
    </row>
    <row r="31" spans="1:6" x14ac:dyDescent="0.2">
      <c r="A31" s="436">
        <v>11</v>
      </c>
      <c r="B31" s="447" t="s">
        <v>123</v>
      </c>
      <c r="C31" s="447" t="s">
        <v>121</v>
      </c>
      <c r="D31" s="448">
        <v>20</v>
      </c>
      <c r="E31" s="448">
        <v>10</v>
      </c>
      <c r="F31" s="448">
        <v>20</v>
      </c>
    </row>
    <row r="32" spans="1:6" x14ac:dyDescent="0.2">
      <c r="A32" s="436">
        <v>12</v>
      </c>
      <c r="B32" s="447" t="s">
        <v>120</v>
      </c>
      <c r="C32" s="447" t="s">
        <v>121</v>
      </c>
      <c r="D32" s="448">
        <v>20</v>
      </c>
      <c r="E32" s="448">
        <v>15</v>
      </c>
      <c r="F32" s="448">
        <v>48</v>
      </c>
    </row>
    <row r="33" spans="1:6" x14ac:dyDescent="0.2">
      <c r="A33" s="436">
        <v>13</v>
      </c>
      <c r="B33" s="447" t="s">
        <v>122</v>
      </c>
      <c r="C33" s="447" t="s">
        <v>121</v>
      </c>
      <c r="D33" s="448">
        <v>22</v>
      </c>
      <c r="E33" s="448">
        <v>18</v>
      </c>
      <c r="F33" s="448">
        <v>38</v>
      </c>
    </row>
    <row r="34" spans="1:6" x14ac:dyDescent="0.2">
      <c r="A34" s="436">
        <v>14</v>
      </c>
      <c r="B34" s="447" t="s">
        <v>133</v>
      </c>
      <c r="C34" s="447" t="s">
        <v>134</v>
      </c>
      <c r="D34" s="448">
        <v>22</v>
      </c>
      <c r="E34" s="448">
        <v>10</v>
      </c>
      <c r="F34" s="448">
        <v>13</v>
      </c>
    </row>
    <row r="35" spans="1:6" x14ac:dyDescent="0.2">
      <c r="A35" s="436">
        <v>15</v>
      </c>
      <c r="B35" s="447" t="s">
        <v>135</v>
      </c>
      <c r="C35" s="447" t="s">
        <v>136</v>
      </c>
      <c r="D35" s="448">
        <v>22</v>
      </c>
      <c r="E35" s="448">
        <v>19</v>
      </c>
      <c r="F35" s="448">
        <v>44</v>
      </c>
    </row>
    <row r="36" spans="1:6" x14ac:dyDescent="0.2">
      <c r="A36" s="436">
        <v>16</v>
      </c>
      <c r="B36" s="447" t="s">
        <v>137</v>
      </c>
      <c r="C36" s="447" t="s">
        <v>136</v>
      </c>
      <c r="D36" s="448">
        <v>20</v>
      </c>
      <c r="E36" s="448">
        <v>16</v>
      </c>
      <c r="F36" s="448">
        <v>47</v>
      </c>
    </row>
    <row r="37" spans="1:6" x14ac:dyDescent="0.2">
      <c r="B37" s="447" t="s">
        <v>142</v>
      </c>
      <c r="C37" s="447"/>
      <c r="D37" s="448"/>
      <c r="E37" s="448"/>
      <c r="F37" s="448"/>
    </row>
  </sheetData>
  <sortState xmlns:xlrd2="http://schemas.microsoft.com/office/spreadsheetml/2017/richdata2" ref="B22:F36">
    <sortCondition ref="B22:B36"/>
  </sortState>
  <dataValidations count="1">
    <dataValidation type="list" allowBlank="1" showInputMessage="1" showErrorMessage="1" sqref="G2:G8 G10:G14" xr:uid="{00000000-0002-0000-1100-000000000000}">
      <formula1>Classificação</formula1>
    </dataValidation>
  </dataValidation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6F906A-14FA-44F9-83BA-7A4779724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19</vt:i4>
      </vt:variant>
    </vt:vector>
  </HeadingPairs>
  <TitlesOfParts>
    <vt:vector size="31" baseType="lpstr">
      <vt:lpstr>Dados</vt:lpstr>
      <vt:lpstr>RELATÓRIO FINANCEIRO</vt:lpstr>
      <vt:lpstr>RELATÓRIO TÉCNICO</vt:lpstr>
      <vt:lpstr>Programa PG</vt:lpstr>
      <vt:lpstr>Viabilidade</vt:lpstr>
      <vt:lpstr>Agrifirm</vt:lpstr>
      <vt:lpstr>Concorrente</vt:lpstr>
      <vt:lpstr>Necessidades</vt:lpstr>
      <vt:lpstr>dados2</vt:lpstr>
      <vt:lpstr>Literatura</vt:lpstr>
      <vt:lpstr>Protocolo2</vt:lpstr>
      <vt:lpstr>Parâmetros</vt:lpstr>
      <vt:lpstr>Parâmetros!Area_de_impressao</vt:lpstr>
      <vt:lpstr>Agrifirm!Enriquecimento</vt:lpstr>
      <vt:lpstr>Concorrente!Enriquecimento</vt:lpstr>
      <vt:lpstr>Enriquecimento</vt:lpstr>
      <vt:lpstr>Enriquecimento.</vt:lpstr>
      <vt:lpstr>Leite</vt:lpstr>
      <vt:lpstr>Agrifirm!leite2</vt:lpstr>
      <vt:lpstr>Concorrente!leite2</vt:lpstr>
      <vt:lpstr>Parâmetros!Leites</vt:lpstr>
      <vt:lpstr>Parcial</vt:lpstr>
      <vt:lpstr>PC</vt:lpstr>
      <vt:lpstr>Ração</vt:lpstr>
      <vt:lpstr>Agrifirm!ração2</vt:lpstr>
      <vt:lpstr>Concorrente!ração2</vt:lpstr>
      <vt:lpstr>Raças</vt:lpstr>
      <vt:lpstr>Parâmetros!Rações</vt:lpstr>
      <vt:lpstr>Substituição.</vt:lpstr>
      <vt:lpstr>Substituição.Total</vt:lpstr>
      <vt:lpstr>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NUTRIFARMA</dc:creator>
  <cp:lastModifiedBy>Éctor Rodrigues</cp:lastModifiedBy>
  <cp:lastPrinted>2020-03-16T18:34:50Z</cp:lastPrinted>
  <dcterms:created xsi:type="dcterms:W3CDTF">2018-07-03T14:14:23Z</dcterms:created>
  <dcterms:modified xsi:type="dcterms:W3CDTF">2023-04-29T13:52:09Z</dcterms:modified>
  <cp:contentStatus/>
</cp:coreProperties>
</file>