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updateLinks="never" codeName="EstaPastaDeTrabalho"/>
  <mc:AlternateContent xmlns:mc="http://schemas.openxmlformats.org/markup-compatibility/2006">
    <mc:Choice Requires="x15">
      <x15ac:absPath xmlns:x15ac="http://schemas.microsoft.com/office/spreadsheetml/2010/11/ac" url="/Users/ectorrodrigues/Sites/powergrowth/bkp/"/>
    </mc:Choice>
  </mc:AlternateContent>
  <xr:revisionPtr revIDLastSave="0" documentId="8_{69982978-BE38-304C-B2A6-076264037885}" xr6:coauthVersionLast="47" xr6:coauthVersionMax="47" xr10:uidLastSave="{00000000-0000-0000-0000-000000000000}"/>
  <bookViews>
    <workbookView xWindow="0" yWindow="760" windowWidth="34560" windowHeight="20660" xr2:uid="{00000000-000D-0000-FFFF-FFFF00000000}"/>
  </bookViews>
  <sheets>
    <sheet name="Dados" sheetId="2" r:id="rId1"/>
    <sheet name="RELATÓRIO FINANCEIRO" sheetId="29" r:id="rId2"/>
    <sheet name="RELATÓRIO TÉCNICO" sheetId="23" r:id="rId3"/>
    <sheet name="Programa PG" sheetId="1" r:id="rId4"/>
    <sheet name="Viabilidade" sheetId="7" r:id="rId5"/>
    <sheet name="Agrifirm" sheetId="25" r:id="rId6"/>
    <sheet name="Concorrente" sheetId="26" r:id="rId7"/>
    <sheet name="Necessidades" sheetId="28" r:id="rId8"/>
    <sheet name="dados2" sheetId="3" r:id="rId9"/>
    <sheet name="Literatura" sheetId="5" r:id="rId10"/>
    <sheet name="Protocolo2" sheetId="16" r:id="rId11"/>
    <sheet name="Parâmetros" sheetId="22" r:id="rId12"/>
  </sheets>
  <externalReferences>
    <externalReference r:id="rId13"/>
  </externalReference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_xlnm.Print_Area" localSheetId="11">Parâmetros!$B:$X</definedName>
    <definedName name="Classificação" localSheetId="11">Parâmetros!#REF!</definedName>
    <definedName name="Classificação">[1]Parâmetros!$L$3:$L$4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Dados!$G$211:$G$216</definedName>
    <definedName name="Enriquecimento" localSheetId="6">Dados!$G$263:$G$268</definedName>
    <definedName name="Enriquecimento" localSheetId="1">'RELATÓRIO FINANCEIRO'!#REF!</definedName>
    <definedName name="Enriquecimento" localSheetId="2">'RELATÓRIO TÉCNICO'!#REF!</definedName>
    <definedName name="Enriquecimento">Dados!$B$476:$B$479</definedName>
    <definedName name="Enriquecimento.">Dados!$B$476:$B$479</definedName>
    <definedName name="GPD" localSheetId="5">[1]Necessidades!$A$2:$A$7</definedName>
    <definedName name="GPD" localSheetId="6">[1]Necessidades!$A$2:$A$7</definedName>
    <definedName name="GPD" localSheetId="7">#REF!</definedName>
    <definedName name="GPD" localSheetId="1">[1]Necessidades!$A$2:$A$7</definedName>
    <definedName name="GPD" localSheetId="2">[1]Necessidades!$A$2:$A$7</definedName>
    <definedName name="GPD">#REF!</definedName>
    <definedName name="Leite">Dados!$B$415:$B$419</definedName>
    <definedName name="leite2" localSheetId="5">Dados!$F$211:$F$220</definedName>
    <definedName name="leite2" localSheetId="6">Dados!$F$263:$F$272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Dados!$B$519:$B$524</definedName>
    <definedName name="Leites">[1]Parâmetros!$B$8:$B$13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Dados!$A$493:$A$501</definedName>
    <definedName name="PC">Dados!$D$459:$D$462</definedName>
    <definedName name="PreInicial" localSheetId="7">#REF!</definedName>
    <definedName name="PreInicial">#REF!</definedName>
    <definedName name="Ração">Dados!$B$423:$B$430</definedName>
    <definedName name="ração2" localSheetId="5">Dados!$H$211:$H$220</definedName>
    <definedName name="ração2" localSheetId="6">Dados!$H$263:$H$272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Dados!$B$453:$B$455</definedName>
    <definedName name="Rações" localSheetId="11">Dados!$B$526:$B$527</definedName>
    <definedName name="Rações">[1]Parâmetros!$B$15:$B$16</definedName>
    <definedName name="Substituição.">Dados!$B$415:$B$419</definedName>
    <definedName name="Substituição.Total">Dados!$B$470:$B$473</definedName>
    <definedName name="TSFoR" localSheetId="7">#REF!</definedName>
    <definedName name="TSFoR">#REF!</definedName>
    <definedName name="Uso">Dados!$A$464:$A$466</definedName>
    <definedName name="Vetilac" localSheetId="5">[1]Parâmetros!$B$10:$B$13</definedName>
    <definedName name="Vetilac" localSheetId="6">[1]Parâmetros!$B$10:$B$13</definedName>
    <definedName name="Vetilac" localSheetId="1">[1]Parâmetros!$B$10:$B$13</definedName>
    <definedName name="Vetilac" localSheetId="2">[1]Parâmetros!$B$10:$B$13</definedName>
    <definedName name="Vetilac">Dados!#REF!</definedName>
    <definedName name="vetilac2">[1]Parâmetros!$B$10:$B$13</definedName>
    <definedName name="vetilac3">[1]Parâmetros!$B$10:$B$13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0" i="2" l="1"/>
  <c r="F526" i="2"/>
  <c r="B470" i="2"/>
  <c r="C470" i="2"/>
  <c r="B471" i="2"/>
  <c r="C471" i="2"/>
  <c r="B472" i="2"/>
  <c r="C472" i="2"/>
  <c r="B473" i="2"/>
  <c r="C473" i="2"/>
  <c r="A492" i="2"/>
  <c r="E503" i="2"/>
  <c r="E505" i="2"/>
  <c r="E506" i="2"/>
  <c r="E507" i="2"/>
  <c r="E508" i="2"/>
  <c r="E509" i="2"/>
  <c r="G276" i="2"/>
  <c r="A276" i="2" s="1"/>
  <c r="F280" i="2" s="1"/>
  <c r="K284" i="2"/>
  <c r="S284" i="2"/>
  <c r="R285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H297" i="2"/>
  <c r="S297" i="2"/>
  <c r="S298" i="2"/>
  <c r="S299" i="2"/>
  <c r="S300" i="2"/>
  <c r="S301" i="2"/>
  <c r="S302" i="2"/>
  <c r="S303" i="2"/>
  <c r="C313" i="2"/>
  <c r="D284" i="2" s="1"/>
  <c r="D313" i="2"/>
  <c r="E284" i="2" s="1"/>
  <c r="E313" i="2"/>
  <c r="F284" i="2" s="1"/>
  <c r="F313" i="2"/>
  <c r="G284" i="2" s="1"/>
  <c r="G313" i="2"/>
  <c r="H284" i="2" s="1"/>
  <c r="H313" i="2"/>
  <c r="I284" i="2" s="1"/>
  <c r="I313" i="2"/>
  <c r="J284" i="2" s="1"/>
  <c r="J313" i="2"/>
  <c r="K313" i="2"/>
  <c r="L284" i="2" s="1"/>
  <c r="L313" i="2"/>
  <c r="M284" i="2" s="1"/>
  <c r="M313" i="2"/>
  <c r="N284" i="2" s="1"/>
  <c r="N313" i="2"/>
  <c r="O284" i="2" s="1"/>
  <c r="O313" i="2"/>
  <c r="P284" i="2" s="1"/>
  <c r="P313" i="2"/>
  <c r="Q284" i="2" s="1"/>
  <c r="Q313" i="2"/>
  <c r="R284" i="2" s="1"/>
  <c r="C314" i="2"/>
  <c r="D285" i="2" s="1"/>
  <c r="D314" i="2"/>
  <c r="E285" i="2" s="1"/>
  <c r="E314" i="2"/>
  <c r="F285" i="2" s="1"/>
  <c r="F314" i="2"/>
  <c r="G285" i="2" s="1"/>
  <c r="G314" i="2"/>
  <c r="H285" i="2" s="1"/>
  <c r="H314" i="2"/>
  <c r="I285" i="2" s="1"/>
  <c r="I314" i="2"/>
  <c r="J285" i="2" s="1"/>
  <c r="J314" i="2"/>
  <c r="K285" i="2" s="1"/>
  <c r="K314" i="2"/>
  <c r="L285" i="2" s="1"/>
  <c r="L314" i="2"/>
  <c r="M285" i="2" s="1"/>
  <c r="M314" i="2"/>
  <c r="N285" i="2" s="1"/>
  <c r="N314" i="2"/>
  <c r="O285" i="2" s="1"/>
  <c r="O314" i="2"/>
  <c r="P285" i="2" s="1"/>
  <c r="P314" i="2"/>
  <c r="Q285" i="2" s="1"/>
  <c r="Q314" i="2"/>
  <c r="C315" i="2"/>
  <c r="D286" i="2" s="1"/>
  <c r="D315" i="2"/>
  <c r="E286" i="2" s="1"/>
  <c r="E315" i="2"/>
  <c r="F286" i="2" s="1"/>
  <c r="F315" i="2"/>
  <c r="G286" i="2" s="1"/>
  <c r="G315" i="2"/>
  <c r="H286" i="2" s="1"/>
  <c r="H315" i="2"/>
  <c r="I286" i="2" s="1"/>
  <c r="I315" i="2"/>
  <c r="J286" i="2" s="1"/>
  <c r="J315" i="2"/>
  <c r="K286" i="2" s="1"/>
  <c r="K315" i="2"/>
  <c r="L286" i="2" s="1"/>
  <c r="L315" i="2"/>
  <c r="M286" i="2" s="1"/>
  <c r="M315" i="2"/>
  <c r="N286" i="2" s="1"/>
  <c r="N315" i="2"/>
  <c r="O286" i="2" s="1"/>
  <c r="O315" i="2"/>
  <c r="P286" i="2" s="1"/>
  <c r="P315" i="2"/>
  <c r="Q286" i="2" s="1"/>
  <c r="Q315" i="2"/>
  <c r="R286" i="2" s="1"/>
  <c r="C316" i="2"/>
  <c r="D287" i="2" s="1"/>
  <c r="D316" i="2"/>
  <c r="E287" i="2" s="1"/>
  <c r="E316" i="2"/>
  <c r="F287" i="2" s="1"/>
  <c r="F316" i="2"/>
  <c r="G287" i="2" s="1"/>
  <c r="G316" i="2"/>
  <c r="H287" i="2" s="1"/>
  <c r="H316" i="2"/>
  <c r="I287" i="2" s="1"/>
  <c r="I316" i="2"/>
  <c r="J287" i="2" s="1"/>
  <c r="J316" i="2"/>
  <c r="K287" i="2" s="1"/>
  <c r="K316" i="2"/>
  <c r="L287" i="2" s="1"/>
  <c r="L316" i="2"/>
  <c r="M287" i="2" s="1"/>
  <c r="M316" i="2"/>
  <c r="N287" i="2" s="1"/>
  <c r="N316" i="2"/>
  <c r="O287" i="2" s="1"/>
  <c r="O316" i="2"/>
  <c r="P287" i="2" s="1"/>
  <c r="P316" i="2"/>
  <c r="Q287" i="2" s="1"/>
  <c r="Q316" i="2"/>
  <c r="R287" i="2" s="1"/>
  <c r="C317" i="2"/>
  <c r="D288" i="2" s="1"/>
  <c r="D317" i="2"/>
  <c r="E288" i="2" s="1"/>
  <c r="E317" i="2"/>
  <c r="F288" i="2" s="1"/>
  <c r="F317" i="2"/>
  <c r="G288" i="2" s="1"/>
  <c r="G317" i="2"/>
  <c r="H288" i="2" s="1"/>
  <c r="H317" i="2"/>
  <c r="I288" i="2" s="1"/>
  <c r="I317" i="2"/>
  <c r="J288" i="2" s="1"/>
  <c r="J317" i="2"/>
  <c r="K288" i="2" s="1"/>
  <c r="K317" i="2"/>
  <c r="L288" i="2" s="1"/>
  <c r="L317" i="2"/>
  <c r="M288" i="2" s="1"/>
  <c r="M317" i="2"/>
  <c r="N288" i="2" s="1"/>
  <c r="N317" i="2"/>
  <c r="O288" i="2" s="1"/>
  <c r="O317" i="2"/>
  <c r="P288" i="2" s="1"/>
  <c r="P317" i="2"/>
  <c r="Q288" i="2" s="1"/>
  <c r="Q317" i="2"/>
  <c r="R288" i="2" s="1"/>
  <c r="C318" i="2"/>
  <c r="D289" i="2" s="1"/>
  <c r="D318" i="2"/>
  <c r="E289" i="2" s="1"/>
  <c r="E318" i="2"/>
  <c r="F289" i="2" s="1"/>
  <c r="F318" i="2"/>
  <c r="G289" i="2" s="1"/>
  <c r="G318" i="2"/>
  <c r="H289" i="2" s="1"/>
  <c r="H318" i="2"/>
  <c r="I289" i="2" s="1"/>
  <c r="I318" i="2"/>
  <c r="J289" i="2" s="1"/>
  <c r="J318" i="2"/>
  <c r="K289" i="2" s="1"/>
  <c r="K318" i="2"/>
  <c r="L289" i="2" s="1"/>
  <c r="L318" i="2"/>
  <c r="M289" i="2" s="1"/>
  <c r="M318" i="2"/>
  <c r="N289" i="2" s="1"/>
  <c r="N318" i="2"/>
  <c r="O289" i="2" s="1"/>
  <c r="O318" i="2"/>
  <c r="P289" i="2" s="1"/>
  <c r="P318" i="2"/>
  <c r="Q289" i="2" s="1"/>
  <c r="Q318" i="2"/>
  <c r="R289" i="2" s="1"/>
  <c r="C319" i="2"/>
  <c r="D290" i="2" s="1"/>
  <c r="D319" i="2"/>
  <c r="E290" i="2" s="1"/>
  <c r="E319" i="2"/>
  <c r="F290" i="2" s="1"/>
  <c r="F319" i="2"/>
  <c r="G290" i="2" s="1"/>
  <c r="G319" i="2"/>
  <c r="H290" i="2" s="1"/>
  <c r="H319" i="2"/>
  <c r="I290" i="2" s="1"/>
  <c r="I319" i="2"/>
  <c r="J290" i="2" s="1"/>
  <c r="J319" i="2"/>
  <c r="K290" i="2" s="1"/>
  <c r="K319" i="2"/>
  <c r="L290" i="2" s="1"/>
  <c r="L319" i="2"/>
  <c r="M290" i="2" s="1"/>
  <c r="M319" i="2"/>
  <c r="N290" i="2" s="1"/>
  <c r="N319" i="2"/>
  <c r="O290" i="2" s="1"/>
  <c r="O319" i="2"/>
  <c r="P290" i="2" s="1"/>
  <c r="P319" i="2"/>
  <c r="Q290" i="2" s="1"/>
  <c r="Q319" i="2"/>
  <c r="R290" i="2" s="1"/>
  <c r="C320" i="2"/>
  <c r="D291" i="2" s="1"/>
  <c r="D320" i="2"/>
  <c r="E291" i="2" s="1"/>
  <c r="E320" i="2"/>
  <c r="F291" i="2" s="1"/>
  <c r="F320" i="2"/>
  <c r="G291" i="2" s="1"/>
  <c r="G320" i="2"/>
  <c r="H291" i="2" s="1"/>
  <c r="H320" i="2"/>
  <c r="I291" i="2" s="1"/>
  <c r="I320" i="2"/>
  <c r="J291" i="2" s="1"/>
  <c r="J320" i="2"/>
  <c r="K291" i="2" s="1"/>
  <c r="K320" i="2"/>
  <c r="L291" i="2" s="1"/>
  <c r="L320" i="2"/>
  <c r="M291" i="2" s="1"/>
  <c r="M320" i="2"/>
  <c r="N291" i="2" s="1"/>
  <c r="N320" i="2"/>
  <c r="O291" i="2" s="1"/>
  <c r="O320" i="2"/>
  <c r="P291" i="2" s="1"/>
  <c r="P320" i="2"/>
  <c r="Q291" i="2" s="1"/>
  <c r="Q320" i="2"/>
  <c r="R291" i="2" s="1"/>
  <c r="C321" i="2"/>
  <c r="D292" i="2" s="1"/>
  <c r="D321" i="2"/>
  <c r="E292" i="2" s="1"/>
  <c r="E321" i="2"/>
  <c r="F292" i="2" s="1"/>
  <c r="F321" i="2"/>
  <c r="G292" i="2" s="1"/>
  <c r="G321" i="2"/>
  <c r="H292" i="2" s="1"/>
  <c r="H321" i="2"/>
  <c r="I292" i="2" s="1"/>
  <c r="I321" i="2"/>
  <c r="J292" i="2" s="1"/>
  <c r="J321" i="2"/>
  <c r="K292" i="2" s="1"/>
  <c r="K321" i="2"/>
  <c r="L292" i="2" s="1"/>
  <c r="L321" i="2"/>
  <c r="M292" i="2" s="1"/>
  <c r="M321" i="2"/>
  <c r="N292" i="2" s="1"/>
  <c r="N321" i="2"/>
  <c r="O292" i="2" s="1"/>
  <c r="O321" i="2"/>
  <c r="P292" i="2" s="1"/>
  <c r="P321" i="2"/>
  <c r="Q292" i="2" s="1"/>
  <c r="Q321" i="2"/>
  <c r="R292" i="2" s="1"/>
  <c r="C322" i="2"/>
  <c r="D293" i="2" s="1"/>
  <c r="D322" i="2"/>
  <c r="E293" i="2" s="1"/>
  <c r="E322" i="2"/>
  <c r="F293" i="2" s="1"/>
  <c r="F322" i="2"/>
  <c r="G293" i="2" s="1"/>
  <c r="G322" i="2"/>
  <c r="H293" i="2" s="1"/>
  <c r="H322" i="2"/>
  <c r="I293" i="2" s="1"/>
  <c r="I322" i="2"/>
  <c r="J293" i="2" s="1"/>
  <c r="J322" i="2"/>
  <c r="K293" i="2" s="1"/>
  <c r="K322" i="2"/>
  <c r="L293" i="2" s="1"/>
  <c r="L322" i="2"/>
  <c r="M293" i="2" s="1"/>
  <c r="M322" i="2"/>
  <c r="N293" i="2" s="1"/>
  <c r="N322" i="2"/>
  <c r="O293" i="2" s="1"/>
  <c r="O322" i="2"/>
  <c r="P293" i="2" s="1"/>
  <c r="P322" i="2"/>
  <c r="Q293" i="2" s="1"/>
  <c r="Q322" i="2"/>
  <c r="R293" i="2" s="1"/>
  <c r="C323" i="2"/>
  <c r="D294" i="2" s="1"/>
  <c r="D323" i="2"/>
  <c r="E294" i="2" s="1"/>
  <c r="E323" i="2"/>
  <c r="F294" i="2" s="1"/>
  <c r="F323" i="2"/>
  <c r="G294" i="2" s="1"/>
  <c r="G323" i="2"/>
  <c r="H294" i="2" s="1"/>
  <c r="H323" i="2"/>
  <c r="I294" i="2" s="1"/>
  <c r="I323" i="2"/>
  <c r="J294" i="2" s="1"/>
  <c r="J323" i="2"/>
  <c r="K294" i="2" s="1"/>
  <c r="K323" i="2"/>
  <c r="L294" i="2" s="1"/>
  <c r="L323" i="2"/>
  <c r="M294" i="2" s="1"/>
  <c r="M323" i="2"/>
  <c r="N294" i="2" s="1"/>
  <c r="N323" i="2"/>
  <c r="O294" i="2" s="1"/>
  <c r="O323" i="2"/>
  <c r="P294" i="2" s="1"/>
  <c r="P323" i="2"/>
  <c r="Q294" i="2" s="1"/>
  <c r="Q323" i="2"/>
  <c r="R294" i="2" s="1"/>
  <c r="C324" i="2"/>
  <c r="D295" i="2" s="1"/>
  <c r="D324" i="2"/>
  <c r="E295" i="2" s="1"/>
  <c r="E324" i="2"/>
  <c r="F295" i="2" s="1"/>
  <c r="F324" i="2"/>
  <c r="G295" i="2" s="1"/>
  <c r="G324" i="2"/>
  <c r="H295" i="2" s="1"/>
  <c r="H324" i="2"/>
  <c r="I295" i="2" s="1"/>
  <c r="I324" i="2"/>
  <c r="J295" i="2" s="1"/>
  <c r="J324" i="2"/>
  <c r="K295" i="2" s="1"/>
  <c r="K324" i="2"/>
  <c r="L295" i="2" s="1"/>
  <c r="L324" i="2"/>
  <c r="M295" i="2" s="1"/>
  <c r="M324" i="2"/>
  <c r="N295" i="2" s="1"/>
  <c r="N324" i="2"/>
  <c r="O295" i="2" s="1"/>
  <c r="O324" i="2"/>
  <c r="P295" i="2" s="1"/>
  <c r="P324" i="2"/>
  <c r="Q295" i="2" s="1"/>
  <c r="Q324" i="2"/>
  <c r="R295" i="2" s="1"/>
  <c r="C325" i="2"/>
  <c r="D296" i="2" s="1"/>
  <c r="D325" i="2"/>
  <c r="E296" i="2" s="1"/>
  <c r="E325" i="2"/>
  <c r="F296" i="2" s="1"/>
  <c r="F325" i="2"/>
  <c r="G296" i="2" s="1"/>
  <c r="G325" i="2"/>
  <c r="H296" i="2" s="1"/>
  <c r="H325" i="2"/>
  <c r="I296" i="2" s="1"/>
  <c r="I325" i="2"/>
  <c r="J296" i="2" s="1"/>
  <c r="J325" i="2"/>
  <c r="K296" i="2" s="1"/>
  <c r="K325" i="2"/>
  <c r="L296" i="2" s="1"/>
  <c r="L325" i="2"/>
  <c r="M296" i="2" s="1"/>
  <c r="M325" i="2"/>
  <c r="N296" i="2" s="1"/>
  <c r="N325" i="2"/>
  <c r="O296" i="2" s="1"/>
  <c r="O325" i="2"/>
  <c r="P296" i="2" s="1"/>
  <c r="P325" i="2"/>
  <c r="Q296" i="2" s="1"/>
  <c r="Q325" i="2"/>
  <c r="R296" i="2" s="1"/>
  <c r="C326" i="2"/>
  <c r="D297" i="2" s="1"/>
  <c r="D326" i="2"/>
  <c r="E297" i="2" s="1"/>
  <c r="E326" i="2"/>
  <c r="F297" i="2" s="1"/>
  <c r="F326" i="2"/>
  <c r="G297" i="2" s="1"/>
  <c r="G326" i="2"/>
  <c r="H326" i="2"/>
  <c r="I297" i="2" s="1"/>
  <c r="I326" i="2"/>
  <c r="J297" i="2" s="1"/>
  <c r="J326" i="2"/>
  <c r="K297" i="2" s="1"/>
  <c r="K326" i="2"/>
  <c r="L297" i="2" s="1"/>
  <c r="L326" i="2"/>
  <c r="M297" i="2" s="1"/>
  <c r="M326" i="2"/>
  <c r="N297" i="2" s="1"/>
  <c r="N326" i="2"/>
  <c r="O297" i="2" s="1"/>
  <c r="O326" i="2"/>
  <c r="P297" i="2" s="1"/>
  <c r="P326" i="2"/>
  <c r="Q297" i="2" s="1"/>
  <c r="Q326" i="2"/>
  <c r="R297" i="2" s="1"/>
  <c r="C327" i="2"/>
  <c r="D298" i="2" s="1"/>
  <c r="D327" i="2"/>
  <c r="E298" i="2" s="1"/>
  <c r="E327" i="2"/>
  <c r="F298" i="2" s="1"/>
  <c r="F327" i="2"/>
  <c r="G298" i="2" s="1"/>
  <c r="G327" i="2"/>
  <c r="H298" i="2" s="1"/>
  <c r="H327" i="2"/>
  <c r="I298" i="2" s="1"/>
  <c r="I327" i="2"/>
  <c r="J298" i="2" s="1"/>
  <c r="J327" i="2"/>
  <c r="K298" i="2" s="1"/>
  <c r="K327" i="2"/>
  <c r="L298" i="2" s="1"/>
  <c r="L327" i="2"/>
  <c r="M298" i="2" s="1"/>
  <c r="M327" i="2"/>
  <c r="N298" i="2" s="1"/>
  <c r="N327" i="2"/>
  <c r="O298" i="2" s="1"/>
  <c r="O327" i="2"/>
  <c r="P298" i="2" s="1"/>
  <c r="P327" i="2"/>
  <c r="Q298" i="2" s="1"/>
  <c r="Q327" i="2"/>
  <c r="R298" i="2" s="1"/>
  <c r="C328" i="2"/>
  <c r="D299" i="2" s="1"/>
  <c r="D328" i="2"/>
  <c r="E299" i="2" s="1"/>
  <c r="E328" i="2"/>
  <c r="F299" i="2" s="1"/>
  <c r="F328" i="2"/>
  <c r="G299" i="2" s="1"/>
  <c r="G328" i="2"/>
  <c r="H299" i="2" s="1"/>
  <c r="H328" i="2"/>
  <c r="I299" i="2" s="1"/>
  <c r="I328" i="2"/>
  <c r="J299" i="2" s="1"/>
  <c r="J328" i="2"/>
  <c r="K299" i="2" s="1"/>
  <c r="K328" i="2"/>
  <c r="L299" i="2" s="1"/>
  <c r="L328" i="2"/>
  <c r="M299" i="2" s="1"/>
  <c r="M328" i="2"/>
  <c r="N299" i="2" s="1"/>
  <c r="N328" i="2"/>
  <c r="O299" i="2" s="1"/>
  <c r="O328" i="2"/>
  <c r="P299" i="2" s="1"/>
  <c r="P328" i="2"/>
  <c r="Q299" i="2" s="1"/>
  <c r="Q328" i="2"/>
  <c r="R299" i="2" s="1"/>
  <c r="C329" i="2"/>
  <c r="D300" i="2" s="1"/>
  <c r="D329" i="2"/>
  <c r="E300" i="2" s="1"/>
  <c r="E329" i="2"/>
  <c r="F300" i="2" s="1"/>
  <c r="F329" i="2"/>
  <c r="G300" i="2" s="1"/>
  <c r="G329" i="2"/>
  <c r="H300" i="2" s="1"/>
  <c r="H329" i="2"/>
  <c r="I300" i="2" s="1"/>
  <c r="I329" i="2"/>
  <c r="J300" i="2" s="1"/>
  <c r="J329" i="2"/>
  <c r="K300" i="2" s="1"/>
  <c r="K329" i="2"/>
  <c r="L300" i="2" s="1"/>
  <c r="L329" i="2"/>
  <c r="M300" i="2" s="1"/>
  <c r="M329" i="2"/>
  <c r="N300" i="2" s="1"/>
  <c r="N329" i="2"/>
  <c r="O300" i="2" s="1"/>
  <c r="O329" i="2"/>
  <c r="P300" i="2" s="1"/>
  <c r="P329" i="2"/>
  <c r="Q300" i="2" s="1"/>
  <c r="Q329" i="2"/>
  <c r="R300" i="2" s="1"/>
  <c r="C330" i="2"/>
  <c r="D301" i="2" s="1"/>
  <c r="D330" i="2"/>
  <c r="E301" i="2" s="1"/>
  <c r="E330" i="2"/>
  <c r="F301" i="2" s="1"/>
  <c r="F330" i="2"/>
  <c r="G301" i="2" s="1"/>
  <c r="G330" i="2"/>
  <c r="H301" i="2" s="1"/>
  <c r="H330" i="2"/>
  <c r="I301" i="2" s="1"/>
  <c r="I330" i="2"/>
  <c r="J301" i="2" s="1"/>
  <c r="J330" i="2"/>
  <c r="K301" i="2" s="1"/>
  <c r="K330" i="2"/>
  <c r="L301" i="2" s="1"/>
  <c r="L330" i="2"/>
  <c r="M301" i="2" s="1"/>
  <c r="M330" i="2"/>
  <c r="N301" i="2" s="1"/>
  <c r="N330" i="2"/>
  <c r="O301" i="2" s="1"/>
  <c r="O330" i="2"/>
  <c r="P301" i="2" s="1"/>
  <c r="P330" i="2"/>
  <c r="Q301" i="2" s="1"/>
  <c r="Q330" i="2"/>
  <c r="R301" i="2" s="1"/>
  <c r="C331" i="2"/>
  <c r="D302" i="2" s="1"/>
  <c r="D331" i="2"/>
  <c r="E302" i="2" s="1"/>
  <c r="E331" i="2"/>
  <c r="F302" i="2" s="1"/>
  <c r="F331" i="2"/>
  <c r="G302" i="2" s="1"/>
  <c r="G331" i="2"/>
  <c r="H302" i="2" s="1"/>
  <c r="H331" i="2"/>
  <c r="I302" i="2" s="1"/>
  <c r="I331" i="2"/>
  <c r="J302" i="2" s="1"/>
  <c r="J331" i="2"/>
  <c r="K302" i="2" s="1"/>
  <c r="K331" i="2"/>
  <c r="L302" i="2" s="1"/>
  <c r="L331" i="2"/>
  <c r="M302" i="2" s="1"/>
  <c r="M331" i="2"/>
  <c r="N302" i="2" s="1"/>
  <c r="N331" i="2"/>
  <c r="O302" i="2" s="1"/>
  <c r="O331" i="2"/>
  <c r="P302" i="2" s="1"/>
  <c r="P331" i="2"/>
  <c r="Q302" i="2" s="1"/>
  <c r="Q331" i="2"/>
  <c r="R302" i="2" s="1"/>
  <c r="C332" i="2"/>
  <c r="D303" i="2" s="1"/>
  <c r="D332" i="2"/>
  <c r="E303" i="2" s="1"/>
  <c r="E332" i="2"/>
  <c r="F303" i="2" s="1"/>
  <c r="F332" i="2"/>
  <c r="G303" i="2" s="1"/>
  <c r="G332" i="2"/>
  <c r="H303" i="2" s="1"/>
  <c r="H332" i="2"/>
  <c r="I303" i="2" s="1"/>
  <c r="I332" i="2"/>
  <c r="J303" i="2" s="1"/>
  <c r="J332" i="2"/>
  <c r="K303" i="2" s="1"/>
  <c r="K332" i="2"/>
  <c r="L303" i="2" s="1"/>
  <c r="L332" i="2"/>
  <c r="M303" i="2" s="1"/>
  <c r="M332" i="2"/>
  <c r="N303" i="2" s="1"/>
  <c r="N332" i="2"/>
  <c r="O303" i="2" s="1"/>
  <c r="O332" i="2"/>
  <c r="P303" i="2" s="1"/>
  <c r="P332" i="2"/>
  <c r="Q303" i="2" s="1"/>
  <c r="Q332" i="2"/>
  <c r="R303" i="2" s="1"/>
  <c r="G334" i="2"/>
  <c r="H367" i="2" s="1"/>
  <c r="S366" i="2" s="1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N363" i="2"/>
  <c r="D375" i="2"/>
  <c r="D342" i="2" s="1"/>
  <c r="E375" i="2"/>
  <c r="E342" i="2" s="1"/>
  <c r="F375" i="2"/>
  <c r="F342" i="2" s="1"/>
  <c r="G375" i="2"/>
  <c r="G342" i="2" s="1"/>
  <c r="H375" i="2"/>
  <c r="H342" i="2" s="1"/>
  <c r="I375" i="2"/>
  <c r="I342" i="2" s="1"/>
  <c r="J375" i="2"/>
  <c r="J342" i="2" s="1"/>
  <c r="K375" i="2"/>
  <c r="K342" i="2" s="1"/>
  <c r="L375" i="2"/>
  <c r="L342" i="2" s="1"/>
  <c r="M375" i="2"/>
  <c r="M342" i="2" s="1"/>
  <c r="N375" i="2"/>
  <c r="N342" i="2" s="1"/>
  <c r="O375" i="2"/>
  <c r="O342" i="2" s="1"/>
  <c r="P375" i="2"/>
  <c r="P342" i="2" s="1"/>
  <c r="Q375" i="2"/>
  <c r="Q342" i="2" s="1"/>
  <c r="R375" i="2"/>
  <c r="R342" i="2" s="1"/>
  <c r="D376" i="2"/>
  <c r="D343" i="2" s="1"/>
  <c r="E376" i="2"/>
  <c r="E343" i="2" s="1"/>
  <c r="F376" i="2"/>
  <c r="F343" i="2" s="1"/>
  <c r="G376" i="2"/>
  <c r="G343" i="2" s="1"/>
  <c r="H376" i="2"/>
  <c r="H343" i="2" s="1"/>
  <c r="I376" i="2"/>
  <c r="I343" i="2" s="1"/>
  <c r="J376" i="2"/>
  <c r="J343" i="2" s="1"/>
  <c r="K376" i="2"/>
  <c r="K343" i="2" s="1"/>
  <c r="L376" i="2"/>
  <c r="L343" i="2" s="1"/>
  <c r="M376" i="2"/>
  <c r="M343" i="2" s="1"/>
  <c r="N376" i="2"/>
  <c r="N343" i="2" s="1"/>
  <c r="O376" i="2"/>
  <c r="O343" i="2" s="1"/>
  <c r="P376" i="2"/>
  <c r="P343" i="2" s="1"/>
  <c r="Q376" i="2"/>
  <c r="Q343" i="2" s="1"/>
  <c r="R376" i="2"/>
  <c r="R343" i="2" s="1"/>
  <c r="D377" i="2"/>
  <c r="D344" i="2" s="1"/>
  <c r="E377" i="2"/>
  <c r="E344" i="2" s="1"/>
  <c r="F377" i="2"/>
  <c r="F344" i="2" s="1"/>
  <c r="G377" i="2"/>
  <c r="G344" i="2" s="1"/>
  <c r="H377" i="2"/>
  <c r="H344" i="2" s="1"/>
  <c r="I377" i="2"/>
  <c r="I344" i="2" s="1"/>
  <c r="J377" i="2"/>
  <c r="J344" i="2" s="1"/>
  <c r="K377" i="2"/>
  <c r="K344" i="2" s="1"/>
  <c r="L377" i="2"/>
  <c r="L344" i="2" s="1"/>
  <c r="M377" i="2"/>
  <c r="M344" i="2" s="1"/>
  <c r="N377" i="2"/>
  <c r="N344" i="2" s="1"/>
  <c r="O377" i="2"/>
  <c r="O344" i="2" s="1"/>
  <c r="P377" i="2"/>
  <c r="P344" i="2" s="1"/>
  <c r="Q377" i="2"/>
  <c r="Q344" i="2" s="1"/>
  <c r="R377" i="2"/>
  <c r="R344" i="2" s="1"/>
  <c r="D378" i="2"/>
  <c r="D345" i="2" s="1"/>
  <c r="E378" i="2"/>
  <c r="E345" i="2" s="1"/>
  <c r="F378" i="2"/>
  <c r="F345" i="2" s="1"/>
  <c r="G378" i="2"/>
  <c r="G345" i="2" s="1"/>
  <c r="H378" i="2"/>
  <c r="H345" i="2" s="1"/>
  <c r="I378" i="2"/>
  <c r="I345" i="2" s="1"/>
  <c r="J378" i="2"/>
  <c r="J345" i="2" s="1"/>
  <c r="K378" i="2"/>
  <c r="K345" i="2" s="1"/>
  <c r="L378" i="2"/>
  <c r="L345" i="2" s="1"/>
  <c r="M378" i="2"/>
  <c r="M345" i="2" s="1"/>
  <c r="N378" i="2"/>
  <c r="N345" i="2" s="1"/>
  <c r="O378" i="2"/>
  <c r="O345" i="2" s="1"/>
  <c r="P378" i="2"/>
  <c r="P345" i="2" s="1"/>
  <c r="Q378" i="2"/>
  <c r="Q345" i="2" s="1"/>
  <c r="R378" i="2"/>
  <c r="R345" i="2" s="1"/>
  <c r="D379" i="2"/>
  <c r="D346" i="2" s="1"/>
  <c r="E379" i="2"/>
  <c r="E346" i="2" s="1"/>
  <c r="F379" i="2"/>
  <c r="F346" i="2" s="1"/>
  <c r="G379" i="2"/>
  <c r="G346" i="2" s="1"/>
  <c r="H379" i="2"/>
  <c r="H346" i="2" s="1"/>
  <c r="I379" i="2"/>
  <c r="I346" i="2" s="1"/>
  <c r="J379" i="2"/>
  <c r="J346" i="2" s="1"/>
  <c r="K379" i="2"/>
  <c r="K346" i="2" s="1"/>
  <c r="L379" i="2"/>
  <c r="L346" i="2" s="1"/>
  <c r="M379" i="2"/>
  <c r="M346" i="2" s="1"/>
  <c r="N379" i="2"/>
  <c r="N346" i="2" s="1"/>
  <c r="O379" i="2"/>
  <c r="O346" i="2" s="1"/>
  <c r="P379" i="2"/>
  <c r="P346" i="2" s="1"/>
  <c r="Q379" i="2"/>
  <c r="Q346" i="2" s="1"/>
  <c r="R379" i="2"/>
  <c r="R346" i="2" s="1"/>
  <c r="D380" i="2"/>
  <c r="D347" i="2" s="1"/>
  <c r="E380" i="2"/>
  <c r="E347" i="2" s="1"/>
  <c r="F380" i="2"/>
  <c r="F347" i="2" s="1"/>
  <c r="G380" i="2"/>
  <c r="G347" i="2" s="1"/>
  <c r="H380" i="2"/>
  <c r="H347" i="2" s="1"/>
  <c r="I380" i="2"/>
  <c r="I347" i="2" s="1"/>
  <c r="J380" i="2"/>
  <c r="J347" i="2" s="1"/>
  <c r="K380" i="2"/>
  <c r="K347" i="2" s="1"/>
  <c r="L380" i="2"/>
  <c r="L347" i="2" s="1"/>
  <c r="M380" i="2"/>
  <c r="M347" i="2" s="1"/>
  <c r="N380" i="2"/>
  <c r="N347" i="2" s="1"/>
  <c r="O380" i="2"/>
  <c r="O347" i="2" s="1"/>
  <c r="P380" i="2"/>
  <c r="P347" i="2" s="1"/>
  <c r="Q380" i="2"/>
  <c r="Q347" i="2" s="1"/>
  <c r="R380" i="2"/>
  <c r="R347" i="2" s="1"/>
  <c r="D381" i="2"/>
  <c r="D348" i="2" s="1"/>
  <c r="E381" i="2"/>
  <c r="E348" i="2" s="1"/>
  <c r="F381" i="2"/>
  <c r="F348" i="2" s="1"/>
  <c r="G381" i="2"/>
  <c r="G348" i="2" s="1"/>
  <c r="H381" i="2"/>
  <c r="H348" i="2" s="1"/>
  <c r="I381" i="2"/>
  <c r="I348" i="2" s="1"/>
  <c r="J381" i="2"/>
  <c r="J348" i="2" s="1"/>
  <c r="K381" i="2"/>
  <c r="K348" i="2" s="1"/>
  <c r="L381" i="2"/>
  <c r="L348" i="2" s="1"/>
  <c r="M381" i="2"/>
  <c r="M348" i="2" s="1"/>
  <c r="N381" i="2"/>
  <c r="N348" i="2" s="1"/>
  <c r="O381" i="2"/>
  <c r="O348" i="2" s="1"/>
  <c r="P381" i="2"/>
  <c r="P348" i="2" s="1"/>
  <c r="Q381" i="2"/>
  <c r="Q348" i="2" s="1"/>
  <c r="R381" i="2"/>
  <c r="R348" i="2" s="1"/>
  <c r="D382" i="2"/>
  <c r="D349" i="2" s="1"/>
  <c r="E382" i="2"/>
  <c r="E349" i="2" s="1"/>
  <c r="F382" i="2"/>
  <c r="F349" i="2" s="1"/>
  <c r="G382" i="2"/>
  <c r="G349" i="2" s="1"/>
  <c r="H382" i="2"/>
  <c r="H349" i="2" s="1"/>
  <c r="I382" i="2"/>
  <c r="I349" i="2" s="1"/>
  <c r="J382" i="2"/>
  <c r="J349" i="2" s="1"/>
  <c r="K382" i="2"/>
  <c r="K349" i="2" s="1"/>
  <c r="L382" i="2"/>
  <c r="L349" i="2" s="1"/>
  <c r="M382" i="2"/>
  <c r="M349" i="2" s="1"/>
  <c r="N382" i="2"/>
  <c r="N349" i="2" s="1"/>
  <c r="O382" i="2"/>
  <c r="O349" i="2" s="1"/>
  <c r="P382" i="2"/>
  <c r="P349" i="2" s="1"/>
  <c r="Q382" i="2"/>
  <c r="Q349" i="2" s="1"/>
  <c r="R382" i="2"/>
  <c r="R349" i="2" s="1"/>
  <c r="D383" i="2"/>
  <c r="D350" i="2" s="1"/>
  <c r="E383" i="2"/>
  <c r="E350" i="2" s="1"/>
  <c r="F383" i="2"/>
  <c r="F350" i="2" s="1"/>
  <c r="G383" i="2"/>
  <c r="G350" i="2" s="1"/>
  <c r="H383" i="2"/>
  <c r="H350" i="2" s="1"/>
  <c r="I383" i="2"/>
  <c r="I350" i="2" s="1"/>
  <c r="J383" i="2"/>
  <c r="J350" i="2" s="1"/>
  <c r="K383" i="2"/>
  <c r="K350" i="2" s="1"/>
  <c r="L383" i="2"/>
  <c r="L350" i="2" s="1"/>
  <c r="M383" i="2"/>
  <c r="M350" i="2" s="1"/>
  <c r="N383" i="2"/>
  <c r="N350" i="2" s="1"/>
  <c r="O383" i="2"/>
  <c r="O350" i="2" s="1"/>
  <c r="P383" i="2"/>
  <c r="P350" i="2" s="1"/>
  <c r="Q383" i="2"/>
  <c r="Q350" i="2" s="1"/>
  <c r="R383" i="2"/>
  <c r="R350" i="2" s="1"/>
  <c r="D384" i="2"/>
  <c r="D351" i="2" s="1"/>
  <c r="E384" i="2"/>
  <c r="E351" i="2" s="1"/>
  <c r="F384" i="2"/>
  <c r="F351" i="2" s="1"/>
  <c r="G384" i="2"/>
  <c r="G351" i="2" s="1"/>
  <c r="H384" i="2"/>
  <c r="H351" i="2" s="1"/>
  <c r="I384" i="2"/>
  <c r="I351" i="2" s="1"/>
  <c r="J384" i="2"/>
  <c r="J351" i="2" s="1"/>
  <c r="K384" i="2"/>
  <c r="K351" i="2" s="1"/>
  <c r="L384" i="2"/>
  <c r="L351" i="2" s="1"/>
  <c r="M384" i="2"/>
  <c r="M351" i="2" s="1"/>
  <c r="N384" i="2"/>
  <c r="N351" i="2" s="1"/>
  <c r="O384" i="2"/>
  <c r="O351" i="2" s="1"/>
  <c r="P384" i="2"/>
  <c r="P351" i="2" s="1"/>
  <c r="Q384" i="2"/>
  <c r="Q351" i="2" s="1"/>
  <c r="R384" i="2"/>
  <c r="R351" i="2" s="1"/>
  <c r="D385" i="2"/>
  <c r="D352" i="2" s="1"/>
  <c r="E385" i="2"/>
  <c r="E352" i="2" s="1"/>
  <c r="F385" i="2"/>
  <c r="F352" i="2" s="1"/>
  <c r="G385" i="2"/>
  <c r="G352" i="2" s="1"/>
  <c r="H385" i="2"/>
  <c r="H352" i="2" s="1"/>
  <c r="I385" i="2"/>
  <c r="I352" i="2" s="1"/>
  <c r="J385" i="2"/>
  <c r="J352" i="2" s="1"/>
  <c r="K385" i="2"/>
  <c r="K352" i="2" s="1"/>
  <c r="L385" i="2"/>
  <c r="L352" i="2" s="1"/>
  <c r="M385" i="2"/>
  <c r="M352" i="2" s="1"/>
  <c r="N385" i="2"/>
  <c r="N352" i="2" s="1"/>
  <c r="O385" i="2"/>
  <c r="O352" i="2" s="1"/>
  <c r="P385" i="2"/>
  <c r="P352" i="2" s="1"/>
  <c r="Q385" i="2"/>
  <c r="Q352" i="2" s="1"/>
  <c r="R385" i="2"/>
  <c r="R352" i="2" s="1"/>
  <c r="D386" i="2"/>
  <c r="D353" i="2" s="1"/>
  <c r="E386" i="2"/>
  <c r="E353" i="2" s="1"/>
  <c r="F386" i="2"/>
  <c r="F353" i="2" s="1"/>
  <c r="G386" i="2"/>
  <c r="G353" i="2" s="1"/>
  <c r="H386" i="2"/>
  <c r="H353" i="2" s="1"/>
  <c r="I386" i="2"/>
  <c r="I353" i="2" s="1"/>
  <c r="J386" i="2"/>
  <c r="J353" i="2" s="1"/>
  <c r="K386" i="2"/>
  <c r="K353" i="2" s="1"/>
  <c r="L386" i="2"/>
  <c r="L353" i="2" s="1"/>
  <c r="M386" i="2"/>
  <c r="M353" i="2" s="1"/>
  <c r="N386" i="2"/>
  <c r="N353" i="2" s="1"/>
  <c r="O386" i="2"/>
  <c r="O353" i="2" s="1"/>
  <c r="P386" i="2"/>
  <c r="P353" i="2" s="1"/>
  <c r="Q386" i="2"/>
  <c r="Q353" i="2" s="1"/>
  <c r="R386" i="2"/>
  <c r="R353" i="2" s="1"/>
  <c r="D387" i="2"/>
  <c r="D354" i="2" s="1"/>
  <c r="E387" i="2"/>
  <c r="E354" i="2" s="1"/>
  <c r="F387" i="2"/>
  <c r="F354" i="2" s="1"/>
  <c r="G387" i="2"/>
  <c r="G354" i="2" s="1"/>
  <c r="H387" i="2"/>
  <c r="H354" i="2" s="1"/>
  <c r="I387" i="2"/>
  <c r="I354" i="2" s="1"/>
  <c r="J387" i="2"/>
  <c r="J354" i="2" s="1"/>
  <c r="K387" i="2"/>
  <c r="K354" i="2" s="1"/>
  <c r="L387" i="2"/>
  <c r="L354" i="2" s="1"/>
  <c r="M387" i="2"/>
  <c r="M354" i="2" s="1"/>
  <c r="N387" i="2"/>
  <c r="N354" i="2" s="1"/>
  <c r="O387" i="2"/>
  <c r="O354" i="2" s="1"/>
  <c r="P387" i="2"/>
  <c r="P354" i="2" s="1"/>
  <c r="Q387" i="2"/>
  <c r="Q354" i="2" s="1"/>
  <c r="R387" i="2"/>
  <c r="R354" i="2" s="1"/>
  <c r="D388" i="2"/>
  <c r="D355" i="2" s="1"/>
  <c r="E388" i="2"/>
  <c r="E355" i="2" s="1"/>
  <c r="F388" i="2"/>
  <c r="F355" i="2" s="1"/>
  <c r="G388" i="2"/>
  <c r="G355" i="2" s="1"/>
  <c r="H388" i="2"/>
  <c r="H355" i="2" s="1"/>
  <c r="I388" i="2"/>
  <c r="I355" i="2" s="1"/>
  <c r="J388" i="2"/>
  <c r="J355" i="2" s="1"/>
  <c r="K388" i="2"/>
  <c r="K355" i="2" s="1"/>
  <c r="L388" i="2"/>
  <c r="L355" i="2" s="1"/>
  <c r="M388" i="2"/>
  <c r="M355" i="2" s="1"/>
  <c r="N388" i="2"/>
  <c r="N355" i="2" s="1"/>
  <c r="O388" i="2"/>
  <c r="O355" i="2" s="1"/>
  <c r="P388" i="2"/>
  <c r="P355" i="2" s="1"/>
  <c r="Q388" i="2"/>
  <c r="Q355" i="2" s="1"/>
  <c r="R388" i="2"/>
  <c r="R355" i="2" s="1"/>
  <c r="D389" i="2"/>
  <c r="D356" i="2" s="1"/>
  <c r="E389" i="2"/>
  <c r="E356" i="2" s="1"/>
  <c r="F389" i="2"/>
  <c r="F356" i="2" s="1"/>
  <c r="G389" i="2"/>
  <c r="G356" i="2" s="1"/>
  <c r="H389" i="2"/>
  <c r="H356" i="2" s="1"/>
  <c r="I389" i="2"/>
  <c r="I356" i="2" s="1"/>
  <c r="J389" i="2"/>
  <c r="J356" i="2" s="1"/>
  <c r="K389" i="2"/>
  <c r="K356" i="2" s="1"/>
  <c r="L389" i="2"/>
  <c r="L356" i="2" s="1"/>
  <c r="M389" i="2"/>
  <c r="M356" i="2" s="1"/>
  <c r="N389" i="2"/>
  <c r="N356" i="2" s="1"/>
  <c r="O389" i="2"/>
  <c r="O356" i="2" s="1"/>
  <c r="P389" i="2"/>
  <c r="P356" i="2" s="1"/>
  <c r="Q389" i="2"/>
  <c r="Q356" i="2" s="1"/>
  <c r="R389" i="2"/>
  <c r="R356" i="2" s="1"/>
  <c r="D390" i="2"/>
  <c r="D357" i="2" s="1"/>
  <c r="E390" i="2"/>
  <c r="E357" i="2" s="1"/>
  <c r="F390" i="2"/>
  <c r="F357" i="2" s="1"/>
  <c r="G390" i="2"/>
  <c r="G357" i="2" s="1"/>
  <c r="H390" i="2"/>
  <c r="H357" i="2" s="1"/>
  <c r="I390" i="2"/>
  <c r="I357" i="2" s="1"/>
  <c r="J390" i="2"/>
  <c r="J357" i="2" s="1"/>
  <c r="K390" i="2"/>
  <c r="K357" i="2" s="1"/>
  <c r="L390" i="2"/>
  <c r="L357" i="2" s="1"/>
  <c r="M390" i="2"/>
  <c r="M357" i="2" s="1"/>
  <c r="N390" i="2"/>
  <c r="N357" i="2" s="1"/>
  <c r="O390" i="2"/>
  <c r="O357" i="2" s="1"/>
  <c r="P390" i="2"/>
  <c r="P357" i="2" s="1"/>
  <c r="Q390" i="2"/>
  <c r="Q357" i="2" s="1"/>
  <c r="R390" i="2"/>
  <c r="R357" i="2" s="1"/>
  <c r="D391" i="2"/>
  <c r="D358" i="2" s="1"/>
  <c r="E391" i="2"/>
  <c r="E358" i="2" s="1"/>
  <c r="F391" i="2"/>
  <c r="F358" i="2" s="1"/>
  <c r="G391" i="2"/>
  <c r="G358" i="2" s="1"/>
  <c r="H391" i="2"/>
  <c r="H358" i="2" s="1"/>
  <c r="I391" i="2"/>
  <c r="I358" i="2" s="1"/>
  <c r="J391" i="2"/>
  <c r="J358" i="2" s="1"/>
  <c r="K391" i="2"/>
  <c r="K358" i="2" s="1"/>
  <c r="L391" i="2"/>
  <c r="L358" i="2" s="1"/>
  <c r="M391" i="2"/>
  <c r="M358" i="2" s="1"/>
  <c r="N391" i="2"/>
  <c r="N358" i="2" s="1"/>
  <c r="O391" i="2"/>
  <c r="O358" i="2" s="1"/>
  <c r="P391" i="2"/>
  <c r="P358" i="2" s="1"/>
  <c r="Q391" i="2"/>
  <c r="Q358" i="2" s="1"/>
  <c r="R391" i="2"/>
  <c r="R358" i="2" s="1"/>
  <c r="D392" i="2"/>
  <c r="D359" i="2" s="1"/>
  <c r="E392" i="2"/>
  <c r="E359" i="2" s="1"/>
  <c r="F392" i="2"/>
  <c r="F359" i="2" s="1"/>
  <c r="G392" i="2"/>
  <c r="G359" i="2" s="1"/>
  <c r="H392" i="2"/>
  <c r="H359" i="2" s="1"/>
  <c r="I392" i="2"/>
  <c r="I359" i="2" s="1"/>
  <c r="J392" i="2"/>
  <c r="J359" i="2" s="1"/>
  <c r="K392" i="2"/>
  <c r="K359" i="2" s="1"/>
  <c r="L392" i="2"/>
  <c r="L359" i="2" s="1"/>
  <c r="M392" i="2"/>
  <c r="M359" i="2" s="1"/>
  <c r="N392" i="2"/>
  <c r="N359" i="2" s="1"/>
  <c r="O392" i="2"/>
  <c r="O359" i="2" s="1"/>
  <c r="P392" i="2"/>
  <c r="P359" i="2" s="1"/>
  <c r="Q392" i="2"/>
  <c r="Q359" i="2" s="1"/>
  <c r="R392" i="2"/>
  <c r="R359" i="2" s="1"/>
  <c r="D393" i="2"/>
  <c r="D360" i="2" s="1"/>
  <c r="E393" i="2"/>
  <c r="E360" i="2" s="1"/>
  <c r="F393" i="2"/>
  <c r="F360" i="2" s="1"/>
  <c r="G393" i="2"/>
  <c r="G360" i="2" s="1"/>
  <c r="H393" i="2"/>
  <c r="H360" i="2" s="1"/>
  <c r="I393" i="2"/>
  <c r="I360" i="2" s="1"/>
  <c r="J393" i="2"/>
  <c r="J360" i="2" s="1"/>
  <c r="K393" i="2"/>
  <c r="K360" i="2" s="1"/>
  <c r="L393" i="2"/>
  <c r="L360" i="2" s="1"/>
  <c r="M393" i="2"/>
  <c r="M360" i="2" s="1"/>
  <c r="N393" i="2"/>
  <c r="N360" i="2" s="1"/>
  <c r="O393" i="2"/>
  <c r="O360" i="2" s="1"/>
  <c r="P393" i="2"/>
  <c r="P360" i="2" s="1"/>
  <c r="Q393" i="2"/>
  <c r="Q360" i="2" s="1"/>
  <c r="R393" i="2"/>
  <c r="R360" i="2" s="1"/>
  <c r="D394" i="2"/>
  <c r="D361" i="2" s="1"/>
  <c r="E394" i="2"/>
  <c r="E361" i="2" s="1"/>
  <c r="F394" i="2"/>
  <c r="F361" i="2" s="1"/>
  <c r="G394" i="2"/>
  <c r="G361" i="2" s="1"/>
  <c r="H394" i="2"/>
  <c r="H361" i="2" s="1"/>
  <c r="I394" i="2"/>
  <c r="I361" i="2" s="1"/>
  <c r="J394" i="2"/>
  <c r="J361" i="2" s="1"/>
  <c r="K394" i="2"/>
  <c r="K361" i="2" s="1"/>
  <c r="L394" i="2"/>
  <c r="L361" i="2" s="1"/>
  <c r="M394" i="2"/>
  <c r="M361" i="2" s="1"/>
  <c r="N394" i="2"/>
  <c r="N361" i="2" s="1"/>
  <c r="O394" i="2"/>
  <c r="O361" i="2" s="1"/>
  <c r="P394" i="2"/>
  <c r="P361" i="2" s="1"/>
  <c r="Q394" i="2"/>
  <c r="Q361" i="2" s="1"/>
  <c r="R394" i="2"/>
  <c r="R361" i="2" s="1"/>
  <c r="G396" i="2"/>
  <c r="B234" i="2"/>
  <c r="D234" i="2"/>
  <c r="B235" i="2"/>
  <c r="C235" i="2"/>
  <c r="D235" i="2"/>
  <c r="B236" i="2"/>
  <c r="C236" i="2"/>
  <c r="D239" i="2"/>
  <c r="B247" i="2"/>
  <c r="B248" i="2"/>
  <c r="B249" i="2"/>
  <c r="B250" i="2"/>
  <c r="B239" i="2" s="1"/>
  <c r="D265" i="2"/>
  <c r="D266" i="2"/>
  <c r="B182" i="2"/>
  <c r="D182" i="2"/>
  <c r="B183" i="2"/>
  <c r="D183" i="2"/>
  <c r="C183" i="2" s="1"/>
  <c r="B184" i="2"/>
  <c r="C184" i="2"/>
  <c r="B187" i="2"/>
  <c r="D187" i="2"/>
  <c r="C187" i="2" s="1"/>
  <c r="B195" i="2"/>
  <c r="B196" i="2"/>
  <c r="B197" i="2"/>
  <c r="D213" i="2"/>
  <c r="D214" i="2"/>
  <c r="B146" i="2"/>
  <c r="B150" i="2"/>
  <c r="B154" i="2"/>
  <c r="B158" i="2" s="1"/>
  <c r="C154" i="2"/>
  <c r="C157" i="2" s="1"/>
  <c r="B156" i="2" a="1"/>
  <c r="B156" i="2" s="1"/>
  <c r="C156" i="2" a="1"/>
  <c r="C156" i="2" s="1"/>
  <c r="B159" i="2"/>
  <c r="C159" i="2"/>
  <c r="B162" i="2"/>
  <c r="C162" i="2"/>
  <c r="B75" i="2"/>
  <c r="B76" i="2"/>
  <c r="B77" i="2"/>
  <c r="B78" i="2"/>
  <c r="B79" i="2"/>
  <c r="B80" i="2"/>
  <c r="B81" i="2"/>
  <c r="B82" i="2"/>
  <c r="D121" i="2"/>
  <c r="B37" i="2"/>
  <c r="B38" i="2"/>
  <c r="B39" i="2"/>
  <c r="B40" i="2"/>
  <c r="B41" i="2"/>
  <c r="B42" i="2"/>
  <c r="B43" i="2"/>
  <c r="B44" i="2"/>
  <c r="G53" i="2"/>
  <c r="G56" i="2"/>
  <c r="B70" i="2"/>
  <c r="C70" i="2"/>
  <c r="C182" i="2" l="1"/>
  <c r="G305" i="2"/>
  <c r="S305" i="2" s="1"/>
  <c r="T305" i="2" s="1"/>
  <c r="B256" i="2"/>
  <c r="B263" i="2"/>
  <c r="D263" i="2" s="1"/>
  <c r="B163" i="2"/>
  <c r="B168" i="2" s="1"/>
  <c r="E258" i="2"/>
  <c r="F258" i="2" s="1"/>
  <c r="E239" i="2"/>
  <c r="F187" i="2"/>
  <c r="N371" i="2"/>
  <c r="E371" i="2"/>
  <c r="S368" i="2"/>
  <c r="O371" i="2"/>
  <c r="Q371" i="2"/>
  <c r="D371" i="2"/>
  <c r="P371" i="2"/>
  <c r="F371" i="2"/>
  <c r="R371" i="2"/>
  <c r="K371" i="2"/>
  <c r="L371" i="2"/>
  <c r="M371" i="2"/>
  <c r="H371" i="2"/>
  <c r="I371" i="2"/>
  <c r="J371" i="2"/>
  <c r="T366" i="2"/>
  <c r="E309" i="2"/>
  <c r="A334" i="2"/>
  <c r="K309" i="2"/>
  <c r="S307" i="2"/>
  <c r="N309" i="2"/>
  <c r="L309" i="2"/>
  <c r="P309" i="2"/>
  <c r="M309" i="2"/>
  <c r="D309" i="2"/>
  <c r="C309" i="2"/>
  <c r="O309" i="2"/>
  <c r="J309" i="2"/>
  <c r="R280" i="2"/>
  <c r="I309" i="2"/>
  <c r="H309" i="2"/>
  <c r="B276" i="2"/>
  <c r="H280" i="2"/>
  <c r="J280" i="2"/>
  <c r="I280" i="2"/>
  <c r="K280" i="2"/>
  <c r="L280" i="2"/>
  <c r="A278" i="2"/>
  <c r="M280" i="2"/>
  <c r="N280" i="2"/>
  <c r="O280" i="2"/>
  <c r="D280" i="2"/>
  <c r="P280" i="2"/>
  <c r="E280" i="2"/>
  <c r="Q280" i="2"/>
  <c r="E257" i="2"/>
  <c r="F257" i="2" s="1"/>
  <c r="D256" i="2"/>
  <c r="E234" i="2"/>
  <c r="B160" i="2"/>
  <c r="B257" i="2"/>
  <c r="D257" i="2" s="1"/>
  <c r="B204" i="2"/>
  <c r="D204" i="2" s="1"/>
  <c r="C234" i="2"/>
  <c r="C240" i="2" s="1"/>
  <c r="D236" i="2"/>
  <c r="E204" i="2"/>
  <c r="E183" i="2" s="1"/>
  <c r="E256" i="2"/>
  <c r="C155" i="2"/>
  <c r="B258" i="2"/>
  <c r="D258" i="2" s="1"/>
  <c r="C239" i="2"/>
  <c r="B155" i="2"/>
  <c r="B211" i="2"/>
  <c r="C188" i="2"/>
  <c r="C189" i="2" s="1"/>
  <c r="E205" i="2"/>
  <c r="F205" i="2" s="1"/>
  <c r="B205" i="2"/>
  <c r="D205" i="2" s="1"/>
  <c r="E206" i="2"/>
  <c r="F206" i="2" s="1"/>
  <c r="D184" i="2"/>
  <c r="C163" i="2"/>
  <c r="C168" i="2" s="1"/>
  <c r="B212" i="2"/>
  <c r="D212" i="2" s="1"/>
  <c r="B206" i="2"/>
  <c r="D206" i="2" s="1"/>
  <c r="B166" i="2"/>
  <c r="B167" i="2" s="1"/>
  <c r="F145" i="2" s="1"/>
  <c r="F151" i="2" s="1"/>
  <c r="C158" i="2"/>
  <c r="C166" i="2" s="1"/>
  <c r="C167" i="2" s="1"/>
  <c r="B157" i="2"/>
  <c r="B164" i="2" s="1"/>
  <c r="Q309" i="2" l="1"/>
  <c r="G309" i="2"/>
  <c r="J338" i="2"/>
  <c r="M338" i="2"/>
  <c r="K338" i="2"/>
  <c r="O338" i="2"/>
  <c r="L338" i="2"/>
  <c r="A336" i="2"/>
  <c r="N338" i="2"/>
  <c r="P338" i="2"/>
  <c r="H338" i="2"/>
  <c r="I338" i="2"/>
  <c r="Q338" i="2"/>
  <c r="R338" i="2"/>
  <c r="D338" i="2"/>
  <c r="E338" i="2"/>
  <c r="F338" i="2"/>
  <c r="B334" i="2"/>
  <c r="G145" i="2"/>
  <c r="H145" i="2" s="1"/>
  <c r="C241" i="2"/>
  <c r="E253" i="2"/>
  <c r="F256" i="2"/>
  <c r="F259" i="2" s="1"/>
  <c r="E235" i="2"/>
  <c r="F204" i="2"/>
  <c r="F207" i="2" s="1"/>
  <c r="F183" i="2" s="1"/>
  <c r="G257" i="2"/>
  <c r="H257" i="2" s="1"/>
  <c r="G256" i="2"/>
  <c r="E237" i="2" s="1"/>
  <c r="G258" i="2"/>
  <c r="H258" i="2" s="1"/>
  <c r="E182" i="2"/>
  <c r="F239" i="2"/>
  <c r="C242" i="2"/>
  <c r="B264" i="2"/>
  <c r="D264" i="2" s="1"/>
  <c r="D267" i="2" s="1"/>
  <c r="B259" i="2"/>
  <c r="D259" i="2"/>
  <c r="E201" i="2"/>
  <c r="D211" i="2"/>
  <c r="D215" i="2" s="1"/>
  <c r="E187" i="2"/>
  <c r="G206" i="2"/>
  <c r="H206" i="2" s="1"/>
  <c r="G205" i="2"/>
  <c r="H205" i="2" s="1"/>
  <c r="G204" i="2"/>
  <c r="C190" i="2"/>
  <c r="B207" i="2"/>
  <c r="D207" i="2"/>
  <c r="C164" i="2"/>
  <c r="C160" i="2"/>
  <c r="G151" i="2"/>
  <c r="F157" i="2"/>
  <c r="F154" i="2"/>
  <c r="B86" i="2"/>
  <c r="C121" i="2" s="1"/>
  <c r="C20" i="2"/>
  <c r="B145" i="2" s="1"/>
  <c r="B92" i="2"/>
  <c r="M15" i="2"/>
  <c r="D53" i="2"/>
  <c r="F236" i="2" l="1"/>
  <c r="F235" i="2"/>
  <c r="E236" i="2"/>
  <c r="H256" i="2"/>
  <c r="H259" i="2" s="1"/>
  <c r="E242" i="2"/>
  <c r="G335" i="2" s="1"/>
  <c r="G338" i="2" s="1"/>
  <c r="S338" i="2" s="1"/>
  <c r="A335" i="2" s="1"/>
  <c r="F234" i="2"/>
  <c r="F242" i="2" s="1"/>
  <c r="H368" i="2" s="1"/>
  <c r="G371" i="2" s="1"/>
  <c r="S371" i="2" s="1"/>
  <c r="S367" i="2" s="1"/>
  <c r="T368" i="2" s="1"/>
  <c r="F237" i="2"/>
  <c r="F182" i="2"/>
  <c r="H204" i="2"/>
  <c r="H207" i="2" s="1"/>
  <c r="F184" i="2" s="1"/>
  <c r="E184" i="2"/>
  <c r="E190" i="2" s="1"/>
  <c r="G277" i="2" s="1"/>
  <c r="G280" i="2" s="1"/>
  <c r="S280" i="2" s="1"/>
  <c r="A277" i="2" s="1"/>
  <c r="H208" i="2"/>
  <c r="E185" i="2"/>
  <c r="B147" i="2"/>
  <c r="B148" i="2" s="1"/>
  <c r="C169" i="2" s="1"/>
  <c r="B149" i="2"/>
  <c r="H151" i="2"/>
  <c r="G157" i="2"/>
  <c r="G154" i="2"/>
  <c r="B85" i="2"/>
  <c r="J334" i="2" l="1"/>
  <c r="B338" i="2"/>
  <c r="G336" i="2" s="1"/>
  <c r="J276" i="2"/>
  <c r="B280" i="2"/>
  <c r="G278" i="2" s="1"/>
  <c r="H369" i="2"/>
  <c r="T371" i="2"/>
  <c r="B224" i="2"/>
  <c r="W363" i="2" s="1"/>
  <c r="V366" i="2" s="1"/>
  <c r="B172" i="2"/>
  <c r="F190" i="2"/>
  <c r="G306" i="2" s="1"/>
  <c r="F309" i="2" s="1"/>
  <c r="R309" i="2" s="1"/>
  <c r="S306" i="2" s="1"/>
  <c r="S309" i="2" s="1"/>
  <c r="G307" i="2" s="1"/>
  <c r="F185" i="2"/>
  <c r="B151" i="2"/>
  <c r="B169" i="2"/>
  <c r="G149" i="2"/>
  <c r="F147" i="2"/>
  <c r="F149" i="2"/>
  <c r="G147" i="2"/>
  <c r="B122" i="2"/>
  <c r="B124" i="2"/>
  <c r="B123" i="2"/>
  <c r="B91" i="2"/>
  <c r="C98" i="2"/>
  <c r="B98" i="2"/>
  <c r="B87" i="2"/>
  <c r="W366" i="2" l="1"/>
  <c r="F370" i="2"/>
  <c r="R370" i="2"/>
  <c r="K370" i="2"/>
  <c r="H370" i="2"/>
  <c r="I370" i="2"/>
  <c r="J370" i="2"/>
  <c r="D370" i="2"/>
  <c r="E370" i="2"/>
  <c r="L370" i="2"/>
  <c r="P370" i="2"/>
  <c r="M370" i="2"/>
  <c r="N370" i="2"/>
  <c r="O370" i="2"/>
  <c r="Q370" i="2"/>
  <c r="V368" i="2"/>
  <c r="B175" i="2"/>
  <c r="B227" i="2"/>
  <c r="W364" i="2" s="1"/>
  <c r="G370" i="2" s="1"/>
  <c r="C230" i="2"/>
  <c r="C178" i="2"/>
  <c r="C124" i="2"/>
  <c r="D124" i="2"/>
  <c r="S370" i="2" l="1"/>
  <c r="V371" i="2"/>
  <c r="V367" i="2" s="1"/>
  <c r="W368" i="2" s="1"/>
  <c r="W371" i="2" s="1"/>
  <c r="F241" i="2"/>
  <c r="F243" i="2" s="1"/>
  <c r="F244" i="2" s="1"/>
  <c r="D230" i="2"/>
  <c r="B230" i="2" s="1"/>
  <c r="D248" i="2"/>
  <c r="E248" i="2"/>
  <c r="D196" i="2"/>
  <c r="D178" i="2"/>
  <c r="B178" i="2" s="1"/>
  <c r="F189" i="2"/>
  <c r="F191" i="2" s="1"/>
  <c r="F192" i="2" s="1"/>
  <c r="E196" i="2"/>
  <c r="C55" i="2"/>
  <c r="C104" i="2"/>
  <c r="E247" i="2" l="1"/>
  <c r="E241" i="2"/>
  <c r="D247" i="2"/>
  <c r="E243" i="2"/>
  <c r="E244" i="2" s="1"/>
  <c r="D195" i="2"/>
  <c r="E195" i="2"/>
  <c r="E189" i="2"/>
  <c r="E191" i="2"/>
  <c r="E192" i="2" s="1"/>
  <c r="C56" i="2"/>
  <c r="F56" i="2" s="1"/>
  <c r="H56" i="2" s="1"/>
  <c r="C105" i="2"/>
  <c r="C61" i="2"/>
  <c r="B47" i="2" l="1"/>
  <c r="B96" i="2"/>
  <c r="C47" i="2"/>
  <c r="C96" i="2"/>
  <c r="B97" i="2"/>
  <c r="C97" i="2"/>
  <c r="C51" i="2" l="1"/>
  <c r="C100" i="2"/>
  <c r="C50" i="2"/>
  <c r="C99" i="2"/>
  <c r="B50" i="2"/>
  <c r="B99" i="2"/>
  <c r="B51" i="2"/>
  <c r="B100" i="2"/>
  <c r="C48" i="2"/>
  <c r="C49" i="2"/>
  <c r="B48" i="2"/>
  <c r="B49" i="2"/>
  <c r="B55" i="2" l="1"/>
  <c r="B104" i="2"/>
  <c r="Q2" i="5"/>
  <c r="P2" i="5"/>
  <c r="O2" i="5"/>
  <c r="N2" i="5"/>
  <c r="B56" i="2" l="1"/>
  <c r="B105" i="2"/>
  <c r="B61" i="2"/>
  <c r="C52" i="2" l="1"/>
  <c r="C101" i="2"/>
  <c r="B52" i="2"/>
  <c r="B101" i="2"/>
  <c r="B53" i="2"/>
  <c r="C53" i="2"/>
  <c r="F53" i="2" s="1"/>
  <c r="H53" i="2" s="1"/>
  <c r="C107" i="2"/>
  <c r="B57" i="2" l="1"/>
  <c r="B108" i="2"/>
  <c r="C57" i="2"/>
  <c r="C108" i="2"/>
  <c r="C58" i="2"/>
  <c r="C109" i="2"/>
  <c r="B58" i="2"/>
  <c r="B109" i="2"/>
  <c r="C102" i="2"/>
  <c r="H23" i="2" s="1"/>
  <c r="B60" i="2"/>
  <c r="B107" i="2"/>
  <c r="C60" i="2"/>
  <c r="B102" i="2" l="1"/>
  <c r="H15" i="2" s="1"/>
  <c r="E38" i="2"/>
  <c r="F38" i="2"/>
  <c r="E43" i="2"/>
  <c r="E49" i="2" l="1"/>
  <c r="E46" i="2"/>
  <c r="B93" i="2" l="1"/>
  <c r="B88" i="2"/>
  <c r="F40" i="2"/>
  <c r="F43" i="2"/>
  <c r="B62" i="2"/>
  <c r="C62" i="2"/>
  <c r="C227" i="2"/>
  <c r="E40" i="2"/>
  <c r="C123" i="2" l="1"/>
  <c r="C122" i="2"/>
  <c r="C117" i="2"/>
  <c r="E127" i="2" s="1"/>
  <c r="B117" i="2"/>
  <c r="D127" i="2" s="1"/>
  <c r="F49" i="2"/>
  <c r="F46" i="2"/>
  <c r="D175" i="2"/>
  <c r="D227" i="2"/>
  <c r="F227" i="2" s="1"/>
  <c r="C67" i="2" l="1"/>
  <c r="C114" i="2"/>
  <c r="B65" i="2"/>
  <c r="B112" i="2"/>
  <c r="B118" i="2"/>
  <c r="D128" i="2" s="1"/>
  <c r="D122" i="2" s="1"/>
  <c r="B113" i="2"/>
  <c r="C65" i="2"/>
  <c r="C112" i="2"/>
  <c r="B66" i="2"/>
  <c r="C175" i="2"/>
  <c r="C118" i="2" l="1"/>
  <c r="E128" i="2" s="1"/>
  <c r="D123" i="2" s="1"/>
  <c r="C113" i="2"/>
  <c r="B67" i="2"/>
  <c r="B114" i="2"/>
  <c r="C66" i="2"/>
  <c r="C71" i="2"/>
  <c r="B71" i="2"/>
  <c r="C106" i="2"/>
  <c r="B106" i="2"/>
  <c r="M9" i="5" l="1"/>
  <c r="K9" i="5"/>
  <c r="H9" i="5"/>
  <c r="E9" i="5"/>
  <c r="M8" i="5"/>
  <c r="K8" i="5"/>
  <c r="H8" i="5"/>
  <c r="E8" i="5"/>
  <c r="M7" i="5"/>
  <c r="K7" i="5"/>
  <c r="H7" i="5"/>
  <c r="E7" i="5"/>
  <c r="M6" i="5"/>
  <c r="K6" i="5"/>
  <c r="H6" i="5"/>
  <c r="E6" i="5"/>
  <c r="N4" i="5"/>
  <c r="Q8" i="5" l="1"/>
  <c r="Q9" i="5"/>
  <c r="P9" i="5"/>
  <c r="Q6" i="5"/>
  <c r="P6" i="5"/>
  <c r="P8" i="5"/>
  <c r="P7" i="5"/>
  <c r="Q7" i="5"/>
  <c r="O6" i="5"/>
  <c r="N6" i="5"/>
  <c r="O8" i="5"/>
  <c r="O7" i="5"/>
  <c r="N7" i="5"/>
  <c r="N9" i="5"/>
  <c r="N8" i="5"/>
  <c r="O9" i="5"/>
  <c r="S7" i="5" l="1"/>
  <c r="R7" i="5"/>
  <c r="S6" i="5"/>
  <c r="R9" i="5"/>
  <c r="R8" i="5"/>
  <c r="R6" i="5"/>
  <c r="S9" i="5"/>
  <c r="S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NUTRIFARMA_2345</author>
  </authors>
  <commentList>
    <comment ref="D40" authorId="0" shapeId="0" xr:uid="{60E0A7CC-DA5D-46D8-AD3B-F3E843720833}">
      <text>
        <r>
          <rPr>
            <b/>
            <sz val="9"/>
            <color indexed="81"/>
            <rFont val="Segoe UI"/>
            <family val="2"/>
          </rPr>
          <t>Otávio: 
Custo em R$ com nutrição, para ganho de 1 kg de peso vivo do animal. Os fatores que alteram este valor está descrito na eficiencia alimentar.</t>
        </r>
      </text>
    </comment>
    <comment ref="A41" authorId="0" shapeId="0" xr:uid="{ECBCC087-2E7F-4DD8-AE3E-119E266D7039}">
      <text>
        <r>
          <rPr>
            <b/>
            <sz val="9"/>
            <color indexed="81"/>
            <rFont val="Segoe UI"/>
            <family val="2"/>
          </rPr>
          <t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 shapeId="0" xr:uid="{A867D52E-24E0-46E2-83A9-D16D04CA810B}">
      <text>
        <r>
          <rPr>
            <b/>
            <sz val="9"/>
            <color indexed="81"/>
            <rFont val="Segoe UI"/>
            <family val="2"/>
          </rPr>
          <t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 shapeId="0" xr:uid="{00000000-0006-0000-0700-000003000000}">
      <text>
        <r>
          <rPr>
            <b/>
            <sz val="9"/>
            <color rgb="FF000000"/>
            <rFont val="Segoe UI"/>
            <family val="2"/>
            <charset val="1"/>
          </rPr>
          <t xml:space="preserve">Otávio: 
</t>
        </r>
        <r>
          <rPr>
            <b/>
            <sz val="9"/>
            <color rgb="FF000000"/>
            <rFont val="Segoe UI"/>
            <family val="2"/>
            <charset val="1"/>
          </rPr>
          <t>Custo em R$ com nutrição, para ganho de 1 kg de peso vivo do animal. Os fatores que alteram este valor está descrito na eficiencia alimentar.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NUTRIFARMA_2345</author>
  </authors>
  <commentList>
    <comment ref="I11" authorId="0" shapeId="0" xr:uid="{529BEAC4-7CE7-4A84-8FC7-6F95498F1345}">
      <text>
        <r>
          <rPr>
            <b/>
            <sz val="9"/>
            <color indexed="81"/>
            <rFont val="Segoe UI"/>
            <family val="2"/>
          </rPr>
          <t>Otávio: 
Custo em R$ com nutrição, para ganho de 1 kg de peso vivo do animal. Os fatores que alteram este valor está descrito na eficiencia alimentar.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<sst xmlns="http://schemas.openxmlformats.org/spreadsheetml/2006/main" count="499" uniqueCount="279">
  <si>
    <t>Fazenda</t>
  </si>
  <si>
    <t>Proprietário</t>
  </si>
  <si>
    <t>Cidade/UF</t>
  </si>
  <si>
    <t>Técnico da Fazenda</t>
  </si>
  <si>
    <t>Raça</t>
  </si>
  <si>
    <t>Dieta atual</t>
  </si>
  <si>
    <t>Leite</t>
  </si>
  <si>
    <t>Ração</t>
  </si>
  <si>
    <t>Quantidades</t>
  </si>
  <si>
    <t>Enriquecimento</t>
  </si>
  <si>
    <t>Sucedâneo</t>
  </si>
  <si>
    <t>Raças</t>
  </si>
  <si>
    <t>Holandês</t>
  </si>
  <si>
    <t>Girolando</t>
  </si>
  <si>
    <t>Jersey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</si>
  <si>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</si>
  <si>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</si>
  <si>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</si>
  <si>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</si>
  <si>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</si>
  <si>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</si>
  <si>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</si>
  <si>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Desmama (dias)</t>
  </si>
  <si>
    <t>Vetilac Premium</t>
  </si>
  <si>
    <t>Vetilac Ultra</t>
  </si>
  <si>
    <t>Vetilac Premium Azul</t>
  </si>
  <si>
    <t>Proprietário:</t>
  </si>
  <si>
    <t>Fazenda:</t>
  </si>
  <si>
    <t>Nº de parto mês</t>
  </si>
  <si>
    <t>PC</t>
  </si>
  <si>
    <t>Kg/sc</t>
  </si>
  <si>
    <t>Financeiro</t>
  </si>
  <si>
    <t>Leite descarte</t>
  </si>
  <si>
    <t>Leite in natura</t>
  </si>
  <si>
    <t>Proteína</t>
  </si>
  <si>
    <t>Total dieta fornecida</t>
  </si>
  <si>
    <t xml:space="preserve">Leite </t>
  </si>
  <si>
    <t>Gordura</t>
  </si>
  <si>
    <t>Lactose</t>
  </si>
  <si>
    <t>Ração comercial</t>
  </si>
  <si>
    <t>Sucedâneo lácteo</t>
  </si>
  <si>
    <t>Toplac pré-inicial</t>
  </si>
  <si>
    <t>Dados</t>
  </si>
  <si>
    <t>À vontade</t>
  </si>
  <si>
    <t>PROTOCOLO NUTRICIONAL PARA CRIAÇÃO DE BEZERRAS                                                                                                                                 BEZERRAS RECÉM NASCIDAS</t>
  </si>
  <si>
    <t>PRÁTICA</t>
  </si>
  <si>
    <t>QUANTIDADE</t>
  </si>
  <si>
    <t>QUANDO</t>
  </si>
  <si>
    <t>COMO</t>
  </si>
  <si>
    <t>OBSERVAÇÃO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</si>
  <si>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</si>
  <si>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</si>
  <si>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</si>
  <si>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</si>
  <si>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</si>
  <si>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</si>
  <si>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A partir do 3º dias de vida à 60  dias de idade</t>
  </si>
  <si>
    <t>No cocho</t>
  </si>
  <si>
    <t>Fornecer no cocho em pequenas quantidades várias vezes ao dia.</t>
  </si>
  <si>
    <t>A partir da 1º semana de vida</t>
  </si>
  <si>
    <t>Em cocho automático ou em balde</t>
  </si>
  <si>
    <t>Evitar acesso 1 hora antes e 1 hora após o fornecimento do leite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</si>
  <si>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</si>
  <si>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</si>
  <si>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</si>
  <si>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</si>
  <si>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</si>
  <si>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</si>
  <si>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</si>
  <si>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</si>
  <si>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Faz. Céu Azul</t>
  </si>
  <si>
    <t>José Luiz Zago</t>
  </si>
  <si>
    <t>Técnico:</t>
  </si>
  <si>
    <t>Otávio José</t>
  </si>
  <si>
    <t>Telefone:</t>
  </si>
  <si>
    <t>(34)99157-0327</t>
  </si>
  <si>
    <t>LEITE</t>
  </si>
  <si>
    <t>TOPLAC PRÉ INICIAL</t>
  </si>
  <si>
    <t>Fornecimento de água</t>
  </si>
  <si>
    <t>Desmama</t>
  </si>
  <si>
    <t>Feno (opcional)</t>
  </si>
  <si>
    <t>Parâmetros</t>
  </si>
  <si>
    <t>Produtor</t>
  </si>
  <si>
    <t>Dias em aleitamento</t>
  </si>
  <si>
    <t>Peso médio nascimento (kg)</t>
  </si>
  <si>
    <t>Ganho total período (kg)</t>
  </si>
  <si>
    <t xml:space="preserve">Peso bezerra (kg) </t>
  </si>
  <si>
    <t>R$/kg de ganho</t>
  </si>
  <si>
    <t>Sólidos no leite (%)</t>
  </si>
  <si>
    <t>GPD médio</t>
  </si>
  <si>
    <t>Nº de bezerras</t>
  </si>
  <si>
    <t>Diluição</t>
  </si>
  <si>
    <t>Substituição.Total</t>
  </si>
  <si>
    <t>Substituição.Parcial</t>
  </si>
  <si>
    <t>Ultramilk</t>
  </si>
  <si>
    <t>Técnico Agrifirm</t>
  </si>
  <si>
    <t>Agrifirm</t>
  </si>
  <si>
    <t>MS</t>
  </si>
  <si>
    <t>Silagem de milho</t>
  </si>
  <si>
    <t>Volumoso</t>
  </si>
  <si>
    <t>Concentrado</t>
  </si>
  <si>
    <t>Feno tipo A</t>
  </si>
  <si>
    <t>PESO1</t>
  </si>
  <si>
    <t>PESO2</t>
  </si>
  <si>
    <t>ALTURA1</t>
  </si>
  <si>
    <t>ALTURA2</t>
  </si>
  <si>
    <t>Peso x Altura2</t>
  </si>
  <si>
    <t>Peso x Altura1</t>
  </si>
  <si>
    <t>Diferença</t>
  </si>
  <si>
    <t>Empresa</t>
  </si>
  <si>
    <t>PB (%)</t>
  </si>
  <si>
    <t>EE      (%)</t>
  </si>
  <si>
    <t>Lactose   (%)</t>
  </si>
  <si>
    <t xml:space="preserve">Vetilac Azul </t>
  </si>
  <si>
    <t>Vetilac Ultamilk</t>
  </si>
  <si>
    <t>Nurture Lactal</t>
  </si>
  <si>
    <t>Cargill</t>
  </si>
  <si>
    <t>Nurture Prime</t>
  </si>
  <si>
    <t>Nurture Bovilac</t>
  </si>
  <si>
    <t>Amamilk Premium</t>
  </si>
  <si>
    <t>Diamaju</t>
  </si>
  <si>
    <t>Amamenta Premium</t>
  </si>
  <si>
    <t>Neovia</t>
  </si>
  <si>
    <t>Kalvolac Quick</t>
  </si>
  <si>
    <t>Nutrifeed</t>
  </si>
  <si>
    <t>Kalvolac</t>
  </si>
  <si>
    <t>Desmamelac Premium</t>
  </si>
  <si>
    <t>PNI</t>
  </si>
  <si>
    <t>PrimoLácteo</t>
  </si>
  <si>
    <t>Tectron</t>
  </si>
  <si>
    <t>Sprayfo azul</t>
  </si>
  <si>
    <t>Trow Nutrition</t>
  </si>
  <si>
    <t>Sprayfo violeta</t>
  </si>
  <si>
    <t>Lactech</t>
  </si>
  <si>
    <t>Lactalis Feed</t>
  </si>
  <si>
    <t>Lactoplus</t>
  </si>
  <si>
    <t>Baspan</t>
  </si>
  <si>
    <t>Outro</t>
  </si>
  <si>
    <t>kg ou lt</t>
  </si>
  <si>
    <t>e-mail</t>
  </si>
  <si>
    <t>Coluna1</t>
  </si>
  <si>
    <t>Consumo ração inicial (total kg)</t>
  </si>
  <si>
    <t>Ração Pré Inicial Agrifirm</t>
  </si>
  <si>
    <t>NUTRIÇÃO AGRIFIRM</t>
  </si>
  <si>
    <t>Ingestão de sólidos Leite (kg)</t>
  </si>
  <si>
    <t>José da Silva</t>
  </si>
  <si>
    <t>Montes Claros</t>
  </si>
  <si>
    <t>Castro/PR</t>
  </si>
  <si>
    <t>042 99915-2168</t>
  </si>
  <si>
    <t>j.silva@gmail.com</t>
  </si>
  <si>
    <t>Elinton W. Carneiro</t>
  </si>
  <si>
    <t>Pedro da Silva</t>
  </si>
  <si>
    <t>Cruzadas</t>
  </si>
  <si>
    <t>R$/lt/kg</t>
  </si>
  <si>
    <t>Cód.</t>
  </si>
  <si>
    <t>Peso médio das bezerras (kg)</t>
  </si>
  <si>
    <t>GPD esperado (g/dia):</t>
  </si>
  <si>
    <t xml:space="preserve">Necessidade para GPD </t>
  </si>
  <si>
    <t>Proteína                        g/dia</t>
  </si>
  <si>
    <t>Energia Metabolizável     Mcal/dia</t>
  </si>
  <si>
    <t>Dieta Líquida fornecida</t>
  </si>
  <si>
    <t>Tipo de Leite utilizado:</t>
  </si>
  <si>
    <t>Enriquecimento:</t>
  </si>
  <si>
    <t>Dieta concentrada</t>
  </si>
  <si>
    <t>300g</t>
  </si>
  <si>
    <t>Necessidade</t>
  </si>
  <si>
    <t>Enriquecimento do leite</t>
  </si>
  <si>
    <t>kg ou lt2</t>
  </si>
  <si>
    <t>Volume de Sucedâneo Lácteo</t>
  </si>
  <si>
    <t>EFICIÊNCIA ALIMENTAR</t>
  </si>
  <si>
    <t>IMS total (leite e/ou suced. + ração (kg)</t>
  </si>
  <si>
    <t>Sucedâneo:</t>
  </si>
  <si>
    <t>lt/kg/dia</t>
  </si>
  <si>
    <t>Sólidos/kg/lt</t>
  </si>
  <si>
    <t>Ração comercial 18%</t>
  </si>
  <si>
    <t>Ração comercial 20%</t>
  </si>
  <si>
    <t xml:space="preserve">      Necessidade MS  Leite/Sucedâneo (kg)</t>
  </si>
  <si>
    <t>sucedâneo</t>
  </si>
  <si>
    <t>leite</t>
  </si>
  <si>
    <t>Idade das bezerras (dias)</t>
  </si>
  <si>
    <t>Peso a desmama (kg)</t>
  </si>
  <si>
    <t>*Proteína - leite e suced. 93%; ração 81%</t>
  </si>
  <si>
    <t>Amido</t>
  </si>
  <si>
    <t>Energia metabolizável Mcal/dia</t>
  </si>
  <si>
    <t xml:space="preserve">Dias para atingir o peso </t>
  </si>
  <si>
    <t xml:space="preserve">      Necessidade MS  (kg)</t>
  </si>
  <si>
    <t>ED</t>
  </si>
  <si>
    <t>Ração comercial 22%</t>
  </si>
  <si>
    <t>Ração comercial 24%</t>
  </si>
  <si>
    <t>EM</t>
  </si>
  <si>
    <t>Ração Pré Inicial 21% Agrifirm</t>
  </si>
  <si>
    <t>PROTEINA METABOLIZÁVEL (g/dia)</t>
  </si>
  <si>
    <t>ENERGIA METABOLIZÁVEL Mcal/dia</t>
  </si>
  <si>
    <t>Sem leite</t>
  </si>
  <si>
    <t>1 kg NDT = 4,4 Mcal ED</t>
  </si>
  <si>
    <t>EM = 0,82 x ED</t>
  </si>
  <si>
    <t>RAÇÃO PRÉ INICIAL = 82,2% NDT</t>
  </si>
  <si>
    <t>AGRIFIRM</t>
  </si>
  <si>
    <t>valor primeira linha</t>
  </si>
  <si>
    <t>Valor coluna</t>
  </si>
  <si>
    <t>Valor primeira coluna =</t>
  </si>
  <si>
    <t>loock</t>
  </si>
  <si>
    <t>PRODUTOR</t>
  </si>
  <si>
    <t>PB</t>
  </si>
  <si>
    <t>PM</t>
  </si>
  <si>
    <t>Volume para atender prot</t>
  </si>
  <si>
    <t>volume para atender energ</t>
  </si>
  <si>
    <t>Marca</t>
  </si>
  <si>
    <t>Sólidos no leite</t>
  </si>
  <si>
    <t>Total de sólidos</t>
  </si>
  <si>
    <t>Fibra</t>
  </si>
  <si>
    <t>SUCEDÂNEO</t>
  </si>
  <si>
    <t>%</t>
  </si>
  <si>
    <t>kcal/kg</t>
  </si>
  <si>
    <t>M. Mineral</t>
  </si>
  <si>
    <t>Peso ideal aos 60 dias</t>
  </si>
  <si>
    <t>Peso da bezerra (kg)</t>
  </si>
  <si>
    <t>Consumo médio ração/dia</t>
  </si>
  <si>
    <t>peso</t>
  </si>
  <si>
    <t>ganho</t>
  </si>
  <si>
    <t>Necessidade ganho de peso (g)</t>
  </si>
  <si>
    <t>Sólidos no leite %</t>
  </si>
  <si>
    <t>Consumo total (Sucedâneo e/ou leite) R$</t>
  </si>
  <si>
    <t>Consumo total (Ração) R$</t>
  </si>
  <si>
    <t>Custo total alimentação (R$/Bezerra)</t>
  </si>
  <si>
    <t>Custo alimentação (R$/bezerra/dia)</t>
  </si>
  <si>
    <t>Custo alimentação (R$/bezerra/60 dias)</t>
  </si>
  <si>
    <t>Meta</t>
  </si>
  <si>
    <t xml:space="preserve">PM </t>
  </si>
  <si>
    <t xml:space="preserve">EM </t>
  </si>
  <si>
    <t>Dieta</t>
  </si>
  <si>
    <t>PAGINA INICIAL</t>
  </si>
  <si>
    <t>PAGINA 2</t>
  </si>
  <si>
    <t>Custo por kg de MS (Leite e/ou Sucedâneo)</t>
  </si>
  <si>
    <t>Consumo de MS predito (kg/dia)</t>
  </si>
  <si>
    <t>Consumo de MS fornecido por dia</t>
  </si>
  <si>
    <t>META</t>
  </si>
  <si>
    <t>Nascimento</t>
  </si>
  <si>
    <t>Volume de Sucedâneo Lácteo período</t>
  </si>
  <si>
    <t>Volume leite fornecido período (lt)</t>
  </si>
  <si>
    <t>Volume leite fornecido (lt/dia)</t>
  </si>
  <si>
    <t>Volume leite fornecido( lt/dia)</t>
  </si>
  <si>
    <t>Volume leite fornecido média (lt/dia)</t>
  </si>
  <si>
    <t>Volume de Sucedâneo Lácteo período (kg)</t>
  </si>
  <si>
    <t>Custo alimentação período(R$/bezerra)</t>
  </si>
  <si>
    <t>Consumo ração no período (total kg)</t>
  </si>
  <si>
    <t>IMS total (leite e/ou suced. + ração) (kg)</t>
  </si>
  <si>
    <t>Volume de Sucedâneo Lácteo kg/dia</t>
  </si>
  <si>
    <t>Sc/bezerra</t>
  </si>
  <si>
    <t>Ração pré inicial</t>
  </si>
  <si>
    <t>Sólidos no leite/sucedâneo</t>
  </si>
  <si>
    <t>Necessidades</t>
  </si>
  <si>
    <t>Dados 2</t>
  </si>
  <si>
    <t>Parametros</t>
  </si>
  <si>
    <r>
      <t xml:space="preserve">Leite </t>
    </r>
    <r>
      <rPr>
        <i/>
        <sz val="10"/>
        <color theme="1"/>
        <rFont val="Calibri"/>
        <family val="2"/>
        <scheme val="minor"/>
      </rPr>
      <t>in natura</t>
    </r>
  </si>
  <si>
    <t>Relatório Financeiro</t>
  </si>
  <si>
    <t>Relatório Técnico</t>
  </si>
  <si>
    <t>Programa PG</t>
  </si>
  <si>
    <t>Viabilidade</t>
  </si>
  <si>
    <t>Concorrente</t>
  </si>
  <si>
    <t>$produtor_leite_coluna_1</t>
  </si>
  <si>
    <t>$produtor_leite_kglt</t>
  </si>
  <si>
    <t>$produtor_sucedaneo_kglt</t>
  </si>
  <si>
    <t>$produtor_sucedaneo_kglt2</t>
  </si>
  <si>
    <t>$produtor_enriquecimento_kglt2</t>
  </si>
  <si>
    <t>$produtor_racao_coluna1</t>
  </si>
  <si>
    <t>$nutricao_leite_dieta</t>
  </si>
  <si>
    <t>$nutricao_leite_kglt</t>
  </si>
  <si>
    <t>$nutricao_kalvolac_dieta</t>
  </si>
  <si>
    <t>$nutricao_kalvolac_diluicao</t>
  </si>
  <si>
    <t>$nutricao_kalvolac_kglt</t>
  </si>
  <si>
    <t>$nutricao_enriquecimento_kglt</t>
  </si>
  <si>
    <t>$nutricao_enriquecimento_kglt2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</si>
  <si>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</si>
  <si>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</si>
  <si>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</si>
  <si>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</si>
  <si>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Literatura</t>
  </si>
  <si>
    <t>Protocolo2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</si>
</sst>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8" formatCode="&quot;R$&quot;\ #,##0.00;[Red]\-&quot;R$&quot;\ #,##0.00"/>
    <numFmt numFmtId="43" formatCode="_-* #,##0.00_-;\-* #,##0.00_-;_-* &quot;-&quot;??_-;_-@_-"/>
    <numFmt numFmtId="164" formatCode="General\ &quot;g/dia&quot;"/>
    <numFmt numFmtId="165" formatCode="0.0"/>
    <numFmt numFmtId="166" formatCode="0.000"/>
    <numFmt numFmtId="167" formatCode="0.000\ &quot;kg/dia&quot;"/>
    <numFmt numFmtId="168" formatCode="General\ &quot;g&quot;"/>
    <numFmt numFmtId="169" formatCode="General\ &quot;lts/dia&quot;"/>
    <numFmt numFmtId="170" formatCode="0\ &quot;g/dia&quot;"/>
    <numFmt numFmtId="171" formatCode="General\ &quot;Kcal&quot;"/>
    <numFmt numFmtId="172" formatCode="General\ &quot;Kcal/dia&quot;"/>
    <numFmt numFmtId="173" formatCode="0\ &quot;Kcal/dia&quot;"/>
    <numFmt numFmtId="174" formatCode="0.00\ &quot;g/dia&quot;"/>
    <numFmt numFmtId="175" formatCode="General\ &quot;g/kg&quot;"/>
    <numFmt numFmtId="176" formatCode="General\ &quot;Kcal/kg&quot;"/>
    <numFmt numFmtId="177" formatCode="&quot;R$&quot;\ #,##0.000;[Red]\-&quot;R$&quot;\ #,##0.000"/>
    <numFmt numFmtId="178" formatCode="0.0000"/>
    <numFmt numFmtId="179" formatCode="_-* #,##0_-;\-* #,##0_-;_-* &quot;-&quot;??_-;_-@_-"/>
    <numFmt numFmtId="180" formatCode="0.0\ &quot;g/dia&quot;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b/>
      <sz val="12"/>
      <color rgb="FF000000"/>
      <name val="Arial"/>
      <family val="2"/>
    </font>
    <font>
      <sz val="9"/>
      <color theme="0" tint="-0.34998626667073579"/>
      <name val="Arial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rgb="FF000000"/>
      <name val="Segoe UI"/>
      <family val="2"/>
      <charset val="1"/>
    </font>
    <font>
      <b/>
      <sz val="10"/>
      <color rgb="FF0066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66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rgb="FFD7E4B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medium">
        <color rgb="FF006600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rgb="FF006600"/>
      </right>
      <top/>
      <bottom style="thin">
        <color theme="9" tint="-0.249977111117893"/>
      </bottom>
      <diagonal/>
    </border>
    <border>
      <left style="medium">
        <color rgb="FF006600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medium">
        <color rgb="FF006600"/>
      </right>
      <top style="thin">
        <color theme="9" tint="-0.249977111117893"/>
      </top>
      <bottom/>
      <diagonal/>
    </border>
    <border>
      <left style="medium">
        <color rgb="FF006600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medium">
        <color rgb="FF00660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66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66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6600"/>
      </bottom>
      <diagonal/>
    </border>
    <border>
      <left style="medium">
        <color rgb="FF006600"/>
      </left>
      <right style="thin">
        <color indexed="64"/>
      </right>
      <top style="medium">
        <color rgb="FF006600"/>
      </top>
      <bottom/>
      <diagonal/>
    </border>
    <border>
      <left style="medium">
        <color rgb="FF006600"/>
      </left>
      <right style="thin">
        <color indexed="64"/>
      </right>
      <top/>
      <bottom/>
      <diagonal/>
    </border>
    <border>
      <left style="medium">
        <color rgb="FF006600"/>
      </left>
      <right style="thin">
        <color indexed="64"/>
      </right>
      <top/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66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6600"/>
      </right>
      <top style="thin">
        <color indexed="64"/>
      </top>
      <bottom/>
      <diagonal/>
    </border>
    <border>
      <left style="thin">
        <color indexed="64"/>
      </left>
      <right style="medium">
        <color rgb="FF006600"/>
      </right>
      <top/>
      <bottom/>
      <diagonal/>
    </border>
    <border>
      <left style="thin">
        <color indexed="64"/>
      </left>
      <right style="medium">
        <color rgb="FF006600"/>
      </right>
      <top/>
      <bottom style="medium">
        <color rgb="FF006600"/>
      </bottom>
      <diagonal/>
    </border>
  </borders>
  <cellStyleXfs count="6">
    <xf numFmtId="0" fontId="0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2" fillId="0" borderId="0"/>
  </cellStyleXfs>
  <cellXfs count="370">
    <xf numFmtId="0" fontId="0" fillId="0" borderId="0" xfId="0"/>
    <xf numFmtId="0" fontId="0" fillId="0" borderId="0" xfId="0" applyAlignment="1">
      <alignment horizontal="center"/>
    </xf>
    <xf numFmtId="0" fontId="6" fillId="3" borderId="4" xfId="0" applyFont="1" applyFill="1" applyBorder="1" applyAlignment="1">
      <alignment horizontal="center" wrapText="1" readingOrder="1"/>
    </xf>
    <xf numFmtId="0" fontId="7" fillId="3" borderId="9" xfId="0" applyFont="1" applyFill="1" applyBorder="1" applyAlignment="1">
      <alignment horizont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11" xfId="0" applyFont="1" applyFill="1" applyBorder="1" applyAlignment="1">
      <alignment horizontal="center" vertical="center" wrapText="1" readingOrder="1"/>
    </xf>
    <xf numFmtId="0" fontId="8" fillId="3" borderId="12" xfId="0" applyFont="1" applyFill="1" applyBorder="1" applyAlignment="1">
      <alignment horizontal="center" vertical="center" wrapText="1" readingOrder="1"/>
    </xf>
    <xf numFmtId="0" fontId="8" fillId="3" borderId="13" xfId="0" applyFont="1" applyFill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7" fillId="0" borderId="17" xfId="0" applyFont="1" applyBorder="1" applyAlignment="1">
      <alignment horizontal="center" vertical="center" wrapText="1" readingOrder="1"/>
    </xf>
    <xf numFmtId="0" fontId="7" fillId="0" borderId="18" xfId="0" applyFont="1" applyBorder="1" applyAlignment="1">
      <alignment horizontal="center" vertical="center" wrapText="1" readingOrder="1"/>
    </xf>
    <xf numFmtId="0" fontId="7" fillId="3" borderId="14" xfId="0" applyFont="1" applyFill="1" applyBorder="1" applyAlignment="1">
      <alignment horizontal="center" vertical="center" wrapText="1" readingOrder="1"/>
    </xf>
    <xf numFmtId="0" fontId="7" fillId="3" borderId="15" xfId="0" applyFont="1" applyFill="1" applyBorder="1" applyAlignment="1">
      <alignment horizontal="center" vertical="center" wrapText="1" readingOrder="1"/>
    </xf>
    <xf numFmtId="0" fontId="7" fillId="3" borderId="16" xfId="0" applyFont="1" applyFill="1" applyBorder="1" applyAlignment="1">
      <alignment horizontal="center" vertical="center" wrapText="1" readingOrder="1"/>
    </xf>
    <xf numFmtId="0" fontId="7" fillId="3" borderId="17" xfId="0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11" fillId="2" borderId="14" xfId="0" applyFont="1" applyFill="1" applyBorder="1" applyAlignment="1">
      <alignment horizontal="center" vertical="center" wrapText="1" readingOrder="1"/>
    </xf>
    <xf numFmtId="0" fontId="11" fillId="2" borderId="15" xfId="0" applyFont="1" applyFill="1" applyBorder="1" applyAlignment="1">
      <alignment horizontal="center" vertical="center" wrapText="1" readingOrder="1"/>
    </xf>
    <xf numFmtId="0" fontId="11" fillId="2" borderId="16" xfId="0" applyFont="1" applyFill="1" applyBorder="1" applyAlignment="1">
      <alignment horizontal="center" vertical="center" wrapText="1" readingOrder="1"/>
    </xf>
    <xf numFmtId="0" fontId="11" fillId="2" borderId="17" xfId="0" applyFont="1" applyFill="1" applyBorder="1" applyAlignment="1">
      <alignment horizontal="center" vertical="center" wrapText="1" readingOrder="1"/>
    </xf>
    <xf numFmtId="0" fontId="11" fillId="2" borderId="18" xfId="0" applyFont="1" applyFill="1" applyBorder="1" applyAlignment="1">
      <alignment horizontal="center" vertical="center" wrapText="1" readingOrder="1"/>
    </xf>
    <xf numFmtId="165" fontId="10" fillId="0" borderId="0" xfId="0" applyNumberFormat="1" applyFont="1" applyAlignment="1">
      <alignment horizontal="center" vertical="center" wrapText="1" readingOrder="1"/>
    </xf>
    <xf numFmtId="165" fontId="10" fillId="0" borderId="19" xfId="0" applyNumberFormat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7" fillId="3" borderId="9" xfId="0" applyFont="1" applyFill="1" applyBorder="1" applyAlignment="1">
      <alignment horizontal="center" vertical="center" wrapText="1" readingOrder="1"/>
    </xf>
    <xf numFmtId="0" fontId="7" fillId="3" borderId="24" xfId="0" applyFont="1" applyFill="1" applyBorder="1" applyAlignment="1">
      <alignment horizontal="center" vertical="center" wrapText="1" readingOrder="1"/>
    </xf>
    <xf numFmtId="0" fontId="7" fillId="3" borderId="25" xfId="0" applyFont="1" applyFill="1" applyBorder="1" applyAlignment="1">
      <alignment horizontal="center" vertical="center" wrapText="1" readingOrder="1"/>
    </xf>
    <xf numFmtId="165" fontId="10" fillId="0" borderId="20" xfId="0" applyNumberFormat="1" applyFont="1" applyBorder="1" applyAlignment="1">
      <alignment horizontal="center" vertical="center" wrapText="1" readingOrder="1"/>
    </xf>
    <xf numFmtId="0" fontId="7" fillId="3" borderId="26" xfId="0" applyFont="1" applyFill="1" applyBorder="1" applyAlignment="1">
      <alignment horizontal="center" vertical="center" wrapText="1" readingOrder="1"/>
    </xf>
    <xf numFmtId="0" fontId="7" fillId="3" borderId="27" xfId="0" applyFont="1" applyFill="1" applyBorder="1" applyAlignment="1">
      <alignment horizontal="center" vertical="center" wrapText="1" readingOrder="1"/>
    </xf>
    <xf numFmtId="165" fontId="10" fillId="0" borderId="21" xfId="0" applyNumberFormat="1" applyFont="1" applyBorder="1" applyAlignment="1">
      <alignment horizontal="center" vertical="center" wrapText="1" readingOrder="1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/>
    <xf numFmtId="0" fontId="18" fillId="0" borderId="0" xfId="0" applyFont="1" applyAlignment="1">
      <alignment vertical="top" wrapText="1"/>
    </xf>
    <xf numFmtId="2" fontId="28" fillId="0" borderId="0" xfId="0" applyNumberFormat="1" applyFont="1" applyAlignment="1" applyProtection="1">
      <alignment horizontal="center"/>
      <protection hidden="1"/>
    </xf>
    <xf numFmtId="165" fontId="28" fillId="0" borderId="0" xfId="0" applyNumberFormat="1" applyFont="1" applyAlignment="1" applyProtection="1">
      <alignment horizontal="center"/>
      <protection hidden="1"/>
    </xf>
    <xf numFmtId="0" fontId="23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8" fontId="23" fillId="0" borderId="0" xfId="0" applyNumberFormat="1" applyFont="1" applyAlignment="1" applyProtection="1">
      <alignment horizontal="center" vertical="center" wrapText="1"/>
      <protection hidden="1"/>
    </xf>
    <xf numFmtId="9" fontId="0" fillId="0" borderId="0" xfId="1" applyFont="1" applyFill="1" applyBorder="1" applyAlignment="1" applyProtection="1">
      <alignment horizontal="left" vertical="center"/>
      <protection hidden="1"/>
    </xf>
    <xf numFmtId="8" fontId="0" fillId="0" borderId="0" xfId="0" applyNumberFormat="1" applyProtection="1">
      <protection hidden="1"/>
    </xf>
    <xf numFmtId="0" fontId="0" fillId="0" borderId="0" xfId="0" applyProtection="1">
      <protection hidden="1"/>
    </xf>
    <xf numFmtId="2" fontId="23" fillId="0" borderId="0" xfId="0" applyNumberFormat="1" applyFont="1" applyAlignment="1" applyProtection="1">
      <alignment horizontal="center" vertical="center" wrapText="1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0" fillId="0" borderId="0" xfId="0" applyAlignment="1">
      <alignment vertical="top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29" fillId="0" borderId="0" xfId="0" applyFont="1" applyAlignment="1">
      <alignment horizontal="left" vertical="center"/>
    </xf>
    <xf numFmtId="166" fontId="0" fillId="0" borderId="0" xfId="0" applyNumberFormat="1" applyAlignment="1">
      <alignment horizontal="left"/>
    </xf>
    <xf numFmtId="9" fontId="0" fillId="0" borderId="0" xfId="0" applyNumberFormat="1"/>
    <xf numFmtId="0" fontId="2" fillId="0" borderId="0" xfId="5" applyAlignment="1">
      <alignment horizontal="left"/>
    </xf>
    <xf numFmtId="0" fontId="24" fillId="0" borderId="0" xfId="5" applyFont="1" applyAlignment="1">
      <alignment horizontal="left"/>
    </xf>
    <xf numFmtId="1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9" fontId="15" fillId="0" borderId="75" xfId="1" applyFont="1" applyFill="1" applyBorder="1" applyAlignment="1" applyProtection="1">
      <alignment horizontal="left" vertical="center"/>
      <protection hidden="1"/>
    </xf>
    <xf numFmtId="9" fontId="15" fillId="0" borderId="0" xfId="1" applyFont="1" applyFill="1" applyBorder="1" applyAlignment="1" applyProtection="1">
      <alignment horizontal="left"/>
      <protection hidden="1"/>
    </xf>
    <xf numFmtId="3" fontId="32" fillId="0" borderId="0" xfId="2" applyNumberFormat="1" applyFont="1" applyFill="1" applyBorder="1" applyAlignment="1">
      <alignment horizontal="left" vertical="center"/>
    </xf>
    <xf numFmtId="179" fontId="32" fillId="0" borderId="20" xfId="2" applyNumberFormat="1" applyFont="1" applyFill="1" applyBorder="1" applyAlignment="1" applyProtection="1">
      <alignment horizontal="left" vertical="center"/>
      <protection hidden="1"/>
    </xf>
    <xf numFmtId="1" fontId="32" fillId="0" borderId="0" xfId="2" applyNumberFormat="1" applyFont="1" applyFill="1" applyBorder="1" applyAlignment="1">
      <alignment horizontal="left" vertical="center"/>
    </xf>
    <xf numFmtId="9" fontId="15" fillId="0" borderId="0" xfId="1" applyFont="1" applyFill="1" applyBorder="1" applyAlignment="1">
      <alignment horizontal="left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35" fillId="0" borderId="0" xfId="0" applyFont="1" applyAlignment="1">
      <alignment horizontal="left" vertical="center"/>
    </xf>
    <xf numFmtId="14" fontId="28" fillId="0" borderId="0" xfId="0" applyNumberFormat="1" applyFont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54" xfId="0" applyFont="1" applyBorder="1" applyAlignment="1">
      <alignment horizontal="left"/>
    </xf>
    <xf numFmtId="0" fontId="28" fillId="0" borderId="0" xfId="0" applyFont="1" applyAlignment="1">
      <alignment horizontal="left" indent="1"/>
    </xf>
    <xf numFmtId="0" fontId="28" fillId="0" borderId="44" xfId="0" applyFont="1" applyBorder="1" applyAlignment="1" applyProtection="1">
      <alignment horizontal="left"/>
      <protection locked="0"/>
    </xf>
    <xf numFmtId="0" fontId="28" fillId="0" borderId="19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34" fillId="0" borderId="53" xfId="0" applyFont="1" applyBorder="1" applyAlignment="1">
      <alignment horizontal="left"/>
    </xf>
    <xf numFmtId="0" fontId="34" fillId="0" borderId="80" xfId="0" applyFont="1" applyBorder="1" applyAlignment="1">
      <alignment horizontal="left"/>
    </xf>
    <xf numFmtId="0" fontId="34" fillId="0" borderId="76" xfId="0" applyFont="1" applyBorder="1" applyAlignment="1">
      <alignment horizontal="left"/>
    </xf>
    <xf numFmtId="0" fontId="34" fillId="0" borderId="77" xfId="0" applyFont="1" applyBorder="1" applyAlignment="1">
      <alignment horizontal="left"/>
    </xf>
    <xf numFmtId="0" fontId="36" fillId="0" borderId="44" xfId="3" applyFont="1" applyFill="1" applyBorder="1" applyAlignment="1" applyProtection="1">
      <alignment horizontal="left"/>
      <protection locked="0"/>
    </xf>
    <xf numFmtId="0" fontId="28" fillId="0" borderId="45" xfId="0" applyFont="1" applyBorder="1" applyAlignment="1">
      <alignment horizontal="left"/>
    </xf>
    <xf numFmtId="2" fontId="28" fillId="0" borderId="45" xfId="0" applyNumberFormat="1" applyFont="1" applyBorder="1" applyAlignment="1">
      <alignment horizontal="left" vertical="center"/>
    </xf>
    <xf numFmtId="2" fontId="28" fillId="0" borderId="55" xfId="0" applyNumberFormat="1" applyFont="1" applyBorder="1" applyAlignment="1" applyProtection="1">
      <alignment horizontal="left"/>
      <protection locked="0"/>
    </xf>
    <xf numFmtId="0" fontId="28" fillId="0" borderId="39" xfId="0" applyFont="1" applyBorder="1" applyAlignment="1">
      <alignment horizontal="left"/>
    </xf>
    <xf numFmtId="178" fontId="28" fillId="0" borderId="55" xfId="2" applyNumberFormat="1" applyFont="1" applyFill="1" applyBorder="1" applyAlignment="1" applyProtection="1">
      <alignment horizontal="left" vertical="center" indent="2"/>
      <protection locked="0"/>
    </xf>
    <xf numFmtId="2" fontId="28" fillId="0" borderId="39" xfId="0" applyNumberFormat="1" applyFont="1" applyBorder="1" applyAlignment="1">
      <alignment horizontal="left" vertical="center"/>
    </xf>
    <xf numFmtId="2" fontId="28" fillId="0" borderId="44" xfId="0" applyNumberFormat="1" applyFont="1" applyBorder="1" applyAlignment="1">
      <alignment horizontal="left" vertical="center"/>
    </xf>
    <xf numFmtId="2" fontId="28" fillId="0" borderId="55" xfId="0" applyNumberFormat="1" applyFont="1" applyBorder="1" applyAlignment="1" applyProtection="1">
      <alignment horizontal="left" vertical="center" indent="2"/>
      <protection locked="0"/>
    </xf>
    <xf numFmtId="2" fontId="28" fillId="0" borderId="31" xfId="0" applyNumberFormat="1" applyFont="1" applyBorder="1" applyAlignment="1">
      <alignment horizontal="left" vertical="center"/>
    </xf>
    <xf numFmtId="2" fontId="28" fillId="0" borderId="57" xfId="0" applyNumberFormat="1" applyFont="1" applyBorder="1" applyAlignment="1" applyProtection="1">
      <alignment horizontal="left"/>
      <protection locked="0"/>
    </xf>
    <xf numFmtId="2" fontId="28" fillId="0" borderId="58" xfId="0" applyNumberFormat="1" applyFont="1" applyBorder="1" applyAlignment="1" applyProtection="1">
      <alignment horizontal="left" vertical="center" indent="2"/>
      <protection locked="0"/>
    </xf>
    <xf numFmtId="0" fontId="28" fillId="0" borderId="44" xfId="0" applyFont="1" applyBorder="1" applyAlignment="1" applyProtection="1">
      <alignment horizontal="left"/>
      <protection hidden="1"/>
    </xf>
    <xf numFmtId="2" fontId="28" fillId="0" borderId="0" xfId="0" applyNumberFormat="1" applyFont="1" applyAlignment="1">
      <alignment horizontal="left"/>
    </xf>
    <xf numFmtId="0" fontId="23" fillId="0" borderId="54" xfId="0" applyFont="1" applyBorder="1" applyAlignment="1">
      <alignment horizontal="left"/>
    </xf>
    <xf numFmtId="0" fontId="23" fillId="0" borderId="0" xfId="0" applyFont="1" applyAlignment="1">
      <alignment horizontal="left"/>
    </xf>
    <xf numFmtId="2" fontId="34" fillId="0" borderId="76" xfId="0" applyNumberFormat="1" applyFont="1" applyBorder="1" applyAlignment="1">
      <alignment horizontal="left"/>
    </xf>
    <xf numFmtId="0" fontId="28" fillId="0" borderId="81" xfId="0" applyFont="1" applyBorder="1" applyAlignment="1">
      <alignment horizontal="left"/>
    </xf>
    <xf numFmtId="0" fontId="28" fillId="0" borderId="56" xfId="0" applyFont="1" applyBorder="1" applyAlignment="1">
      <alignment horizontal="left"/>
    </xf>
    <xf numFmtId="0" fontId="28" fillId="0" borderId="29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0" fontId="28" fillId="0" borderId="21" xfId="0" applyFont="1" applyBorder="1" applyAlignment="1">
      <alignment horizontal="left"/>
    </xf>
    <xf numFmtId="8" fontId="32" fillId="0" borderId="62" xfId="0" applyNumberFormat="1" applyFont="1" applyBorder="1" applyAlignment="1" applyProtection="1">
      <alignment horizontal="left" vertical="center" wrapText="1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32" fillId="0" borderId="66" xfId="0" applyFont="1" applyBorder="1" applyAlignment="1">
      <alignment horizontal="left" vertical="center" wrapText="1"/>
    </xf>
    <xf numFmtId="8" fontId="32" fillId="0" borderId="61" xfId="0" applyNumberFormat="1" applyFont="1" applyBorder="1" applyAlignment="1" applyProtection="1">
      <alignment horizontal="left" vertical="center" wrapText="1"/>
      <protection hidden="1"/>
    </xf>
    <xf numFmtId="0" fontId="32" fillId="0" borderId="68" xfId="0" applyFont="1" applyBorder="1" applyAlignment="1">
      <alignment horizontal="left" vertical="center" wrapText="1"/>
    </xf>
    <xf numFmtId="0" fontId="15" fillId="0" borderId="66" xfId="0" applyFont="1" applyBorder="1" applyAlignment="1">
      <alignment horizontal="left" vertical="center" wrapText="1"/>
    </xf>
    <xf numFmtId="0" fontId="15" fillId="0" borderId="70" xfId="0" applyFont="1" applyBorder="1" applyAlignment="1">
      <alignment horizontal="left" vertical="center" wrapText="1"/>
    </xf>
    <xf numFmtId="2" fontId="32" fillId="0" borderId="63" xfId="0" applyNumberFormat="1" applyFont="1" applyBorder="1" applyAlignment="1" applyProtection="1">
      <alignment horizontal="left" vertical="center" wrapText="1"/>
      <protection hidden="1"/>
    </xf>
    <xf numFmtId="2" fontId="32" fillId="0" borderId="71" xfId="0" applyNumberFormat="1" applyFont="1" applyBorder="1" applyAlignment="1" applyProtection="1">
      <alignment horizontal="left" vertical="center" wrapText="1"/>
      <protection hidden="1"/>
    </xf>
    <xf numFmtId="0" fontId="32" fillId="0" borderId="0" xfId="0" applyFont="1" applyAlignment="1">
      <alignment horizontal="left"/>
    </xf>
    <xf numFmtId="0" fontId="15" fillId="0" borderId="64" xfId="0" applyFont="1" applyBorder="1" applyAlignment="1">
      <alignment horizontal="left"/>
    </xf>
    <xf numFmtId="165" fontId="15" fillId="0" borderId="65" xfId="0" applyNumberFormat="1" applyFont="1" applyBorder="1" applyAlignment="1" applyProtection="1">
      <alignment horizontal="left"/>
      <protection hidden="1"/>
    </xf>
    <xf numFmtId="0" fontId="32" fillId="0" borderId="3" xfId="0" applyFont="1" applyBorder="1" applyAlignment="1">
      <alignment horizontal="left" vertical="center" wrapText="1"/>
    </xf>
    <xf numFmtId="0" fontId="32" fillId="0" borderId="19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/>
    </xf>
    <xf numFmtId="2" fontId="15" fillId="0" borderId="65" xfId="0" applyNumberFormat="1" applyFont="1" applyBorder="1" applyAlignment="1" applyProtection="1">
      <alignment horizontal="left"/>
      <protection hidden="1"/>
    </xf>
    <xf numFmtId="1" fontId="15" fillId="0" borderId="65" xfId="0" applyNumberFormat="1" applyFont="1" applyBorder="1" applyAlignment="1" applyProtection="1">
      <alignment horizontal="left"/>
      <protection hidden="1"/>
    </xf>
    <xf numFmtId="1" fontId="15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54" xfId="0" applyFont="1" applyBorder="1" applyAlignment="1">
      <alignment horizontal="left"/>
    </xf>
    <xf numFmtId="0" fontId="15" fillId="0" borderId="19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32" fillId="0" borderId="53" xfId="0" applyFont="1" applyBorder="1" applyAlignment="1">
      <alignment horizontal="left"/>
    </xf>
    <xf numFmtId="0" fontId="32" fillId="0" borderId="77" xfId="0" applyFont="1" applyBorder="1" applyAlignment="1">
      <alignment horizontal="left"/>
    </xf>
    <xf numFmtId="0" fontId="15" fillId="0" borderId="45" xfId="0" applyFont="1" applyBorder="1" applyAlignment="1">
      <alignment horizontal="left"/>
    </xf>
    <xf numFmtId="0" fontId="15" fillId="0" borderId="55" xfId="0" applyFont="1" applyBorder="1" applyAlignment="1" applyProtection="1">
      <alignment horizontal="left" vertical="center"/>
      <protection hidden="1"/>
    </xf>
    <xf numFmtId="166" fontId="15" fillId="0" borderId="55" xfId="0" applyNumberFormat="1" applyFont="1" applyBorder="1" applyAlignment="1" applyProtection="1">
      <alignment horizontal="left" vertical="center"/>
      <protection hidden="1"/>
    </xf>
    <xf numFmtId="0" fontId="15" fillId="0" borderId="56" xfId="0" applyFont="1" applyBorder="1" applyAlignment="1">
      <alignment horizontal="left"/>
    </xf>
    <xf numFmtId="2" fontId="15" fillId="0" borderId="55" xfId="0" applyNumberFormat="1" applyFont="1" applyBorder="1" applyAlignment="1" applyProtection="1">
      <alignment horizontal="left" vertical="center"/>
      <protection hidden="1"/>
    </xf>
    <xf numFmtId="166" fontId="15" fillId="0" borderId="65" xfId="0" applyNumberFormat="1" applyFont="1" applyBorder="1" applyAlignment="1" applyProtection="1">
      <alignment horizontal="left"/>
      <protection hidden="1"/>
    </xf>
    <xf numFmtId="0" fontId="15" fillId="0" borderId="0" xfId="0" applyFont="1" applyAlignment="1" applyProtection="1">
      <alignment horizontal="left"/>
      <protection locked="0"/>
    </xf>
    <xf numFmtId="0" fontId="32" fillId="0" borderId="0" xfId="0" applyFont="1" applyAlignment="1">
      <alignment horizontal="left" vertical="center"/>
    </xf>
    <xf numFmtId="0" fontId="15" fillId="0" borderId="55" xfId="0" applyFont="1" applyBorder="1" applyAlignment="1" applyProtection="1">
      <alignment horizontal="left"/>
      <protection hidden="1"/>
    </xf>
    <xf numFmtId="0" fontId="15" fillId="0" borderId="55" xfId="0" applyFont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hidden="1"/>
    </xf>
    <xf numFmtId="8" fontId="32" fillId="0" borderId="67" xfId="0" applyNumberFormat="1" applyFont="1" applyBorder="1" applyAlignment="1" applyProtection="1">
      <alignment horizontal="left" vertical="center" wrapText="1"/>
      <protection hidden="1"/>
    </xf>
    <xf numFmtId="2" fontId="15" fillId="0" borderId="55" xfId="0" applyNumberFormat="1" applyFont="1" applyBorder="1" applyAlignment="1" applyProtection="1">
      <alignment horizontal="left"/>
      <protection hidden="1"/>
    </xf>
    <xf numFmtId="166" fontId="15" fillId="0" borderId="0" xfId="0" applyNumberFormat="1" applyFont="1" applyAlignment="1" applyProtection="1">
      <alignment horizontal="left"/>
      <protection hidden="1"/>
    </xf>
    <xf numFmtId="0" fontId="15" fillId="0" borderId="68" xfId="0" applyFont="1" applyBorder="1" applyAlignment="1">
      <alignment horizontal="left" vertical="center" wrapText="1"/>
    </xf>
    <xf numFmtId="8" fontId="32" fillId="0" borderId="60" xfId="0" applyNumberFormat="1" applyFont="1" applyBorder="1" applyAlignment="1" applyProtection="1">
      <alignment horizontal="left" vertical="center" wrapText="1"/>
      <protection hidden="1"/>
    </xf>
    <xf numFmtId="8" fontId="32" fillId="0" borderId="69" xfId="0" applyNumberFormat="1" applyFont="1" applyBorder="1" applyAlignment="1" applyProtection="1">
      <alignment horizontal="left" vertical="center" wrapText="1"/>
      <protection hidden="1"/>
    </xf>
    <xf numFmtId="8" fontId="15" fillId="0" borderId="0" xfId="0" applyNumberFormat="1" applyFont="1" applyAlignment="1" applyProtection="1">
      <alignment horizontal="left"/>
      <protection hidden="1"/>
    </xf>
    <xf numFmtId="1" fontId="15" fillId="0" borderId="55" xfId="0" applyNumberFormat="1" applyFont="1" applyBorder="1" applyAlignment="1" applyProtection="1">
      <alignment horizontal="left"/>
      <protection hidden="1"/>
    </xf>
    <xf numFmtId="2" fontId="15" fillId="0" borderId="0" xfId="0" applyNumberFormat="1" applyFont="1" applyAlignment="1" applyProtection="1">
      <alignment horizontal="left"/>
      <protection hidden="1"/>
    </xf>
    <xf numFmtId="0" fontId="15" fillId="0" borderId="55" xfId="0" applyFont="1" applyBorder="1" applyAlignment="1">
      <alignment horizontal="left"/>
    </xf>
    <xf numFmtId="2" fontId="32" fillId="0" borderId="60" xfId="0" applyNumberFormat="1" applyFont="1" applyBorder="1" applyAlignment="1" applyProtection="1">
      <alignment horizontal="left" vertical="center" wrapText="1"/>
      <protection hidden="1"/>
    </xf>
    <xf numFmtId="2" fontId="32" fillId="0" borderId="69" xfId="0" applyNumberFormat="1" applyFont="1" applyBorder="1" applyAlignment="1" applyProtection="1">
      <alignment horizontal="left" vertical="center" wrapText="1"/>
      <protection hidden="1"/>
    </xf>
    <xf numFmtId="1" fontId="15" fillId="0" borderId="0" xfId="0" applyNumberFormat="1" applyFont="1" applyAlignment="1" applyProtection="1">
      <alignment horizontal="left"/>
      <protection hidden="1"/>
    </xf>
    <xf numFmtId="1" fontId="15" fillId="0" borderId="58" xfId="0" applyNumberFormat="1" applyFont="1" applyBorder="1" applyAlignment="1" applyProtection="1">
      <alignment horizontal="left"/>
      <protection hidden="1"/>
    </xf>
    <xf numFmtId="0" fontId="32" fillId="0" borderId="92" xfId="0" applyFont="1" applyBorder="1" applyAlignment="1">
      <alignment horizontal="left" vertical="center" wrapText="1"/>
    </xf>
    <xf numFmtId="8" fontId="32" fillId="0" borderId="91" xfId="0" applyNumberFormat="1" applyFont="1" applyBorder="1" applyAlignment="1" applyProtection="1">
      <alignment horizontal="left" vertical="center" wrapText="1"/>
      <protection hidden="1"/>
    </xf>
    <xf numFmtId="8" fontId="32" fillId="0" borderId="93" xfId="0" applyNumberFormat="1" applyFont="1" applyBorder="1" applyAlignment="1" applyProtection="1">
      <alignment horizontal="left" vertical="center" wrapText="1"/>
      <protection hidden="1"/>
    </xf>
    <xf numFmtId="8" fontId="32" fillId="0" borderId="0" xfId="0" applyNumberFormat="1" applyFont="1" applyAlignment="1" applyProtection="1">
      <alignment horizontal="left"/>
      <protection hidden="1"/>
    </xf>
    <xf numFmtId="0" fontId="32" fillId="0" borderId="89" xfId="0" applyFont="1" applyBorder="1" applyAlignment="1">
      <alignment horizontal="left" vertical="center" wrapText="1"/>
    </xf>
    <xf numFmtId="8" fontId="32" fillId="0" borderId="86" xfId="0" applyNumberFormat="1" applyFont="1" applyBorder="1" applyAlignment="1" applyProtection="1">
      <alignment horizontal="left" vertical="center" wrapText="1"/>
      <protection hidden="1"/>
    </xf>
    <xf numFmtId="8" fontId="32" fillId="0" borderId="94" xfId="0" applyNumberFormat="1" applyFont="1" applyBorder="1" applyAlignment="1" applyProtection="1">
      <alignment horizontal="left" vertical="center" wrapText="1"/>
      <protection hidden="1"/>
    </xf>
    <xf numFmtId="0" fontId="32" fillId="0" borderId="90" xfId="0" applyFont="1" applyBorder="1" applyAlignment="1">
      <alignment horizontal="left" vertical="center" wrapText="1"/>
    </xf>
    <xf numFmtId="8" fontId="32" fillId="0" borderId="87" xfId="0" applyNumberFormat="1" applyFont="1" applyBorder="1" applyAlignment="1" applyProtection="1">
      <alignment horizontal="left" vertical="center" wrapText="1"/>
      <protection hidden="1"/>
    </xf>
    <xf numFmtId="8" fontId="32" fillId="0" borderId="95" xfId="0" applyNumberFormat="1" applyFont="1" applyBorder="1" applyAlignment="1" applyProtection="1">
      <alignment horizontal="left" vertical="center" wrapText="1"/>
      <protection hidden="1"/>
    </xf>
    <xf numFmtId="0" fontId="15" fillId="0" borderId="44" xfId="0" applyFont="1" applyBorder="1" applyAlignment="1">
      <alignment horizontal="left"/>
    </xf>
    <xf numFmtId="165" fontId="15" fillId="0" borderId="44" xfId="0" applyNumberFormat="1" applyFont="1" applyBorder="1" applyAlignment="1" applyProtection="1">
      <alignment horizontal="left"/>
      <protection hidden="1"/>
    </xf>
    <xf numFmtId="0" fontId="32" fillId="0" borderId="88" xfId="0" applyFont="1" applyBorder="1" applyAlignment="1">
      <alignment horizontal="left" vertical="center" wrapText="1"/>
    </xf>
    <xf numFmtId="8" fontId="32" fillId="0" borderId="85" xfId="0" applyNumberFormat="1" applyFont="1" applyBorder="1" applyAlignment="1" applyProtection="1">
      <alignment horizontal="left" vertical="center" wrapText="1"/>
      <protection hidden="1"/>
    </xf>
    <xf numFmtId="0" fontId="32" fillId="0" borderId="0" xfId="0" applyFont="1" applyAlignment="1" applyProtection="1">
      <alignment horizontal="left" vertical="center"/>
      <protection hidden="1"/>
    </xf>
    <xf numFmtId="2" fontId="15" fillId="0" borderId="44" xfId="0" applyNumberFormat="1" applyFont="1" applyBorder="1" applyAlignment="1" applyProtection="1">
      <alignment horizontal="left"/>
      <protection hidden="1"/>
    </xf>
    <xf numFmtId="166" fontId="15" fillId="0" borderId="44" xfId="0" applyNumberFormat="1" applyFont="1" applyBorder="1" applyAlignment="1" applyProtection="1">
      <alignment horizontal="left"/>
      <protection hidden="1"/>
    </xf>
    <xf numFmtId="166" fontId="15" fillId="0" borderId="44" xfId="0" applyNumberFormat="1" applyFont="1" applyBorder="1" applyAlignment="1" applyProtection="1">
      <alignment horizontal="left"/>
      <protection locked="0"/>
    </xf>
    <xf numFmtId="2" fontId="15" fillId="0" borderId="0" xfId="0" applyNumberFormat="1" applyFont="1" applyAlignment="1">
      <alignment horizontal="left"/>
    </xf>
    <xf numFmtId="165" fontId="15" fillId="0" borderId="44" xfId="0" applyNumberFormat="1" applyFont="1" applyBorder="1" applyAlignment="1">
      <alignment horizontal="left"/>
    </xf>
    <xf numFmtId="178" fontId="15" fillId="0" borderId="0" xfId="0" applyNumberFormat="1" applyFont="1" applyAlignment="1">
      <alignment horizontal="left"/>
    </xf>
    <xf numFmtId="166" fontId="15" fillId="0" borderId="64" xfId="0" applyNumberFormat="1" applyFont="1" applyBorder="1" applyAlignment="1" applyProtection="1">
      <alignment horizontal="left"/>
      <protection hidden="1"/>
    </xf>
    <xf numFmtId="166" fontId="15" fillId="0" borderId="64" xfId="0" applyNumberFormat="1" applyFont="1" applyBorder="1" applyAlignment="1" applyProtection="1">
      <alignment horizontal="left"/>
      <protection locked="0"/>
    </xf>
    <xf numFmtId="2" fontId="15" fillId="0" borderId="64" xfId="0" applyNumberFormat="1" applyFont="1" applyBorder="1" applyAlignment="1" applyProtection="1">
      <alignment horizontal="left"/>
      <protection hidden="1"/>
    </xf>
    <xf numFmtId="8" fontId="15" fillId="0" borderId="64" xfId="0" applyNumberFormat="1" applyFont="1" applyBorder="1" applyAlignment="1" applyProtection="1">
      <alignment horizontal="left"/>
      <protection hidden="1"/>
    </xf>
    <xf numFmtId="2" fontId="32" fillId="0" borderId="64" xfId="0" applyNumberFormat="1" applyFont="1" applyBorder="1" applyAlignment="1" applyProtection="1">
      <alignment horizontal="left"/>
      <protection hidden="1"/>
    </xf>
    <xf numFmtId="0" fontId="32" fillId="0" borderId="40" xfId="0" applyFont="1" applyBorder="1" applyAlignment="1">
      <alignment horizontal="left" vertical="center" wrapText="1"/>
    </xf>
    <xf numFmtId="0" fontId="15" fillId="0" borderId="42" xfId="0" applyFont="1" applyBorder="1" applyAlignment="1" applyProtection="1">
      <alignment horizontal="left" vertical="center"/>
      <protection locked="0"/>
    </xf>
    <xf numFmtId="0" fontId="15" fillId="0" borderId="0" xfId="0" applyFont="1" applyAlignment="1">
      <alignment horizontal="left" vertical="center"/>
    </xf>
    <xf numFmtId="0" fontId="15" fillId="0" borderId="40" xfId="0" applyFont="1" applyBorder="1" applyAlignment="1">
      <alignment horizontal="left"/>
    </xf>
    <xf numFmtId="0" fontId="15" fillId="0" borderId="42" xfId="0" applyFont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32" fillId="0" borderId="40" xfId="0" applyFont="1" applyBorder="1" applyAlignment="1">
      <alignment horizontal="left"/>
    </xf>
    <xf numFmtId="1" fontId="15" fillId="0" borderId="42" xfId="0" applyNumberFormat="1" applyFont="1" applyBorder="1" applyAlignment="1" applyProtection="1">
      <alignment horizontal="left" vertical="center"/>
      <protection locked="0"/>
    </xf>
    <xf numFmtId="0" fontId="32" fillId="0" borderId="1" xfId="0" applyFont="1" applyBorder="1" applyAlignment="1">
      <alignment horizontal="left" vertical="center"/>
    </xf>
    <xf numFmtId="0" fontId="15" fillId="0" borderId="78" xfId="0" applyFont="1" applyBorder="1" applyAlignment="1">
      <alignment horizontal="left" vertical="justify"/>
    </xf>
    <xf numFmtId="0" fontId="15" fillId="0" borderId="79" xfId="0" applyFont="1" applyBorder="1" applyAlignment="1">
      <alignment horizontal="left" vertical="justify"/>
    </xf>
    <xf numFmtId="1" fontId="32" fillId="0" borderId="20" xfId="0" applyNumberFormat="1" applyFont="1" applyBorder="1" applyAlignment="1" applyProtection="1">
      <alignment horizontal="left" vertical="center"/>
      <protection hidden="1"/>
    </xf>
    <xf numFmtId="2" fontId="32" fillId="0" borderId="21" xfId="0" applyNumberFormat="1" applyFont="1" applyBorder="1" applyAlignment="1">
      <alignment horizontal="left"/>
    </xf>
    <xf numFmtId="0" fontId="15" fillId="0" borderId="41" xfId="0" applyFont="1" applyBorder="1" applyAlignment="1">
      <alignment horizontal="left"/>
    </xf>
    <xf numFmtId="0" fontId="32" fillId="0" borderId="41" xfId="0" applyFont="1" applyBorder="1" applyAlignment="1">
      <alignment horizontal="left"/>
    </xf>
    <xf numFmtId="0" fontId="32" fillId="0" borderId="41" xfId="0" applyFont="1" applyBorder="1" applyAlignment="1">
      <alignment horizontal="left" vertical="justify"/>
    </xf>
    <xf numFmtId="166" fontId="32" fillId="0" borderId="0" xfId="0" applyNumberFormat="1" applyFont="1" applyAlignment="1">
      <alignment horizontal="left" vertical="center"/>
    </xf>
    <xf numFmtId="2" fontId="32" fillId="0" borderId="0" xfId="0" applyNumberFormat="1" applyFont="1" applyAlignment="1" applyProtection="1">
      <alignment horizontal="left" vertical="center"/>
      <protection locked="0"/>
    </xf>
    <xf numFmtId="170" fontId="32" fillId="0" borderId="0" xfId="0" applyNumberFormat="1" applyFont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166" fontId="32" fillId="0" borderId="20" xfId="0" applyNumberFormat="1" applyFont="1" applyBorder="1" applyAlignment="1">
      <alignment horizontal="left"/>
    </xf>
    <xf numFmtId="180" fontId="32" fillId="0" borderId="20" xfId="0" applyNumberFormat="1" applyFont="1" applyBorder="1" applyAlignment="1">
      <alignment horizontal="left" vertical="center"/>
    </xf>
    <xf numFmtId="0" fontId="32" fillId="0" borderId="20" xfId="0" applyFont="1" applyBorder="1" applyAlignment="1">
      <alignment horizontal="left"/>
    </xf>
    <xf numFmtId="0" fontId="32" fillId="0" borderId="29" xfId="0" applyFont="1" applyBorder="1" applyAlignment="1">
      <alignment horizontal="left"/>
    </xf>
    <xf numFmtId="170" fontId="32" fillId="0" borderId="20" xfId="0" applyNumberFormat="1" applyFont="1" applyBorder="1" applyAlignment="1" applyProtection="1">
      <alignment horizontal="left"/>
      <protection hidden="1"/>
    </xf>
    <xf numFmtId="1" fontId="32" fillId="0" borderId="21" xfId="0" applyNumberFormat="1" applyFont="1" applyBorder="1" applyAlignment="1" applyProtection="1">
      <alignment horizontal="left"/>
      <protection hidden="1"/>
    </xf>
    <xf numFmtId="0" fontId="15" fillId="0" borderId="41" xfId="0" applyFont="1" applyBorder="1" applyAlignment="1">
      <alignment horizontal="left" vertical="center"/>
    </xf>
    <xf numFmtId="166" fontId="32" fillId="0" borderId="41" xfId="0" applyNumberFormat="1" applyFont="1" applyBorder="1" applyAlignment="1">
      <alignment horizontal="left"/>
    </xf>
    <xf numFmtId="166" fontId="32" fillId="0" borderId="41" xfId="0" applyNumberFormat="1" applyFont="1" applyBorder="1" applyAlignment="1">
      <alignment horizontal="left" vertical="center"/>
    </xf>
    <xf numFmtId="2" fontId="32" fillId="0" borderId="41" xfId="0" applyNumberFormat="1" applyFont="1" applyBorder="1" applyAlignment="1" applyProtection="1">
      <alignment horizontal="left"/>
      <protection hidden="1"/>
    </xf>
    <xf numFmtId="1" fontId="32" fillId="0" borderId="41" xfId="0" applyNumberFormat="1" applyFont="1" applyBorder="1" applyAlignment="1" applyProtection="1">
      <alignment horizontal="left"/>
      <protection hidden="1"/>
    </xf>
    <xf numFmtId="166" fontId="32" fillId="0" borderId="0" xfId="0" applyNumberFormat="1" applyFont="1" applyAlignment="1">
      <alignment horizontal="left"/>
    </xf>
    <xf numFmtId="2" fontId="32" fillId="0" borderId="0" xfId="0" applyNumberFormat="1" applyFont="1" applyAlignment="1">
      <alignment horizontal="left"/>
    </xf>
    <xf numFmtId="170" fontId="32" fillId="0" borderId="0" xfId="0" applyNumberFormat="1" applyFont="1" applyAlignment="1">
      <alignment horizontal="left"/>
    </xf>
    <xf numFmtId="173" fontId="32" fillId="0" borderId="0" xfId="0" applyNumberFormat="1" applyFont="1" applyAlignment="1">
      <alignment horizontal="left"/>
    </xf>
    <xf numFmtId="170" fontId="32" fillId="0" borderId="0" xfId="0" applyNumberFormat="1" applyFont="1" applyAlignment="1" applyProtection="1">
      <alignment horizontal="left" vertical="center"/>
      <protection hidden="1"/>
    </xf>
    <xf numFmtId="173" fontId="32" fillId="0" borderId="0" xfId="0" applyNumberFormat="1" applyFont="1" applyAlignment="1" applyProtection="1">
      <alignment horizontal="left" vertical="center"/>
      <protection hidden="1"/>
    </xf>
    <xf numFmtId="165" fontId="15" fillId="0" borderId="0" xfId="0" applyNumberFormat="1" applyFont="1" applyAlignment="1">
      <alignment horizontal="left"/>
    </xf>
    <xf numFmtId="166" fontId="15" fillId="0" borderId="0" xfId="0" applyNumberFormat="1" applyFont="1" applyAlignment="1">
      <alignment horizontal="left"/>
    </xf>
    <xf numFmtId="0" fontId="15" fillId="0" borderId="37" xfId="0" applyFont="1" applyBorder="1" applyAlignment="1">
      <alignment horizontal="left"/>
    </xf>
    <xf numFmtId="0" fontId="15" fillId="0" borderId="49" xfId="0" applyFont="1" applyBorder="1" applyAlignment="1">
      <alignment horizontal="left"/>
    </xf>
    <xf numFmtId="0" fontId="15" fillId="0" borderId="50" xfId="0" applyFont="1" applyBorder="1" applyAlignment="1">
      <alignment horizontal="left"/>
    </xf>
    <xf numFmtId="0" fontId="15" fillId="0" borderId="5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170" fontId="15" fillId="0" borderId="22" xfId="0" applyNumberFormat="1" applyFont="1" applyBorder="1" applyAlignment="1">
      <alignment horizontal="left"/>
    </xf>
    <xf numFmtId="0" fontId="15" fillId="0" borderId="23" xfId="0" applyFont="1" applyBorder="1" applyAlignment="1">
      <alignment horizontal="left"/>
    </xf>
    <xf numFmtId="171" fontId="15" fillId="0" borderId="52" xfId="0" applyNumberFormat="1" applyFont="1" applyBorder="1" applyAlignment="1">
      <alignment horizontal="left"/>
    </xf>
    <xf numFmtId="180" fontId="15" fillId="0" borderId="22" xfId="0" applyNumberFormat="1" applyFont="1" applyBorder="1" applyAlignment="1">
      <alignment horizontal="left"/>
    </xf>
    <xf numFmtId="171" fontId="15" fillId="0" borderId="34" xfId="0" applyNumberFormat="1" applyFont="1" applyBorder="1" applyAlignment="1">
      <alignment horizontal="left"/>
    </xf>
    <xf numFmtId="164" fontId="15" fillId="0" borderId="53" xfId="0" applyNumberFormat="1" applyFont="1" applyBorder="1" applyAlignment="1">
      <alignment horizontal="left"/>
    </xf>
    <xf numFmtId="172" fontId="15" fillId="0" borderId="43" xfId="0" applyNumberFormat="1" applyFont="1" applyBorder="1" applyAlignment="1">
      <alignment horizontal="left"/>
    </xf>
    <xf numFmtId="170" fontId="15" fillId="0" borderId="45" xfId="0" applyNumberFormat="1" applyFont="1" applyBorder="1" applyAlignment="1">
      <alignment horizontal="left"/>
    </xf>
    <xf numFmtId="171" fontId="15" fillId="0" borderId="55" xfId="0" applyNumberFormat="1" applyFont="1" applyBorder="1" applyAlignment="1">
      <alignment horizontal="left"/>
    </xf>
    <xf numFmtId="171" fontId="15" fillId="0" borderId="37" xfId="0" applyNumberFormat="1" applyFont="1" applyBorder="1" applyAlignment="1">
      <alignment horizontal="left"/>
    </xf>
    <xf numFmtId="168" fontId="15" fillId="0" borderId="45" xfId="0" applyNumberFormat="1" applyFont="1" applyBorder="1" applyAlignment="1">
      <alignment horizontal="left"/>
    </xf>
    <xf numFmtId="172" fontId="15" fillId="0" borderId="55" xfId="0" applyNumberFormat="1" applyFont="1" applyBorder="1" applyAlignment="1">
      <alignment horizontal="left"/>
    </xf>
    <xf numFmtId="164" fontId="15" fillId="0" borderId="45" xfId="0" applyNumberFormat="1" applyFont="1" applyBorder="1" applyAlignment="1">
      <alignment horizontal="left"/>
    </xf>
    <xf numFmtId="164" fontId="15" fillId="0" borderId="56" xfId="0" applyNumberFormat="1" applyFont="1" applyBorder="1" applyAlignment="1">
      <alignment horizontal="left"/>
    </xf>
    <xf numFmtId="0" fontId="15" fillId="0" borderId="57" xfId="0" applyFont="1" applyBorder="1" applyAlignment="1">
      <alignment horizontal="left"/>
    </xf>
    <xf numFmtId="171" fontId="32" fillId="0" borderId="58" xfId="0" applyNumberFormat="1" applyFont="1" applyBorder="1" applyAlignment="1">
      <alignment horizontal="left"/>
    </xf>
    <xf numFmtId="171" fontId="32" fillId="0" borderId="59" xfId="0" applyNumberFormat="1" applyFont="1" applyBorder="1" applyAlignment="1">
      <alignment horizontal="left"/>
    </xf>
    <xf numFmtId="174" fontId="15" fillId="0" borderId="56" xfId="0" applyNumberFormat="1" applyFont="1" applyBorder="1" applyAlignment="1">
      <alignment horizontal="left"/>
    </xf>
    <xf numFmtId="0" fontId="15" fillId="0" borderId="42" xfId="0" applyFont="1" applyBorder="1" applyAlignment="1">
      <alignment horizontal="left"/>
    </xf>
    <xf numFmtId="0" fontId="15" fillId="0" borderId="46" xfId="0" applyFont="1" applyBorder="1" applyAlignment="1">
      <alignment horizontal="left"/>
    </xf>
    <xf numFmtId="174" fontId="15" fillId="0" borderId="23" xfId="0" applyNumberFormat="1" applyFont="1" applyBorder="1" applyAlignment="1">
      <alignment horizontal="left"/>
    </xf>
    <xf numFmtId="171" fontId="15" fillId="0" borderId="23" xfId="0" applyNumberFormat="1" applyFont="1" applyBorder="1" applyAlignment="1">
      <alignment horizontal="left"/>
    </xf>
    <xf numFmtId="164" fontId="15" fillId="0" borderId="0" xfId="0" applyNumberFormat="1" applyFont="1" applyAlignment="1">
      <alignment horizontal="left"/>
    </xf>
    <xf numFmtId="169" fontId="15" fillId="0" borderId="48" xfId="0" applyNumberFormat="1" applyFont="1" applyBorder="1" applyAlignment="1">
      <alignment horizontal="left"/>
    </xf>
    <xf numFmtId="168" fontId="15" fillId="0" borderId="48" xfId="0" applyNumberFormat="1" applyFont="1" applyBorder="1" applyAlignment="1">
      <alignment horizontal="left"/>
    </xf>
    <xf numFmtId="167" fontId="15" fillId="0" borderId="0" xfId="0" applyNumberFormat="1" applyFont="1" applyAlignment="1">
      <alignment horizontal="left"/>
    </xf>
    <xf numFmtId="174" fontId="15" fillId="0" borderId="44" xfId="0" applyNumberFormat="1" applyFont="1" applyBorder="1" applyAlignment="1">
      <alignment horizontal="left"/>
    </xf>
    <xf numFmtId="171" fontId="15" fillId="0" borderId="44" xfId="0" applyNumberFormat="1" applyFont="1" applyBorder="1" applyAlignment="1">
      <alignment horizontal="left"/>
    </xf>
    <xf numFmtId="171" fontId="32" fillId="0" borderId="44" xfId="0" applyNumberFormat="1" applyFont="1" applyBorder="1" applyAlignment="1">
      <alignment horizontal="left"/>
    </xf>
    <xf numFmtId="0" fontId="15" fillId="0" borderId="48" xfId="0" applyFont="1" applyBorder="1" applyAlignment="1">
      <alignment horizontal="left"/>
    </xf>
    <xf numFmtId="169" fontId="15" fillId="0" borderId="47" xfId="0" applyNumberFormat="1" applyFont="1" applyBorder="1" applyAlignment="1">
      <alignment horizontal="left"/>
    </xf>
    <xf numFmtId="0" fontId="15" fillId="0" borderId="47" xfId="0" applyFont="1" applyBorder="1" applyAlignment="1">
      <alignment horizontal="left"/>
    </xf>
    <xf numFmtId="2" fontId="15" fillId="0" borderId="20" xfId="0" applyNumberFormat="1" applyFont="1" applyBorder="1" applyAlignment="1">
      <alignment horizontal="left" vertical="center"/>
    </xf>
    <xf numFmtId="2" fontId="32" fillId="0" borderId="20" xfId="0" applyNumberFormat="1" applyFont="1" applyBorder="1" applyAlignment="1">
      <alignment horizontal="left"/>
    </xf>
    <xf numFmtId="2" fontId="32" fillId="0" borderId="21" xfId="0" applyNumberFormat="1" applyFont="1" applyBorder="1" applyAlignment="1" applyProtection="1">
      <alignment horizontal="left"/>
      <protection hidden="1"/>
    </xf>
    <xf numFmtId="165" fontId="32" fillId="0" borderId="41" xfId="0" applyNumberFormat="1" applyFont="1" applyBorder="1" applyAlignment="1" applyProtection="1">
      <alignment horizontal="left"/>
      <protection hidden="1"/>
    </xf>
    <xf numFmtId="0" fontId="1" fillId="0" borderId="0" xfId="5" applyFont="1" applyAlignment="1">
      <alignment horizontal="left"/>
    </xf>
    <xf numFmtId="2" fontId="1" fillId="0" borderId="0" xfId="5" applyNumberFormat="1" applyFont="1" applyAlignment="1">
      <alignment horizontal="left"/>
    </xf>
    <xf numFmtId="0" fontId="1" fillId="0" borderId="0" xfId="5" quotePrefix="1" applyFont="1" applyAlignment="1">
      <alignment horizontal="left"/>
    </xf>
    <xf numFmtId="0" fontId="25" fillId="0" borderId="0" xfId="5" applyFont="1" applyAlignment="1">
      <alignment horizontal="left"/>
    </xf>
    <xf numFmtId="1" fontId="25" fillId="0" borderId="0" xfId="5" applyNumberFormat="1" applyFont="1" applyAlignment="1">
      <alignment horizontal="left"/>
    </xf>
    <xf numFmtId="1" fontId="1" fillId="0" borderId="0" xfId="5" applyNumberFormat="1" applyFont="1" applyAlignment="1">
      <alignment horizontal="left"/>
    </xf>
    <xf numFmtId="2" fontId="24" fillId="0" borderId="0" xfId="5" applyNumberFormat="1" applyFont="1" applyAlignment="1">
      <alignment horizontal="left"/>
    </xf>
    <xf numFmtId="0" fontId="26" fillId="0" borderId="0" xfId="5" applyFont="1" applyAlignment="1">
      <alignment horizontal="left"/>
    </xf>
    <xf numFmtId="0" fontId="26" fillId="0" borderId="40" xfId="5" applyFont="1" applyBorder="1" applyAlignment="1">
      <alignment horizontal="left"/>
    </xf>
    <xf numFmtId="0" fontId="26" fillId="0" borderId="41" xfId="5" applyFont="1" applyBorder="1" applyAlignment="1">
      <alignment horizontal="left"/>
    </xf>
    <xf numFmtId="0" fontId="26" fillId="0" borderId="42" xfId="5" applyFont="1" applyBorder="1" applyAlignment="1">
      <alignment horizontal="left"/>
    </xf>
    <xf numFmtId="0" fontId="27" fillId="0" borderId="0" xfId="5" applyFont="1" applyAlignment="1">
      <alignment horizontal="left"/>
    </xf>
    <xf numFmtId="1" fontId="27" fillId="0" borderId="1" xfId="5" applyNumberFormat="1" applyFont="1" applyBorder="1" applyAlignment="1">
      <alignment horizontal="left"/>
    </xf>
    <xf numFmtId="1" fontId="27" fillId="0" borderId="2" xfId="5" applyNumberFormat="1" applyFont="1" applyBorder="1" applyAlignment="1">
      <alignment horizontal="left"/>
    </xf>
    <xf numFmtId="1" fontId="27" fillId="0" borderId="3" xfId="5" applyNumberFormat="1" applyFont="1" applyBorder="1" applyAlignment="1">
      <alignment horizontal="left"/>
    </xf>
    <xf numFmtId="1" fontId="27" fillId="0" borderId="54" xfId="5" applyNumberFormat="1" applyFont="1" applyBorder="1" applyAlignment="1">
      <alignment horizontal="left"/>
    </xf>
    <xf numFmtId="1" fontId="27" fillId="0" borderId="0" xfId="5" applyNumberFormat="1" applyFont="1" applyAlignment="1">
      <alignment horizontal="left"/>
    </xf>
    <xf numFmtId="1" fontId="27" fillId="0" borderId="19" xfId="5" applyNumberFormat="1" applyFont="1" applyBorder="1" applyAlignment="1">
      <alignment horizontal="left"/>
    </xf>
    <xf numFmtId="1" fontId="27" fillId="0" borderId="29" xfId="5" applyNumberFormat="1" applyFont="1" applyBorder="1" applyAlignment="1">
      <alignment horizontal="left"/>
    </xf>
    <xf numFmtId="1" fontId="27" fillId="0" borderId="20" xfId="5" applyNumberFormat="1" applyFont="1" applyBorder="1" applyAlignment="1">
      <alignment horizontal="left"/>
    </xf>
    <xf numFmtId="1" fontId="27" fillId="0" borderId="21" xfId="5" applyNumberFormat="1" applyFont="1" applyBorder="1" applyAlignment="1">
      <alignment horizontal="left"/>
    </xf>
    <xf numFmtId="0" fontId="1" fillId="0" borderId="40" xfId="5" applyFont="1" applyBorder="1" applyAlignment="1">
      <alignment horizontal="left"/>
    </xf>
    <xf numFmtId="0" fontId="24" fillId="0" borderId="41" xfId="5" applyFont="1" applyBorder="1" applyAlignment="1">
      <alignment horizontal="left"/>
    </xf>
    <xf numFmtId="0" fontId="24" fillId="0" borderId="42" xfId="5" applyFont="1" applyBorder="1" applyAlignment="1">
      <alignment horizontal="left"/>
    </xf>
    <xf numFmtId="1" fontId="1" fillId="0" borderId="54" xfId="5" applyNumberFormat="1" applyFont="1" applyBorder="1" applyAlignment="1">
      <alignment horizontal="left"/>
    </xf>
    <xf numFmtId="1" fontId="1" fillId="0" borderId="19" xfId="5" applyNumberFormat="1" applyFont="1" applyBorder="1" applyAlignment="1">
      <alignment horizontal="left"/>
    </xf>
    <xf numFmtId="1" fontId="1" fillId="0" borderId="29" xfId="5" applyNumberFormat="1" applyFont="1" applyBorder="1" applyAlignment="1">
      <alignment horizontal="left"/>
    </xf>
    <xf numFmtId="1" fontId="1" fillId="0" borderId="20" xfId="5" applyNumberFormat="1" applyFont="1" applyBorder="1" applyAlignment="1">
      <alignment horizontal="left"/>
    </xf>
    <xf numFmtId="1" fontId="1" fillId="0" borderId="21" xfId="5" applyNumberFormat="1" applyFont="1" applyBorder="1" applyAlignment="1">
      <alignment horizontal="left"/>
    </xf>
    <xf numFmtId="0" fontId="24" fillId="0" borderId="40" xfId="5" applyFont="1" applyBorder="1" applyAlignment="1">
      <alignment horizontal="left"/>
    </xf>
    <xf numFmtId="164" fontId="15" fillId="0" borderId="0" xfId="0" applyNumberFormat="1" applyFont="1" applyAlignment="1">
      <alignment horizontal="left" vertical="center"/>
    </xf>
    <xf numFmtId="175" fontId="15" fillId="0" borderId="0" xfId="0" applyNumberFormat="1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10" fontId="15" fillId="0" borderId="0" xfId="0" applyNumberFormat="1" applyFont="1" applyAlignment="1" applyProtection="1">
      <alignment horizontal="left"/>
      <protection locked="0"/>
    </xf>
    <xf numFmtId="166" fontId="15" fillId="0" borderId="0" xfId="0" applyNumberFormat="1" applyFont="1" applyAlignment="1" applyProtection="1">
      <alignment horizontal="left" vertical="center"/>
      <protection locked="0"/>
    </xf>
    <xf numFmtId="10" fontId="15" fillId="0" borderId="0" xfId="0" applyNumberFormat="1" applyFont="1" applyAlignment="1">
      <alignment horizontal="left" vertical="center"/>
    </xf>
    <xf numFmtId="0" fontId="15" fillId="0" borderId="0" xfId="0" quotePrefix="1" applyFont="1" applyAlignment="1" applyProtection="1">
      <alignment horizontal="left"/>
      <protection locked="0"/>
    </xf>
    <xf numFmtId="10" fontId="15" fillId="0" borderId="0" xfId="0" applyNumberFormat="1" applyFont="1" applyAlignment="1" applyProtection="1">
      <alignment horizontal="left" vertical="center"/>
      <protection locked="0"/>
    </xf>
    <xf numFmtId="2" fontId="1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wrapText="1" readingOrder="1"/>
    </xf>
    <xf numFmtId="0" fontId="1" fillId="0" borderId="0" xfId="0" applyFont="1" applyAlignment="1">
      <alignment horizontal="left" vertical="center" wrapText="1" readingOrder="1"/>
    </xf>
    <xf numFmtId="2" fontId="1" fillId="0" borderId="0" xfId="0" applyNumberFormat="1" applyFont="1" applyAlignment="1">
      <alignment horizontal="left" vertical="center" wrapText="1" readingOrder="1"/>
    </xf>
    <xf numFmtId="0" fontId="34" fillId="0" borderId="0" xfId="0" applyFont="1" applyAlignment="1">
      <alignment vertical="center"/>
    </xf>
    <xf numFmtId="0" fontId="32" fillId="0" borderId="72" xfId="0" applyFont="1" applyBorder="1" applyAlignment="1">
      <alignment vertical="center" wrapText="1"/>
    </xf>
    <xf numFmtId="0" fontId="32" fillId="0" borderId="73" xfId="0" applyFont="1" applyBorder="1" applyAlignment="1">
      <alignment vertical="center" wrapText="1"/>
    </xf>
    <xf numFmtId="8" fontId="32" fillId="0" borderId="44" xfId="0" applyNumberFormat="1" applyFont="1" applyBorder="1" applyAlignment="1" applyProtection="1">
      <alignment vertical="center" wrapText="1"/>
      <protection hidden="1"/>
    </xf>
    <xf numFmtId="8" fontId="32" fillId="0" borderId="74" xfId="0" applyNumberFormat="1" applyFont="1" applyBorder="1" applyAlignment="1" applyProtection="1">
      <alignment vertical="center" wrapText="1"/>
      <protection hidden="1"/>
    </xf>
    <xf numFmtId="0" fontId="32" fillId="0" borderId="1" xfId="0" applyFont="1" applyBorder="1" applyAlignment="1">
      <alignment vertical="center" wrapText="1"/>
    </xf>
    <xf numFmtId="0" fontId="32" fillId="0" borderId="54" xfId="0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2" fillId="0" borderId="21" xfId="0" applyFont="1" applyBorder="1" applyAlignment="1">
      <alignment vertical="center" wrapText="1"/>
    </xf>
    <xf numFmtId="2" fontId="32" fillId="0" borderId="79" xfId="0" applyNumberFormat="1" applyFont="1" applyBorder="1" applyAlignment="1" applyProtection="1">
      <alignment vertical="center" wrapText="1"/>
      <protection hidden="1"/>
    </xf>
    <xf numFmtId="2" fontId="32" fillId="0" borderId="83" xfId="0" applyNumberFormat="1" applyFont="1" applyBorder="1" applyAlignment="1" applyProtection="1">
      <alignment vertical="center" wrapText="1"/>
      <protection hidden="1"/>
    </xf>
    <xf numFmtId="2" fontId="32" fillId="0" borderId="84" xfId="0" applyNumberFormat="1" applyFont="1" applyBorder="1" applyAlignment="1" applyProtection="1">
      <alignment vertical="center" wrapText="1"/>
      <protection hidden="1"/>
    </xf>
    <xf numFmtId="2" fontId="32" fillId="0" borderId="39" xfId="0" applyNumberFormat="1" applyFont="1" applyBorder="1" applyAlignment="1" applyProtection="1">
      <alignment vertical="center" wrapText="1"/>
      <protection hidden="1"/>
    </xf>
    <xf numFmtId="2" fontId="32" fillId="0" borderId="82" xfId="0" applyNumberFormat="1" applyFont="1" applyBorder="1" applyAlignment="1" applyProtection="1">
      <alignment vertical="center" wrapText="1"/>
      <protection hidden="1"/>
    </xf>
    <xf numFmtId="0" fontId="32" fillId="0" borderId="70" xfId="0" applyFont="1" applyBorder="1" applyAlignment="1">
      <alignment horizontal="left" vertical="center" wrapText="1"/>
    </xf>
    <xf numFmtId="8" fontId="32" fillId="0" borderId="63" xfId="0" applyNumberFormat="1" applyFont="1" applyBorder="1" applyAlignment="1" applyProtection="1">
      <alignment horizontal="left" vertical="center" wrapText="1"/>
      <protection hidden="1"/>
    </xf>
    <xf numFmtId="8" fontId="32" fillId="0" borderId="71" xfId="0" applyNumberFormat="1" applyFont="1" applyBorder="1" applyAlignment="1" applyProtection="1">
      <alignment horizontal="left" vertical="center" wrapText="1"/>
      <protection hidden="1"/>
    </xf>
    <xf numFmtId="0" fontId="15" fillId="0" borderId="0" xfId="0" applyFont="1"/>
    <xf numFmtId="0" fontId="37" fillId="0" borderId="0" xfId="0" applyFont="1"/>
    <xf numFmtId="0" fontId="38" fillId="0" borderId="44" xfId="0" applyFont="1" applyBorder="1" applyAlignment="1">
      <alignment vertical="center"/>
    </xf>
    <xf numFmtId="0" fontId="37" fillId="0" borderId="44" xfId="0" applyFont="1" applyBorder="1" applyAlignment="1">
      <alignment vertical="center"/>
    </xf>
    <xf numFmtId="0" fontId="37" fillId="0" borderId="44" xfId="0" applyFont="1" applyBorder="1" applyAlignment="1">
      <alignment vertical="center" wrapText="1"/>
    </xf>
    <xf numFmtId="0" fontId="38" fillId="0" borderId="30" xfId="0" applyFont="1" applyBorder="1" applyAlignment="1">
      <alignment vertical="center"/>
    </xf>
    <xf numFmtId="0" fontId="37" fillId="0" borderId="28" xfId="0" applyFont="1" applyBorder="1" applyAlignment="1">
      <alignment vertical="center"/>
    </xf>
    <xf numFmtId="0" fontId="37" fillId="0" borderId="31" xfId="0" applyFont="1" applyBorder="1" applyAlignment="1">
      <alignment vertical="center"/>
    </xf>
    <xf numFmtId="0" fontId="38" fillId="0" borderId="32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7" fillId="0" borderId="33" xfId="0" applyFont="1" applyBorder="1" applyAlignment="1">
      <alignment vertical="center"/>
    </xf>
    <xf numFmtId="0" fontId="38" fillId="0" borderId="34" xfId="0" applyFont="1" applyBorder="1"/>
    <xf numFmtId="0" fontId="38" fillId="0" borderId="35" xfId="0" applyFont="1" applyBorder="1"/>
    <xf numFmtId="0" fontId="37" fillId="0" borderId="36" xfId="0" applyFont="1" applyBorder="1"/>
    <xf numFmtId="0" fontId="39" fillId="0" borderId="0" xfId="0" applyFont="1" applyAlignment="1">
      <alignment horizontal="left"/>
    </xf>
    <xf numFmtId="9" fontId="39" fillId="0" borderId="0" xfId="0" applyNumberFormat="1" applyFont="1" applyAlignment="1">
      <alignment horizontal="left"/>
    </xf>
    <xf numFmtId="0" fontId="32" fillId="0" borderId="0" xfId="0" applyFont="1" applyAlignment="1">
      <alignment horizontal="left" wrapText="1" readingOrder="1"/>
    </xf>
    <xf numFmtId="0" fontId="32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 wrapText="1" readingOrder="1"/>
    </xf>
    <xf numFmtId="0" fontId="37" fillId="0" borderId="28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7" fillId="0" borderId="35" xfId="0" applyFont="1" applyBorder="1"/>
    <xf numFmtId="0" fontId="23" fillId="0" borderId="0" xfId="0" applyFont="1" applyAlignment="1">
      <alignment horizontal="left"/>
    </xf>
    <xf numFmtId="0" fontId="28" fillId="0" borderId="2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23" fillId="0" borderId="0" xfId="0" applyFont="1" applyAlignment="1">
      <alignment horizontal="center" vertical="center" wrapText="1"/>
    </xf>
    <xf numFmtId="8" fontId="23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 readingOrder="1"/>
    </xf>
    <xf numFmtId="0" fontId="1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 readingOrder="1"/>
    </xf>
    <xf numFmtId="0" fontId="5" fillId="2" borderId="2" xfId="0" applyFont="1" applyFill="1" applyBorder="1" applyAlignment="1">
      <alignment horizontal="center" wrapText="1" readingOrder="1"/>
    </xf>
    <xf numFmtId="0" fontId="5" fillId="2" borderId="3" xfId="0" applyFont="1" applyFill="1" applyBorder="1" applyAlignment="1">
      <alignment horizontal="center" wrapText="1" readingOrder="1"/>
    </xf>
    <xf numFmtId="0" fontId="6" fillId="3" borderId="5" xfId="0" applyFont="1" applyFill="1" applyBorder="1" applyAlignment="1">
      <alignment horizontal="center" wrapText="1" readingOrder="1"/>
    </xf>
    <xf numFmtId="0" fontId="6" fillId="3" borderId="6" xfId="0" applyFont="1" applyFill="1" applyBorder="1" applyAlignment="1">
      <alignment horizontal="center" wrapText="1" readingOrder="1"/>
    </xf>
    <xf numFmtId="0" fontId="6" fillId="3" borderId="7" xfId="0" applyFont="1" applyFill="1" applyBorder="1" applyAlignment="1">
      <alignment horizontal="center" wrapText="1" readingOrder="1"/>
    </xf>
    <xf numFmtId="0" fontId="6" fillId="3" borderId="8" xfId="0" applyFont="1" applyFill="1" applyBorder="1" applyAlignment="1">
      <alignment horizontal="center" wrapText="1" readingOrder="1"/>
    </xf>
    <xf numFmtId="0" fontId="20" fillId="0" borderId="37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</cellXfs>
  <cellStyles count="6">
    <cellStyle name="Hiperlink" xfId="3" builtinId="8"/>
    <cellStyle name="Normal" xfId="0" builtinId="0"/>
    <cellStyle name="Normal 2" xfId="4" xr:uid="{E7416F48-BDA8-4E38-BAE6-DE4C226E1388}"/>
    <cellStyle name="Normal 2 2" xfId="5" xr:uid="{A3F0C597-78D5-4061-92ED-A6AFB62FE2CC}"/>
    <cellStyle name="Porcentagem" xfId="1" builtinId="5"/>
    <cellStyle name="Vírgula" xfId="2" builtinId="3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9" tint="0.39994506668294322"/>
        </patternFill>
      </fill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justifyLastLine="0" shrinkToFit="0"/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ela Dinâmica 1" table="0" count="0" xr9:uid="{00000000-0011-0000-FFFF-FFFF00000000}"/>
  </tableStyles>
  <colors>
    <mruColors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C&#225;lculo!A1"/><Relationship Id="rId4" Type="http://schemas.openxmlformats.org/officeDocument/2006/relationships/hyperlink" Target="#Viabilidad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rgbClr val="00660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6925" y="0"/>
          <a:ext cx="714375" cy="571500"/>
        </a:xfrm>
        <a:prstGeom prst="rect">
          <a:avLst/>
        </a:prstGeom>
      </xdr:spPr>
    </xdr:pic>
    <xdr:clientData/>
  </xdr:oneCellAnchor>
  <xdr:twoCellAnchor>
    <xdr:from>
      <xdr:col>0</xdr:col>
      <xdr:colOff>95250</xdr:colOff>
      <xdr:row>129</xdr:row>
      <xdr:rowOff>104776</xdr:rowOff>
    </xdr:from>
    <xdr:to>
      <xdr:col>3</xdr:col>
      <xdr:colOff>57150</xdr:colOff>
      <xdr:row>132</xdr:row>
      <xdr:rowOff>9526</xdr:rowOff>
    </xdr:to>
    <xdr:sp macro="" textlink="">
      <xdr:nvSpPr>
        <xdr:cNvPr id="4" name="Retângulo Arredond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5250" y="104776"/>
          <a:ext cx="2057400" cy="476250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Dados</a:t>
          </a:r>
        </a:p>
      </xdr:txBody>
    </xdr:sp>
    <xdr:clientData/>
  </xdr:twoCellAnchor>
  <xdr:twoCellAnchor>
    <xdr:from>
      <xdr:col>0</xdr:col>
      <xdr:colOff>95250</xdr:colOff>
      <xdr:row>133</xdr:row>
      <xdr:rowOff>95250</xdr:rowOff>
    </xdr:from>
    <xdr:to>
      <xdr:col>3</xdr:col>
      <xdr:colOff>66675</xdr:colOff>
      <xdr:row>136</xdr:row>
      <xdr:rowOff>9525</xdr:rowOff>
    </xdr:to>
    <xdr:sp macro="" textlink="">
      <xdr:nvSpPr>
        <xdr:cNvPr id="9" name="Retângulo Arredondad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250" y="857250"/>
          <a:ext cx="2066925" cy="485775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Viabilidade</a:t>
          </a:r>
          <a:r>
            <a:rPr lang="pt-BR" sz="1200" b="1" baseline="0"/>
            <a:t> econômica</a:t>
          </a:r>
          <a:endParaRPr lang="pt-BR" sz="1200" b="1"/>
        </a:p>
      </xdr:txBody>
    </xdr:sp>
    <xdr:clientData/>
  </xdr:twoCellAnchor>
  <xdr:twoCellAnchor>
    <xdr:from>
      <xdr:col>0</xdr:col>
      <xdr:colOff>123825</xdr:colOff>
      <xdr:row>137</xdr:row>
      <xdr:rowOff>0</xdr:rowOff>
    </xdr:from>
    <xdr:to>
      <xdr:col>3</xdr:col>
      <xdr:colOff>95250</xdr:colOff>
      <xdr:row>139</xdr:row>
      <xdr:rowOff>114300</xdr:rowOff>
    </xdr:to>
    <xdr:sp macro="" textlink="">
      <xdr:nvSpPr>
        <xdr:cNvPr id="10" name="Retângulo Arredondad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3825" y="1524000"/>
          <a:ext cx="2066925" cy="495300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Avaliador de dieta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2552944</xdr:colOff>
      <xdr:row>1</xdr:row>
      <xdr:rowOff>113337</xdr:rowOff>
    </xdr:from>
    <xdr:to>
      <xdr:col>5</xdr:col>
      <xdr:colOff>1852506</xdr:colOff>
      <xdr:row>1</xdr:row>
      <xdr:rowOff>733425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394" y="303837"/>
          <a:ext cx="1937987" cy="620088"/>
        </a:xfrm>
        <a:prstGeom prst="rect">
          <a:avLst/>
        </a:prstGeom>
      </xdr:spPr>
    </xdr:pic>
    <xdr:clientData/>
  </xdr:twoCellAnchor>
  <xdr:twoCellAnchor editAs="oneCell">
    <xdr:from>
      <xdr:col>1</xdr:col>
      <xdr:colOff>92319</xdr:colOff>
      <xdr:row>1</xdr:row>
      <xdr:rowOff>106987</xdr:rowOff>
    </xdr:from>
    <xdr:to>
      <xdr:col>2</xdr:col>
      <xdr:colOff>14181</xdr:colOff>
      <xdr:row>1</xdr:row>
      <xdr:rowOff>723901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344" y="297487"/>
          <a:ext cx="1941162" cy="6169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TERIAL%20T&#201;CNICO/BEZERRAS/PLANILHAS/Necessidades%20bezerras%20Vers&#227;o%20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 "/>
      <sheetName val="Parâmetros"/>
      <sheetName val="Necessidades"/>
    </sheetNames>
    <sheetDataSet>
      <sheetData sheetId="0" refreshError="1"/>
      <sheetData sheetId="1">
        <row r="3">
          <cell r="L3" t="str">
            <v>Leite</v>
          </cell>
        </row>
        <row r="4">
          <cell r="L4" t="str">
            <v>Sucedâneo lácteo</v>
          </cell>
        </row>
        <row r="8">
          <cell r="B8" t="str">
            <v>Leite in natura</v>
          </cell>
        </row>
        <row r="9">
          <cell r="B9" t="str">
            <v>Leite descarte</v>
          </cell>
        </row>
        <row r="10">
          <cell r="B10" t="str">
            <v>Vetilac Premium Azul</v>
          </cell>
        </row>
        <row r="11">
          <cell r="B11" t="str">
            <v>Vetilac Ultra</v>
          </cell>
        </row>
        <row r="12">
          <cell r="B12" t="str">
            <v>Vetilac Premium</v>
          </cell>
        </row>
        <row r="13">
          <cell r="B13" t="str">
            <v>-----</v>
          </cell>
        </row>
        <row r="15">
          <cell r="B15" t="str">
            <v>Toplac pré-inicial</v>
          </cell>
        </row>
        <row r="16">
          <cell r="B16" t="str">
            <v>Ração comercial</v>
          </cell>
        </row>
      </sheetData>
      <sheetData sheetId="2">
        <row r="2">
          <cell r="A2">
            <v>400</v>
          </cell>
        </row>
        <row r="3">
          <cell r="A3">
            <v>500</v>
          </cell>
        </row>
        <row r="4">
          <cell r="A4">
            <v>600</v>
          </cell>
        </row>
        <row r="5">
          <cell r="A5">
            <v>700</v>
          </cell>
        </row>
        <row r="6">
          <cell r="A6">
            <v>800</v>
          </cell>
        </row>
        <row r="7">
          <cell r="A7">
            <v>900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DD1D1-80B7-4CA0-871E-F9E05211C428}" name="Tabela1" displayName="Tabela1" ref="E10:G13" totalsRowShown="0" headerRowDxfId="19" dataDxfId="18">
  <tableColumns count="3">
    <tableColumn id="2" xr3:uid="{A6D24E0E-25FE-4B66-922F-B3D6E67B669B}" name="Coluna1" dataDxfId="17"/>
    <tableColumn id="5" xr3:uid="{7CA339F0-2D88-4AF0-818C-B1BB4ADA867A}" name="kg ou lt" dataDxfId="16"/>
    <tableColumn id="3" xr3:uid="{1C7E4655-A06F-4D7D-A568-498706D48134}" name="kg ou lt2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M5:S9" totalsRowShown="0" headerRowDxfId="14" dataDxfId="13">
  <autoFilter ref="M5:S9" xr:uid="{00000000-0009-0000-0100-000002000000}"/>
  <tableColumns count="7">
    <tableColumn id="1" xr3:uid="{00000000-0010-0000-0100-000001000000}" name="Idade dias" dataDxfId="12">
      <calculatedColumnFormula>B6</calculatedColumnFormula>
    </tableColumn>
    <tableColumn id="5" xr3:uid="{00000000-0010-0000-0100-000005000000}" name="PESO1" dataDxfId="11">
      <calculatedColumnFormula>IF($N$4="Holandês",VLOOKUP(M6,$B$6:$K$9,2,FALSE),IF($N$4="Girolando",VLOOKUP(M6,$B$6:$K$9,5,FALSE),IF($N$4="Jersey",VLOOKUP(M6,$B$6:$K$9,8,FALSE))))*$N$2</calculatedColumnFormula>
    </tableColumn>
    <tableColumn id="2" xr3:uid="{00000000-0010-0000-0100-000002000000}" name="PESO2" dataDxfId="10">
      <calculatedColumnFormula>IF($N$4="Holandês",VLOOKUP(M6,$B$6:$K$9,2,FALSE),IF($N$4="Girolando",VLOOKUP(M6,$B$6:$K$9,5,FALSE),IF($N$4="Jersey",VLOOKUP(M6,$B$6:$K$9,8,FALSE))))*$O$2</calculatedColumnFormula>
    </tableColumn>
    <tableColumn id="6" xr3:uid="{00000000-0010-0000-0100-000006000000}" name="ALTURA1" dataDxfId="9">
      <calculatedColumnFormula>IF($N$4="Holandês",VLOOKUP(M6,$B$6:$K$9,3,FALSE),IF($N$4="Girolando",VLOOKUP(M6,$B$6:$K$9,6,FALSE),IF($N$4="Jersey",VLOOKUP(M6,$B$6:$K$9,9,FALSE))))*$P$2</calculatedColumnFormula>
    </tableColumn>
    <tableColumn id="3" xr3:uid="{00000000-0010-0000-0100-000003000000}" name="ALTURA2" dataDxfId="8">
      <calculatedColumnFormula>IF($N$4="Holandês",VLOOKUP(M6,$B$6:$K$9,3,FALSE),IF($N$4="Girolando",VLOOKUP(M6,$B$6:$K$9,6,FALSE),IF($N$4="Jersey",VLOOKUP(M6,$B$6:$K$9,9,FALSE))))*$Q$2</calculatedColumnFormula>
    </tableColumn>
    <tableColumn id="7" xr3:uid="{00000000-0010-0000-0100-000007000000}" name="Peso x Altura1" dataDxfId="7">
      <calculatedColumnFormula>N6/P6</calculatedColumnFormula>
    </tableColumn>
    <tableColumn id="4" xr3:uid="{00000000-0010-0000-0100-000004000000}" name="Peso x Altura2" dataDxfId="6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.silva@gmail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X580"/>
  <sheetViews>
    <sheetView tabSelected="1" zoomScaleNormal="100" workbookViewId="0">
      <selection activeCell="F32" sqref="F32"/>
    </sheetView>
  </sheetViews>
  <sheetFormatPr baseColWidth="10" defaultColWidth="9.1640625" defaultRowHeight="14" x14ac:dyDescent="0.2"/>
  <cols>
    <col min="1" max="1" width="34.1640625" style="69" bestFit="1" customWidth="1"/>
    <col min="2" max="2" width="23.33203125" style="69" bestFit="1" customWidth="1"/>
    <col min="3" max="3" width="26" style="69" bestFit="1" customWidth="1"/>
    <col min="4" max="4" width="32.6640625" style="69" customWidth="1"/>
    <col min="5" max="5" width="25.1640625" style="69" bestFit="1" customWidth="1"/>
    <col min="6" max="6" width="20.5" style="69" customWidth="1"/>
    <col min="7" max="8" width="31" style="69" bestFit="1" customWidth="1"/>
    <col min="9" max="9" width="10.5" style="69" customWidth="1"/>
    <col min="10" max="10" width="10.6640625" style="69" customWidth="1"/>
    <col min="11" max="11" width="5.33203125" style="69" bestFit="1" customWidth="1"/>
    <col min="12" max="12" width="13.1640625" style="69" bestFit="1" customWidth="1"/>
    <col min="13" max="13" width="12.5" style="69" bestFit="1" customWidth="1"/>
    <col min="14" max="14" width="3.5" style="69" customWidth="1"/>
    <col min="15" max="16" width="9.33203125" style="69" bestFit="1" customWidth="1"/>
    <col min="17" max="17" width="33.5" style="69" customWidth="1"/>
    <col min="18" max="18" width="28.5" style="69" customWidth="1"/>
    <col min="19" max="19" width="21.6640625" style="69" customWidth="1"/>
    <col min="20" max="20" width="9.33203125" style="69" bestFit="1" customWidth="1"/>
    <col min="21" max="21" width="9.1640625" style="69"/>
    <col min="22" max="23" width="9.33203125" style="69" bestFit="1" customWidth="1"/>
    <col min="24" max="24" width="6.6640625" style="69" customWidth="1"/>
    <col min="25" max="16384" width="9.1640625" style="69"/>
  </cols>
  <sheetData>
    <row r="1" spans="1:24" ht="15" customHeight="1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4" ht="15" customHeight="1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4" ht="15" customHeight="1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4" s="38" customFormat="1" ht="15" customHeight="1" x14ac:dyDescent="0.25">
      <c r="A4" s="308" t="s">
        <v>42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4" s="38" customFormat="1" ht="20" thickBot="1" x14ac:dyDescent="0.3">
      <c r="B5" s="38" t="s">
        <v>231</v>
      </c>
      <c r="G5" s="38" t="s">
        <v>232</v>
      </c>
      <c r="H5" s="71"/>
    </row>
    <row r="6" spans="1:24" s="38" customFormat="1" ht="19" x14ac:dyDescent="0.25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4" s="38" customFormat="1" ht="19" x14ac:dyDescent="0.25">
      <c r="A7" s="75"/>
      <c r="B7" s="76" t="s">
        <v>1</v>
      </c>
      <c r="C7" s="77" t="s">
        <v>145</v>
      </c>
      <c r="E7" s="75"/>
      <c r="N7" s="78"/>
    </row>
    <row r="8" spans="1:24" s="38" customFormat="1" ht="19" x14ac:dyDescent="0.25">
      <c r="A8" s="75"/>
      <c r="B8" s="76" t="s">
        <v>0</v>
      </c>
      <c r="C8" s="77" t="s">
        <v>146</v>
      </c>
      <c r="E8" s="75"/>
      <c r="N8" s="78"/>
    </row>
    <row r="9" spans="1:24" s="38" customFormat="1" ht="20" thickBot="1" x14ac:dyDescent="0.3">
      <c r="A9" s="75"/>
      <c r="B9" s="76" t="s">
        <v>2</v>
      </c>
      <c r="C9" s="77" t="s">
        <v>147</v>
      </c>
      <c r="E9" s="79" t="s">
        <v>202</v>
      </c>
      <c r="F9" s="80"/>
      <c r="G9" s="80"/>
      <c r="L9" s="38" t="s">
        <v>211</v>
      </c>
      <c r="M9" s="38" t="s">
        <v>212</v>
      </c>
      <c r="N9" s="78"/>
      <c r="Q9" s="38" t="s">
        <v>261</v>
      </c>
      <c r="R9" s="38" t="s">
        <v>260</v>
      </c>
    </row>
    <row r="10" spans="1:24" s="38" customFormat="1" ht="19" x14ac:dyDescent="0.25">
      <c r="A10" s="75"/>
      <c r="B10" s="76" t="s">
        <v>74</v>
      </c>
      <c r="C10" s="77" t="s">
        <v>148</v>
      </c>
      <c r="E10" s="81" t="s">
        <v>140</v>
      </c>
      <c r="F10" s="82" t="s">
        <v>138</v>
      </c>
      <c r="G10" s="83" t="s">
        <v>167</v>
      </c>
      <c r="H10" s="84" t="s">
        <v>153</v>
      </c>
      <c r="L10" s="38" t="s">
        <v>34</v>
      </c>
      <c r="M10" s="38">
        <v>20</v>
      </c>
      <c r="N10" s="78"/>
      <c r="Q10" s="38" t="s">
        <v>262</v>
      </c>
      <c r="R10" s="38" t="s">
        <v>263</v>
      </c>
    </row>
    <row r="11" spans="1:24" s="38" customFormat="1" ht="19" x14ac:dyDescent="0.25">
      <c r="A11" s="75"/>
      <c r="B11" s="76" t="s">
        <v>139</v>
      </c>
      <c r="C11" s="85" t="s">
        <v>149</v>
      </c>
      <c r="E11" s="86"/>
      <c r="F11" s="87"/>
      <c r="G11" s="87"/>
      <c r="H11" s="88">
        <v>2.8</v>
      </c>
      <c r="L11" s="38" t="s">
        <v>37</v>
      </c>
      <c r="M11" s="38">
        <v>20</v>
      </c>
      <c r="N11" s="78"/>
      <c r="Q11" s="38" t="s">
        <v>264</v>
      </c>
      <c r="R11" s="38">
        <v>1</v>
      </c>
    </row>
    <row r="12" spans="1:24" s="38" customFormat="1" ht="19" x14ac:dyDescent="0.25">
      <c r="A12" s="75"/>
      <c r="B12" s="76" t="s">
        <v>3</v>
      </c>
      <c r="C12" s="77" t="s">
        <v>151</v>
      </c>
      <c r="E12" s="86" t="s">
        <v>10</v>
      </c>
      <c r="F12" s="87"/>
      <c r="G12" s="89"/>
      <c r="H12" s="90">
        <v>22</v>
      </c>
      <c r="L12" s="38" t="s">
        <v>38</v>
      </c>
      <c r="M12" s="38">
        <v>40</v>
      </c>
      <c r="N12" s="78"/>
      <c r="Q12" s="38">
        <v>4</v>
      </c>
      <c r="R12" s="38" t="s">
        <v>265</v>
      </c>
    </row>
    <row r="13" spans="1:24" s="38" customFormat="1" ht="19" x14ac:dyDescent="0.25">
      <c r="A13" s="75"/>
      <c r="B13" s="76" t="s">
        <v>95</v>
      </c>
      <c r="C13" s="77" t="s">
        <v>150</v>
      </c>
      <c r="E13" s="87" t="s">
        <v>9</v>
      </c>
      <c r="F13" s="91" t="s">
        <v>207</v>
      </c>
      <c r="G13" s="92"/>
      <c r="H13" s="93">
        <v>16</v>
      </c>
      <c r="J13" s="38">
        <v>1</v>
      </c>
      <c r="L13" s="38" t="s">
        <v>210</v>
      </c>
      <c r="M13" s="38">
        <v>0.4</v>
      </c>
      <c r="N13" s="78"/>
    </row>
    <row r="14" spans="1:24" s="38" customFormat="1" ht="20" thickBot="1" x14ac:dyDescent="0.3">
      <c r="A14" s="75"/>
      <c r="E14" s="87"/>
      <c r="F14" s="94"/>
      <c r="G14" s="95">
        <v>0.25</v>
      </c>
      <c r="H14" s="96">
        <v>2.5</v>
      </c>
      <c r="I14" s="38">
        <v>4</v>
      </c>
      <c r="L14" s="38" t="s">
        <v>214</v>
      </c>
      <c r="M14" s="38">
        <v>9.5</v>
      </c>
      <c r="N14" s="78"/>
    </row>
    <row r="15" spans="1:24" s="38" customFormat="1" ht="19" x14ac:dyDescent="0.25">
      <c r="A15" s="75"/>
      <c r="B15" s="76" t="s">
        <v>4</v>
      </c>
      <c r="C15" s="97"/>
      <c r="D15" s="38">
        <v>1</v>
      </c>
      <c r="E15" s="75"/>
      <c r="F15" s="350" t="s">
        <v>250</v>
      </c>
      <c r="G15" s="350"/>
      <c r="H15" s="98" t="e">
        <f>Dados!B102</f>
        <v>#DIV/0!</v>
      </c>
      <c r="L15" s="38" t="s">
        <v>213</v>
      </c>
      <c r="M15" s="38">
        <f>(IF(M10="","",IF(M10&gt;0.001,(((100-3.5)/100)*(M10*0.057)+(0.092*M11)+(0.0395*M12))*3.77)))*238.85</f>
        <v>4070.1895864500002</v>
      </c>
      <c r="N15" s="78"/>
    </row>
    <row r="16" spans="1:24" s="38" customFormat="1" ht="19" x14ac:dyDescent="0.25">
      <c r="A16" s="75"/>
      <c r="B16" s="38" t="s">
        <v>90</v>
      </c>
      <c r="C16" s="97">
        <v>20</v>
      </c>
      <c r="E16" s="75"/>
      <c r="N16" s="78"/>
    </row>
    <row r="17" spans="1:19" s="38" customFormat="1" ht="20" thickBot="1" x14ac:dyDescent="0.3">
      <c r="A17" s="75"/>
      <c r="B17" s="38" t="s">
        <v>84</v>
      </c>
      <c r="C17" s="77"/>
      <c r="D17" s="38">
        <v>3</v>
      </c>
      <c r="E17" s="99" t="s">
        <v>143</v>
      </c>
      <c r="F17" s="100"/>
      <c r="G17" s="100"/>
      <c r="N17" s="78"/>
    </row>
    <row r="18" spans="1:19" s="38" customFormat="1" ht="19" x14ac:dyDescent="0.25">
      <c r="A18" s="75"/>
      <c r="B18" s="38" t="s">
        <v>155</v>
      </c>
      <c r="C18" s="77"/>
      <c r="D18" s="38">
        <v>4</v>
      </c>
      <c r="E18" s="81" t="s">
        <v>5</v>
      </c>
      <c r="F18" s="82" t="s">
        <v>138</v>
      </c>
      <c r="G18" s="82"/>
      <c r="H18" s="101" t="s">
        <v>153</v>
      </c>
      <c r="N18" s="78"/>
    </row>
    <row r="19" spans="1:19" s="38" customFormat="1" ht="20" thickBot="1" x14ac:dyDescent="0.3">
      <c r="A19" s="75"/>
      <c r="B19" s="38" t="s">
        <v>179</v>
      </c>
      <c r="C19" s="77">
        <v>10</v>
      </c>
      <c r="E19" s="86"/>
      <c r="F19" s="89"/>
      <c r="G19" s="89"/>
      <c r="H19" s="102">
        <v>2.8</v>
      </c>
      <c r="N19" s="78"/>
      <c r="Q19" s="38" t="s">
        <v>267</v>
      </c>
      <c r="R19" s="38" t="s">
        <v>266</v>
      </c>
    </row>
    <row r="20" spans="1:19" s="38" customFormat="1" ht="20" thickBot="1" x14ac:dyDescent="0.3">
      <c r="A20" s="75"/>
      <c r="B20" s="38" t="s">
        <v>180</v>
      </c>
      <c r="C20" s="77">
        <f>(VLOOKUP(D17,Dados!A436:B450,2,0))*2</f>
        <v>80</v>
      </c>
      <c r="E20" s="86"/>
      <c r="F20" s="89"/>
      <c r="G20" s="89"/>
      <c r="H20" s="102">
        <v>22</v>
      </c>
      <c r="N20" s="78"/>
      <c r="Q20" s="38" t="s">
        <v>269</v>
      </c>
      <c r="R20" s="38" t="s">
        <v>270</v>
      </c>
      <c r="S20" s="38" t="s">
        <v>268</v>
      </c>
    </row>
    <row r="21" spans="1:19" s="38" customFormat="1" ht="19" x14ac:dyDescent="0.25">
      <c r="A21" s="75"/>
      <c r="B21" s="38" t="s">
        <v>22</v>
      </c>
      <c r="C21" s="77">
        <v>60</v>
      </c>
      <c r="E21" s="86" t="s">
        <v>9</v>
      </c>
      <c r="F21" s="89"/>
      <c r="G21" s="89"/>
      <c r="H21" s="92">
        <v>16</v>
      </c>
      <c r="N21" s="78"/>
      <c r="Q21" s="38" t="s">
        <v>272</v>
      </c>
      <c r="R21" s="38" t="s">
        <v>271</v>
      </c>
    </row>
    <row r="22" spans="1:19" s="38" customFormat="1" ht="20" thickBot="1" x14ac:dyDescent="0.3">
      <c r="A22" s="75"/>
      <c r="B22" s="38" t="s">
        <v>28</v>
      </c>
      <c r="C22" s="77">
        <v>10</v>
      </c>
      <c r="E22" s="103" t="s">
        <v>142</v>
      </c>
      <c r="F22" s="102"/>
      <c r="G22" s="102"/>
      <c r="H22" s="102">
        <v>2.5</v>
      </c>
      <c r="N22" s="78"/>
      <c r="Q22" s="38" t="s">
        <v>273</v>
      </c>
    </row>
    <row r="23" spans="1:19" s="38" customFormat="1" ht="20" thickBot="1" x14ac:dyDescent="0.3">
      <c r="A23" s="104"/>
      <c r="B23" s="105"/>
      <c r="C23" s="105"/>
      <c r="D23" s="105"/>
      <c r="E23" s="75"/>
      <c r="F23" s="350" t="s">
        <v>250</v>
      </c>
      <c r="G23" s="350"/>
      <c r="H23" s="98" t="e">
        <f>Dados!C102</f>
        <v>#DIV/0!</v>
      </c>
      <c r="N23" s="78"/>
    </row>
    <row r="24" spans="1:19" s="38" customFormat="1" ht="19" x14ac:dyDescent="0.25">
      <c r="E24" s="75"/>
      <c r="N24" s="78"/>
    </row>
    <row r="25" spans="1:19" s="38" customFormat="1" ht="19" x14ac:dyDescent="0.25">
      <c r="C25" s="38" t="s">
        <v>274</v>
      </c>
      <c r="E25" s="75"/>
      <c r="N25" s="78"/>
    </row>
    <row r="26" spans="1:19" s="38" customFormat="1" ht="19" x14ac:dyDescent="0.25">
      <c r="C26" s="38" t="s">
        <v>275</v>
      </c>
      <c r="E26" s="75"/>
      <c r="N26" s="78"/>
    </row>
    <row r="27" spans="1:19" s="38" customFormat="1" ht="19" x14ac:dyDescent="0.25">
      <c r="A27" s="349"/>
      <c r="B27" s="349"/>
      <c r="C27" s="38" t="s">
        <v>276</v>
      </c>
      <c r="E27" s="75"/>
      <c r="N27" s="78"/>
    </row>
    <row r="28" spans="1:19" s="38" customFormat="1" ht="19" x14ac:dyDescent="0.25">
      <c r="E28" s="75"/>
      <c r="N28" s="78"/>
    </row>
    <row r="29" spans="1:19" s="38" customFormat="1" ht="19" x14ac:dyDescent="0.25">
      <c r="E29" s="75"/>
      <c r="N29" s="78"/>
    </row>
    <row r="30" spans="1:19" s="38" customFormat="1" ht="19" x14ac:dyDescent="0.25">
      <c r="E30" s="75"/>
      <c r="N30" s="78"/>
    </row>
    <row r="31" spans="1:19" s="38" customFormat="1" ht="19" x14ac:dyDescent="0.25">
      <c r="E31" s="75"/>
      <c r="N31" s="78"/>
    </row>
    <row r="32" spans="1:19" s="38" customFormat="1" ht="19" x14ac:dyDescent="0.25">
      <c r="E32" s="75"/>
      <c r="N32" s="78"/>
    </row>
    <row r="33" spans="1:14" s="38" customFormat="1" ht="19" x14ac:dyDescent="0.25">
      <c r="E33" s="75"/>
      <c r="N33" s="78"/>
    </row>
    <row r="34" spans="1:14" s="38" customFormat="1" ht="20" thickBot="1" x14ac:dyDescent="0.3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14" ht="19" x14ac:dyDescent="0.25">
      <c r="A36" s="100" t="s">
        <v>255</v>
      </c>
    </row>
    <row r="37" spans="1:14" x14ac:dyDescent="0.2">
      <c r="A37" s="69" t="s">
        <v>1</v>
      </c>
      <c r="B37" s="69" t="str">
        <f>Dados!C7</f>
        <v>José da Silva</v>
      </c>
      <c r="D37" s="116" t="s">
        <v>81</v>
      </c>
      <c r="E37" s="116" t="s">
        <v>82</v>
      </c>
      <c r="F37" s="116" t="s">
        <v>96</v>
      </c>
    </row>
    <row r="38" spans="1:14" ht="15" x14ac:dyDescent="0.2">
      <c r="A38" s="69" t="s">
        <v>0</v>
      </c>
      <c r="B38" s="69" t="str">
        <f>Dados!C8</f>
        <v>Montes Claros</v>
      </c>
      <c r="D38" s="324" t="s">
        <v>224</v>
      </c>
      <c r="E38" s="325">
        <f>Dados!F145</f>
        <v>43.75</v>
      </c>
      <c r="F38" s="325" t="e">
        <f>Dados!G145</f>
        <v>#N/A</v>
      </c>
    </row>
    <row r="39" spans="1:14" ht="15" thickBot="1" x14ac:dyDescent="0.25">
      <c r="A39" s="69" t="s">
        <v>2</v>
      </c>
      <c r="B39" s="108" t="str">
        <f>Dados!C9</f>
        <v>Castro/PR</v>
      </c>
      <c r="D39" s="109"/>
      <c r="E39" s="110"/>
      <c r="F39" s="110"/>
    </row>
    <row r="40" spans="1:14" ht="15" x14ac:dyDescent="0.2">
      <c r="A40" s="69" t="s">
        <v>74</v>
      </c>
      <c r="B40" s="108" t="str">
        <f>Dados!C10</f>
        <v>042 99915-2168</v>
      </c>
      <c r="D40" s="111" t="s">
        <v>87</v>
      </c>
      <c r="E40" s="107">
        <f>Dados!F147</f>
        <v>8.75</v>
      </c>
      <c r="F40" s="107" t="e">
        <f>Dados!G147</f>
        <v>#N/A</v>
      </c>
    </row>
    <row r="41" spans="1:14" x14ac:dyDescent="0.2">
      <c r="A41" s="69" t="s">
        <v>139</v>
      </c>
      <c r="B41" s="108" t="str">
        <f>Dados!C11</f>
        <v>j.silva@gmail.com</v>
      </c>
      <c r="D41" s="112"/>
      <c r="E41" s="110"/>
      <c r="F41" s="110"/>
    </row>
    <row r="42" spans="1:14" x14ac:dyDescent="0.2">
      <c r="A42" s="69" t="s">
        <v>3</v>
      </c>
      <c r="B42" s="108" t="str">
        <f>Dados!C12</f>
        <v>Pedro da Silva</v>
      </c>
      <c r="D42" s="113"/>
      <c r="E42" s="114"/>
      <c r="F42" s="115"/>
    </row>
    <row r="43" spans="1:14" ht="14" customHeight="1" x14ac:dyDescent="0.2">
      <c r="A43" s="69" t="s">
        <v>95</v>
      </c>
      <c r="B43" s="108" t="str">
        <f>Dados!C13</f>
        <v>Elinton W. Carneiro</v>
      </c>
      <c r="D43" s="309" t="s">
        <v>225</v>
      </c>
      <c r="E43" s="311">
        <f>Dados!F151</f>
        <v>4.375</v>
      </c>
      <c r="F43" s="311" t="e">
        <f>Dados!G151</f>
        <v>#N/A</v>
      </c>
    </row>
    <row r="44" spans="1:14" x14ac:dyDescent="0.2">
      <c r="A44" s="69" t="s">
        <v>4</v>
      </c>
      <c r="B44" s="108" t="str">
        <f>VLOOKUP(Dados!D15,Dados!A452:B456,2,0)</f>
        <v>Holandês</v>
      </c>
      <c r="D44" s="309"/>
      <c r="E44" s="311"/>
      <c r="F44" s="311"/>
    </row>
    <row r="45" spans="1:14" ht="15" thickBot="1" x14ac:dyDescent="0.25">
      <c r="B45" s="108"/>
      <c r="D45" s="310"/>
      <c r="E45" s="312"/>
      <c r="F45" s="312"/>
    </row>
    <row r="46" spans="1:14" ht="14" customHeight="1" x14ac:dyDescent="0.2">
      <c r="B46" s="116" t="s">
        <v>202</v>
      </c>
      <c r="C46" s="116" t="s">
        <v>197</v>
      </c>
      <c r="D46" s="309" t="s">
        <v>244</v>
      </c>
      <c r="E46" s="311">
        <f>Dados!F154</f>
        <v>218.75</v>
      </c>
      <c r="F46" s="311" t="e">
        <f>Dados!G154</f>
        <v>#N/A</v>
      </c>
    </row>
    <row r="47" spans="1:14" x14ac:dyDescent="0.2">
      <c r="A47" s="117" t="s">
        <v>242</v>
      </c>
      <c r="B47" s="118" t="e">
        <f>Dados!B154</f>
        <v>#N/A</v>
      </c>
      <c r="C47" s="118" t="e">
        <f>Dados!C154</f>
        <v>#N/A</v>
      </c>
      <c r="D47" s="309"/>
      <c r="E47" s="311"/>
      <c r="F47" s="311"/>
    </row>
    <row r="48" spans="1:14" ht="15" thickBot="1" x14ac:dyDescent="0.25">
      <c r="A48" s="117" t="s">
        <v>242</v>
      </c>
      <c r="B48" s="118" t="e">
        <f>Dados!B155</f>
        <v>#N/A</v>
      </c>
      <c r="C48" s="118" t="e">
        <f>Dados!C155</f>
        <v>#N/A</v>
      </c>
      <c r="D48" s="310"/>
      <c r="E48" s="312"/>
      <c r="F48" s="312"/>
    </row>
    <row r="49" spans="1:8" ht="14" customHeight="1" x14ac:dyDescent="0.2">
      <c r="A49" s="117" t="s">
        <v>242</v>
      </c>
      <c r="B49" s="118" t="e">
        <f>Dados!B155</f>
        <v>#N/A</v>
      </c>
      <c r="C49" s="118" t="e">
        <f>Dados!C155</f>
        <v>#N/A</v>
      </c>
      <c r="D49" s="309" t="s">
        <v>226</v>
      </c>
      <c r="E49" s="311">
        <f>Dados!F157</f>
        <v>262.5</v>
      </c>
      <c r="F49" s="311" t="e">
        <f>Dados!G157</f>
        <v>#N/A</v>
      </c>
    </row>
    <row r="50" spans="1:8" x14ac:dyDescent="0.2">
      <c r="A50" s="117" t="s">
        <v>144</v>
      </c>
      <c r="B50" s="118" t="e">
        <f>Dados!B157</f>
        <v>#N/A</v>
      </c>
      <c r="C50" s="118" t="e">
        <f>Dados!C157</f>
        <v>#N/A</v>
      </c>
      <c r="D50" s="309"/>
      <c r="E50" s="311"/>
      <c r="F50" s="311"/>
    </row>
    <row r="51" spans="1:8" ht="15" thickBot="1" x14ac:dyDescent="0.25">
      <c r="A51" s="117" t="s">
        <v>166</v>
      </c>
      <c r="B51" s="118" t="e">
        <f>Dados!B158</f>
        <v>#N/A</v>
      </c>
      <c r="C51" s="118">
        <f>Dados!C158</f>
        <v>0</v>
      </c>
      <c r="D51" s="310"/>
      <c r="E51" s="312"/>
      <c r="F51" s="312"/>
    </row>
    <row r="52" spans="1:8" ht="15" thickBot="1" x14ac:dyDescent="0.25">
      <c r="A52" s="117" t="s">
        <v>247</v>
      </c>
      <c r="B52" s="118">
        <f>Dados!B159</f>
        <v>0</v>
      </c>
      <c r="C52" s="118" t="e">
        <f>Dados!C159</f>
        <v>#N/A</v>
      </c>
    </row>
    <row r="53" spans="1:8" x14ac:dyDescent="0.2">
      <c r="A53" s="117" t="s">
        <v>243</v>
      </c>
      <c r="B53" s="118" t="e">
        <f>Dados!B160</f>
        <v>#N/A</v>
      </c>
      <c r="C53" s="118" t="e">
        <f>Dados!C160</f>
        <v>#N/A</v>
      </c>
      <c r="D53" s="313" t="e">
        <f>Dados!B183</f>
        <v>#N/A</v>
      </c>
      <c r="E53" s="119"/>
      <c r="F53" s="319" t="e">
        <f>C53/25</f>
        <v>#N/A</v>
      </c>
      <c r="G53" s="322">
        <f>Dados!H20</f>
        <v>22</v>
      </c>
      <c r="H53" s="311" t="e">
        <f>(G53*25)*F53</f>
        <v>#N/A</v>
      </c>
    </row>
    <row r="54" spans="1:8" ht="15" x14ac:dyDescent="0.2">
      <c r="D54" s="314"/>
      <c r="E54" s="120" t="s">
        <v>248</v>
      </c>
      <c r="F54" s="320"/>
      <c r="G54" s="322"/>
      <c r="H54" s="311"/>
    </row>
    <row r="55" spans="1:8" ht="15" thickBot="1" x14ac:dyDescent="0.25">
      <c r="A55" s="117" t="s">
        <v>217</v>
      </c>
      <c r="B55" s="118">
        <f>Dados!B162</f>
        <v>0.35</v>
      </c>
      <c r="C55" s="118" t="e">
        <f>Dados!C162</f>
        <v>#N/A</v>
      </c>
      <c r="D55" s="314"/>
      <c r="E55" s="120"/>
      <c r="F55" s="321"/>
      <c r="G55" s="323"/>
      <c r="H55" s="312"/>
    </row>
    <row r="56" spans="1:8" ht="14" customHeight="1" x14ac:dyDescent="0.2">
      <c r="A56" s="117" t="s">
        <v>245</v>
      </c>
      <c r="B56" s="118">
        <f>Dados!B163</f>
        <v>17.5</v>
      </c>
      <c r="C56" s="118" t="e">
        <f>Dados!C163</f>
        <v>#N/A</v>
      </c>
      <c r="D56" s="313" t="s">
        <v>249</v>
      </c>
      <c r="E56" s="316" t="s">
        <v>248</v>
      </c>
      <c r="F56" s="319" t="e">
        <f>C56/15</f>
        <v>#N/A</v>
      </c>
      <c r="G56" s="322">
        <f>Dados!H22</f>
        <v>2.5</v>
      </c>
      <c r="H56" s="311" t="e">
        <f>(G56*15)*F56</f>
        <v>#N/A</v>
      </c>
    </row>
    <row r="57" spans="1:8" x14ac:dyDescent="0.2">
      <c r="A57" s="117" t="s">
        <v>246</v>
      </c>
      <c r="B57" s="118" t="e">
        <f>Dados!B164</f>
        <v>#N/A</v>
      </c>
      <c r="C57" s="118" t="e">
        <f>Dados!C164</f>
        <v>#N/A</v>
      </c>
      <c r="D57" s="314"/>
      <c r="E57" s="317"/>
      <c r="F57" s="320"/>
      <c r="G57" s="322"/>
      <c r="H57" s="311"/>
    </row>
    <row r="58" spans="1:8" ht="15" thickBot="1" x14ac:dyDescent="0.25">
      <c r="A58" s="117" t="s">
        <v>233</v>
      </c>
      <c r="B58" s="118">
        <f>Dados!B166</f>
        <v>0</v>
      </c>
      <c r="C58" s="118">
        <f>Dados!C166</f>
        <v>0</v>
      </c>
      <c r="D58" s="315"/>
      <c r="E58" s="318"/>
      <c r="F58" s="321"/>
      <c r="G58" s="323"/>
      <c r="H58" s="312"/>
    </row>
    <row r="60" spans="1:8" x14ac:dyDescent="0.2">
      <c r="A60" s="121" t="s">
        <v>222</v>
      </c>
      <c r="B60" s="122">
        <f>Dados!B167</f>
        <v>0</v>
      </c>
      <c r="C60" s="122">
        <f>Dados!C167</f>
        <v>0</v>
      </c>
    </row>
    <row r="61" spans="1:8" x14ac:dyDescent="0.2">
      <c r="A61" s="121" t="s">
        <v>223</v>
      </c>
      <c r="B61" s="122">
        <f>Dados!B168</f>
        <v>43.75</v>
      </c>
      <c r="C61" s="122" t="e">
        <f>Dados!C168</f>
        <v>#N/A</v>
      </c>
    </row>
    <row r="62" spans="1:8" x14ac:dyDescent="0.2">
      <c r="A62" s="121" t="s">
        <v>86</v>
      </c>
      <c r="B62" s="123">
        <f>Dados!B169</f>
        <v>45</v>
      </c>
      <c r="C62" s="123">
        <f>Dados!C169</f>
        <v>45</v>
      </c>
    </row>
    <row r="64" spans="1:8" x14ac:dyDescent="0.2">
      <c r="B64" s="69" t="s">
        <v>82</v>
      </c>
      <c r="C64" s="69" t="s">
        <v>96</v>
      </c>
    </row>
    <row r="65" spans="1:3" x14ac:dyDescent="0.2">
      <c r="A65" s="69" t="s">
        <v>227</v>
      </c>
      <c r="B65" s="124">
        <f>Dados!B227</f>
        <v>700</v>
      </c>
      <c r="C65" s="124">
        <f>Dados!B175</f>
        <v>700</v>
      </c>
    </row>
    <row r="66" spans="1:3" x14ac:dyDescent="0.2">
      <c r="A66" s="69" t="s">
        <v>228</v>
      </c>
      <c r="B66" s="124" t="str">
        <f>Dados!C227</f>
        <v/>
      </c>
      <c r="C66" s="124" t="str">
        <f>Dados!C175</f>
        <v/>
      </c>
    </row>
    <row r="67" spans="1:3" x14ac:dyDescent="0.2">
      <c r="A67" s="69" t="s">
        <v>229</v>
      </c>
      <c r="B67" s="124" t="str">
        <f>Dados!D227</f>
        <v/>
      </c>
      <c r="C67" s="124" t="str">
        <f>Dados!D175</f>
        <v/>
      </c>
    </row>
    <row r="68" spans="1:3" x14ac:dyDescent="0.2">
      <c r="B68" s="124"/>
      <c r="C68" s="124"/>
    </row>
    <row r="69" spans="1:3" x14ac:dyDescent="0.2">
      <c r="B69" s="69" t="s">
        <v>82</v>
      </c>
      <c r="C69" s="69" t="s">
        <v>96</v>
      </c>
    </row>
    <row r="70" spans="1:3" x14ac:dyDescent="0.2">
      <c r="A70" s="69" t="s">
        <v>227</v>
      </c>
      <c r="B70" s="69">
        <f>B45</f>
        <v>0</v>
      </c>
      <c r="C70" s="69">
        <f>B45</f>
        <v>0</v>
      </c>
    </row>
    <row r="71" spans="1:3" x14ac:dyDescent="0.2">
      <c r="A71" s="69" t="s">
        <v>230</v>
      </c>
      <c r="B71" s="124">
        <f>MIN(Dados!C227:D227)</f>
        <v>0</v>
      </c>
      <c r="C71" s="124">
        <f>MIN(Dados!C175:D175)</f>
        <v>0</v>
      </c>
    </row>
    <row r="73" spans="1:3" ht="19" x14ac:dyDescent="0.25">
      <c r="A73" s="100" t="s">
        <v>256</v>
      </c>
    </row>
    <row r="74" spans="1:3" ht="15" thickBot="1" x14ac:dyDescent="0.25"/>
    <row r="75" spans="1:3" x14ac:dyDescent="0.2">
      <c r="A75" s="125" t="s">
        <v>1</v>
      </c>
      <c r="B75" s="126" t="str">
        <f>Dados!C7</f>
        <v>José da Silva</v>
      </c>
    </row>
    <row r="76" spans="1:3" x14ac:dyDescent="0.2">
      <c r="A76" s="127" t="s">
        <v>0</v>
      </c>
      <c r="B76" s="128" t="str">
        <f>Dados!C8</f>
        <v>Montes Claros</v>
      </c>
    </row>
    <row r="77" spans="1:3" x14ac:dyDescent="0.2">
      <c r="A77" s="127" t="s">
        <v>2</v>
      </c>
      <c r="B77" s="128" t="str">
        <f>Dados!C9</f>
        <v>Castro/PR</v>
      </c>
    </row>
    <row r="78" spans="1:3" x14ac:dyDescent="0.2">
      <c r="A78" s="127" t="s">
        <v>74</v>
      </c>
      <c r="B78" s="128" t="str">
        <f>Dados!C10</f>
        <v>042 99915-2168</v>
      </c>
    </row>
    <row r="79" spans="1:3" x14ac:dyDescent="0.2">
      <c r="A79" s="127" t="s">
        <v>139</v>
      </c>
      <c r="B79" s="128" t="str">
        <f>Dados!C11</f>
        <v>j.silva@gmail.com</v>
      </c>
    </row>
    <row r="80" spans="1:3" x14ac:dyDescent="0.2">
      <c r="A80" s="127" t="s">
        <v>3</v>
      </c>
      <c r="B80" s="128" t="str">
        <f>Dados!C12</f>
        <v>Pedro da Silva</v>
      </c>
    </row>
    <row r="81" spans="1:3" x14ac:dyDescent="0.2">
      <c r="A81" s="127" t="s">
        <v>95</v>
      </c>
      <c r="B81" s="128" t="str">
        <f>Dados!C13</f>
        <v>Elinton W. Carneiro</v>
      </c>
    </row>
    <row r="82" spans="1:3" ht="15" thickBot="1" x14ac:dyDescent="0.25">
      <c r="A82" s="129" t="s">
        <v>4</v>
      </c>
      <c r="B82" s="130" t="str">
        <f>VLOOKUP(Dados!D15,Dados!A452:B456,2,0)</f>
        <v>Holandês</v>
      </c>
    </row>
    <row r="83" spans="1:3" ht="15" thickBot="1" x14ac:dyDescent="0.25"/>
    <row r="84" spans="1:3" x14ac:dyDescent="0.2">
      <c r="A84" s="131" t="s">
        <v>81</v>
      </c>
      <c r="B84" s="132"/>
    </row>
    <row r="85" spans="1:3" x14ac:dyDescent="0.2">
      <c r="A85" s="133" t="s">
        <v>84</v>
      </c>
      <c r="B85" s="134">
        <f>Dados!B145</f>
        <v>40</v>
      </c>
    </row>
    <row r="86" spans="1:3" x14ac:dyDescent="0.2">
      <c r="A86" s="133" t="s">
        <v>83</v>
      </c>
      <c r="B86" s="134">
        <f>Dados!B146</f>
        <v>10</v>
      </c>
    </row>
    <row r="87" spans="1:3" x14ac:dyDescent="0.2">
      <c r="A87" s="133" t="s">
        <v>89</v>
      </c>
      <c r="B87" s="135">
        <f>Dados!B147</f>
        <v>0.5</v>
      </c>
    </row>
    <row r="88" spans="1:3" x14ac:dyDescent="0.2">
      <c r="A88" s="133" t="s">
        <v>85</v>
      </c>
      <c r="B88" s="134">
        <f>Dados!B148</f>
        <v>5</v>
      </c>
    </row>
    <row r="89" spans="1:3" ht="15" thickBot="1" x14ac:dyDescent="0.25"/>
    <row r="90" spans="1:3" x14ac:dyDescent="0.2">
      <c r="A90" s="131" t="s">
        <v>81</v>
      </c>
      <c r="B90" s="132"/>
    </row>
    <row r="91" spans="1:3" x14ac:dyDescent="0.2">
      <c r="A91" s="133" t="s">
        <v>215</v>
      </c>
      <c r="B91" s="134">
        <f>Dados!B149</f>
        <v>80</v>
      </c>
    </row>
    <row r="92" spans="1:3" x14ac:dyDescent="0.2">
      <c r="A92" s="133" t="s">
        <v>184</v>
      </c>
      <c r="B92" s="134">
        <f>Dados!B150</f>
        <v>50</v>
      </c>
    </row>
    <row r="93" spans="1:3" ht="15" thickBot="1" x14ac:dyDescent="0.25">
      <c r="A93" s="136" t="s">
        <v>220</v>
      </c>
      <c r="B93" s="137">
        <f>Dados!B151</f>
        <v>700</v>
      </c>
    </row>
    <row r="95" spans="1:3" x14ac:dyDescent="0.2">
      <c r="B95" s="116" t="s">
        <v>202</v>
      </c>
      <c r="C95" s="116" t="s">
        <v>197</v>
      </c>
    </row>
    <row r="96" spans="1:3" x14ac:dyDescent="0.2">
      <c r="A96" s="117" t="s">
        <v>241</v>
      </c>
      <c r="B96" s="118" t="e">
        <f>Dados!B154</f>
        <v>#N/A</v>
      </c>
      <c r="C96" s="138" t="e">
        <f>Dados!C154</f>
        <v>#N/A</v>
      </c>
    </row>
    <row r="97" spans="1:3" x14ac:dyDescent="0.2">
      <c r="A97" s="117" t="s">
        <v>239</v>
      </c>
      <c r="B97" s="118" t="e">
        <f>Dados!B155</f>
        <v>#N/A</v>
      </c>
      <c r="C97" s="138" t="e">
        <f>Dados!C155</f>
        <v>#N/A</v>
      </c>
    </row>
    <row r="98" spans="1:3" x14ac:dyDescent="0.2">
      <c r="A98" s="117" t="s">
        <v>88</v>
      </c>
      <c r="B98" s="138" t="e">
        <f>Dados!B156</f>
        <v>#N/A</v>
      </c>
      <c r="C98" s="138" t="e">
        <f>Dados!C156</f>
        <v>#N/A</v>
      </c>
    </row>
    <row r="99" spans="1:3" x14ac:dyDescent="0.2">
      <c r="A99" s="117" t="s">
        <v>144</v>
      </c>
      <c r="B99" s="138" t="e">
        <f>Dados!B157</f>
        <v>#N/A</v>
      </c>
      <c r="C99" s="138" t="e">
        <f>Dados!C157</f>
        <v>#N/A</v>
      </c>
    </row>
    <row r="100" spans="1:3" x14ac:dyDescent="0.2">
      <c r="A100" s="117" t="s">
        <v>166</v>
      </c>
      <c r="B100" s="138" t="e">
        <f>Dados!B158</f>
        <v>#N/A</v>
      </c>
      <c r="C100" s="138">
        <f>Dados!C158</f>
        <v>0</v>
      </c>
    </row>
    <row r="101" spans="1:3" x14ac:dyDescent="0.2">
      <c r="A101" s="117" t="s">
        <v>168</v>
      </c>
      <c r="B101" s="138">
        <f>Dados!B159</f>
        <v>0</v>
      </c>
      <c r="C101" s="138" t="e">
        <f>Dados!C159</f>
        <v>#N/A</v>
      </c>
    </row>
    <row r="102" spans="1:3" x14ac:dyDescent="0.2">
      <c r="A102" s="117" t="s">
        <v>88</v>
      </c>
      <c r="B102" s="122" t="e">
        <f>Dados!C241</f>
        <v>#DIV/0!</v>
      </c>
      <c r="C102" s="122" t="e">
        <f>Dados!C189</f>
        <v>#DIV/0!</v>
      </c>
    </row>
    <row r="104" spans="1:3" x14ac:dyDescent="0.2">
      <c r="A104" s="117" t="s">
        <v>217</v>
      </c>
      <c r="B104" s="122">
        <f>Dados!B162</f>
        <v>0.35</v>
      </c>
      <c r="C104" s="122" t="e">
        <f>Dados!C162</f>
        <v>#N/A</v>
      </c>
    </row>
    <row r="105" spans="1:3" x14ac:dyDescent="0.2">
      <c r="A105" s="117" t="s">
        <v>141</v>
      </c>
      <c r="B105" s="122">
        <f>Dados!B163</f>
        <v>17.5</v>
      </c>
      <c r="C105" s="122" t="e">
        <f>Dados!C163</f>
        <v>#N/A</v>
      </c>
    </row>
    <row r="106" spans="1:3" x14ac:dyDescent="0.2">
      <c r="A106" s="117" t="s">
        <v>234</v>
      </c>
      <c r="B106" s="122">
        <f>Dados!D230</f>
        <v>0.97321927448018775</v>
      </c>
      <c r="C106" s="122">
        <f>Dados!D178</f>
        <v>0.97321927448018775</v>
      </c>
    </row>
    <row r="107" spans="1:3" x14ac:dyDescent="0.2">
      <c r="A107" s="117" t="s">
        <v>235</v>
      </c>
      <c r="B107" s="122">
        <f>Dados!C242</f>
        <v>0.30449999999999999</v>
      </c>
      <c r="C107" s="122">
        <f>Dados!C190</f>
        <v>0</v>
      </c>
    </row>
    <row r="108" spans="1:3" x14ac:dyDescent="0.2">
      <c r="A108" s="117" t="s">
        <v>170</v>
      </c>
      <c r="B108" s="122" t="e">
        <f>Dados!B164</f>
        <v>#N/A</v>
      </c>
      <c r="C108" s="122" t="e">
        <f>Dados!C164</f>
        <v>#N/A</v>
      </c>
    </row>
    <row r="109" spans="1:3" x14ac:dyDescent="0.2">
      <c r="A109" s="117" t="s">
        <v>233</v>
      </c>
      <c r="B109" s="122">
        <f>Dados!B166</f>
        <v>0</v>
      </c>
      <c r="C109" s="122">
        <f>Dados!C166</f>
        <v>0</v>
      </c>
    </row>
    <row r="111" spans="1:3" x14ac:dyDescent="0.2">
      <c r="B111" s="69" t="s">
        <v>82</v>
      </c>
      <c r="C111" s="69" t="s">
        <v>96</v>
      </c>
    </row>
    <row r="112" spans="1:3" x14ac:dyDescent="0.2">
      <c r="A112" s="69" t="s">
        <v>227</v>
      </c>
      <c r="B112" s="124">
        <f>Dados!B227</f>
        <v>700</v>
      </c>
      <c r="C112" s="124">
        <f>Dados!B175</f>
        <v>700</v>
      </c>
    </row>
    <row r="113" spans="1:5" x14ac:dyDescent="0.2">
      <c r="A113" s="69" t="s">
        <v>228</v>
      </c>
      <c r="B113" s="124" t="str">
        <f>Dados!C227</f>
        <v/>
      </c>
      <c r="C113" s="124" t="str">
        <f>Dados!C175</f>
        <v/>
      </c>
    </row>
    <row r="114" spans="1:5" x14ac:dyDescent="0.2">
      <c r="A114" s="69" t="s">
        <v>229</v>
      </c>
      <c r="B114" s="124" t="str">
        <f>Dados!D227</f>
        <v/>
      </c>
      <c r="C114" s="124" t="str">
        <f>Dados!D175</f>
        <v/>
      </c>
    </row>
    <row r="115" spans="1:5" x14ac:dyDescent="0.2">
      <c r="B115" s="124"/>
      <c r="C115" s="124"/>
    </row>
    <row r="116" spans="1:5" x14ac:dyDescent="0.2">
      <c r="B116" s="69" t="s">
        <v>82</v>
      </c>
      <c r="C116" s="69" t="s">
        <v>96</v>
      </c>
    </row>
    <row r="117" spans="1:5" x14ac:dyDescent="0.2">
      <c r="A117" s="69" t="s">
        <v>227</v>
      </c>
      <c r="B117" s="69">
        <f>B93</f>
        <v>700</v>
      </c>
      <c r="C117" s="69">
        <f>B93</f>
        <v>700</v>
      </c>
    </row>
    <row r="118" spans="1:5" x14ac:dyDescent="0.2">
      <c r="A118" s="69" t="s">
        <v>230</v>
      </c>
      <c r="B118" s="124">
        <f>MIN(Dados!C227:D227)</f>
        <v>0</v>
      </c>
      <c r="C118" s="124">
        <f>MIN(Dados!C175:D175)</f>
        <v>0</v>
      </c>
    </row>
    <row r="121" spans="1:5" x14ac:dyDescent="0.2">
      <c r="B121" s="69" t="s">
        <v>237</v>
      </c>
      <c r="C121" s="69">
        <f>B86</f>
        <v>10</v>
      </c>
      <c r="D121" s="69">
        <f>Dados!C21</f>
        <v>60</v>
      </c>
    </row>
    <row r="122" spans="1:5" x14ac:dyDescent="0.2">
      <c r="A122" s="69" t="s">
        <v>202</v>
      </c>
      <c r="B122" s="69">
        <f>B85</f>
        <v>40</v>
      </c>
      <c r="C122" s="69">
        <f>B85+B88</f>
        <v>45</v>
      </c>
      <c r="D122" s="124">
        <f>D128</f>
        <v>45</v>
      </c>
    </row>
    <row r="123" spans="1:5" x14ac:dyDescent="0.2">
      <c r="A123" s="69" t="s">
        <v>197</v>
      </c>
      <c r="B123" s="69">
        <f>B85</f>
        <v>40</v>
      </c>
      <c r="C123" s="69">
        <f>B85+B88</f>
        <v>45</v>
      </c>
      <c r="D123" s="124">
        <f>E128</f>
        <v>45</v>
      </c>
    </row>
    <row r="124" spans="1:5" x14ac:dyDescent="0.2">
      <c r="A124" s="69" t="s">
        <v>236</v>
      </c>
      <c r="B124" s="69">
        <f>B85</f>
        <v>40</v>
      </c>
      <c r="C124" s="124">
        <f>(((((B124*2)-B124))/60)*B86)+B124</f>
        <v>46.666666666666664</v>
      </c>
      <c r="D124" s="69">
        <f>B124*2</f>
        <v>80</v>
      </c>
    </row>
    <row r="126" spans="1:5" x14ac:dyDescent="0.2">
      <c r="D126" s="69" t="s">
        <v>82</v>
      </c>
      <c r="E126" s="69" t="s">
        <v>96</v>
      </c>
    </row>
    <row r="127" spans="1:5" x14ac:dyDescent="0.2">
      <c r="D127" s="69">
        <f>(B117*B92)/1000+(B85+B88)</f>
        <v>80</v>
      </c>
      <c r="E127" s="69">
        <f>(C117*B92)/1000+(B85+B88)</f>
        <v>80</v>
      </c>
    </row>
    <row r="128" spans="1:5" x14ac:dyDescent="0.2">
      <c r="D128" s="124">
        <f>(B118*B92)/1000+(B85+B88)</f>
        <v>45</v>
      </c>
      <c r="E128" s="124">
        <f>(C118*B92)/1000+(B85+B88)</f>
        <v>45</v>
      </c>
    </row>
    <row r="129" spans="1:7" ht="19" x14ac:dyDescent="0.25">
      <c r="A129" s="100" t="s">
        <v>257</v>
      </c>
    </row>
    <row r="143" spans="1:7" ht="20" thickBot="1" x14ac:dyDescent="0.3">
      <c r="A143" s="100" t="s">
        <v>258</v>
      </c>
    </row>
    <row r="144" spans="1:7" x14ac:dyDescent="0.2">
      <c r="A144" s="131" t="s">
        <v>81</v>
      </c>
      <c r="B144" s="132" t="s">
        <v>82</v>
      </c>
      <c r="C144" s="139"/>
      <c r="D144" s="140"/>
      <c r="E144" s="116" t="s">
        <v>81</v>
      </c>
      <c r="F144" s="116" t="s">
        <v>82</v>
      </c>
      <c r="G144" s="116" t="s">
        <v>96</v>
      </c>
    </row>
    <row r="145" spans="1:8" ht="30" x14ac:dyDescent="0.2">
      <c r="A145" s="133" t="s">
        <v>84</v>
      </c>
      <c r="B145" s="141">
        <f>Dados!C20/2</f>
        <v>40</v>
      </c>
      <c r="C145" s="139"/>
      <c r="D145" s="140"/>
      <c r="E145" s="113" t="s">
        <v>224</v>
      </c>
      <c r="F145" s="325">
        <f>B167+B168</f>
        <v>43.75</v>
      </c>
      <c r="G145" s="326" t="e">
        <f>C167+C168</f>
        <v>#N/A</v>
      </c>
      <c r="H145" s="62" t="e">
        <f>-(1-(G145/F145))</f>
        <v>#N/A</v>
      </c>
    </row>
    <row r="146" spans="1:8" x14ac:dyDescent="0.2">
      <c r="A146" s="133" t="s">
        <v>83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8" ht="15" x14ac:dyDescent="0.2">
      <c r="A147" s="133" t="s">
        <v>89</v>
      </c>
      <c r="B147" s="145">
        <f>((VLOOKUP(Dados!D18,Dados!A436:B450,2,0))-Dados!B145)/Dados!B146</f>
        <v>0.5</v>
      </c>
      <c r="C147" s="146"/>
      <c r="D147" s="140"/>
      <c r="E147" s="147" t="s">
        <v>87</v>
      </c>
      <c r="F147" s="148">
        <f>F145/B148</f>
        <v>8.75</v>
      </c>
      <c r="G147" s="149" t="e">
        <f>G145/B148</f>
        <v>#N/A</v>
      </c>
      <c r="H147" s="150"/>
    </row>
    <row r="148" spans="1:8" x14ac:dyDescent="0.2">
      <c r="A148" s="133" t="s">
        <v>85</v>
      </c>
      <c r="B148" s="151">
        <f>B146*B147</f>
        <v>5</v>
      </c>
      <c r="C148" s="152"/>
      <c r="D148" s="150"/>
      <c r="E148" s="112"/>
      <c r="F148" s="110"/>
      <c r="G148" s="144"/>
      <c r="H148" s="143"/>
    </row>
    <row r="149" spans="1:8" ht="15" x14ac:dyDescent="0.2">
      <c r="A149" s="133" t="s">
        <v>215</v>
      </c>
      <c r="B149" s="153">
        <f>B145*2</f>
        <v>80</v>
      </c>
      <c r="D149" s="150"/>
      <c r="E149" s="154" t="s">
        <v>169</v>
      </c>
      <c r="F149" s="154" t="e">
        <f>B164/B148</f>
        <v>#N/A</v>
      </c>
      <c r="G149" s="155" t="e">
        <f>C164/B148</f>
        <v>#N/A</v>
      </c>
    </row>
    <row r="150" spans="1:8" x14ac:dyDescent="0.2">
      <c r="A150" s="133" t="s">
        <v>184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8" ht="31" thickBot="1" x14ac:dyDescent="0.25">
      <c r="A151" s="136" t="s">
        <v>220</v>
      </c>
      <c r="B151" s="157">
        <f>((B149-(B145+B148))/B150)*1000</f>
        <v>700</v>
      </c>
      <c r="C151" s="146"/>
      <c r="D151" s="150"/>
      <c r="E151" s="158" t="s">
        <v>225</v>
      </c>
      <c r="F151" s="159">
        <f>F145/B146</f>
        <v>4.375</v>
      </c>
      <c r="G151" s="160" t="e">
        <f>G145/B146</f>
        <v>#N/A</v>
      </c>
      <c r="H151" s="63" t="e">
        <f>-(1-(G151/F151))</f>
        <v>#N/A</v>
      </c>
    </row>
    <row r="152" spans="1:8" x14ac:dyDescent="0.2">
      <c r="D152" s="161"/>
      <c r="E152" s="162"/>
      <c r="F152" s="163"/>
      <c r="G152" s="164"/>
    </row>
    <row r="153" spans="1:8" ht="15" thickBot="1" x14ac:dyDescent="0.25">
      <c r="E153" s="165"/>
      <c r="F153" s="166"/>
      <c r="G153" s="167"/>
      <c r="H153" s="143"/>
    </row>
    <row r="154" spans="1:8" ht="30" x14ac:dyDescent="0.2">
      <c r="A154" s="168" t="s">
        <v>240</v>
      </c>
      <c r="B154" s="169" t="e">
        <f>VLOOKUP(Dados!I11,Dados!A414:B419,2,0)</f>
        <v>#N/A</v>
      </c>
      <c r="C154" s="169" t="e">
        <f>VLOOKUP(Dados!I19,Dados!A414:B419,2,0)</f>
        <v>#N/A</v>
      </c>
      <c r="D154" s="140"/>
      <c r="E154" s="170" t="s">
        <v>244</v>
      </c>
      <c r="F154" s="171">
        <f>F151*B150</f>
        <v>218.75</v>
      </c>
      <c r="G154" s="171" t="e">
        <f>G151*B150</f>
        <v>#N/A</v>
      </c>
    </row>
    <row r="155" spans="1:8" x14ac:dyDescent="0.2">
      <c r="A155" s="168" t="s">
        <v>239</v>
      </c>
      <c r="B155" s="169" t="e">
        <f>B154*B150</f>
        <v>#N/A</v>
      </c>
      <c r="C155" s="169" t="e">
        <f>C154*B150</f>
        <v>#N/A</v>
      </c>
      <c r="D155" s="172"/>
      <c r="E155" s="162"/>
      <c r="F155" s="163"/>
      <c r="G155" s="163"/>
    </row>
    <row r="156" spans="1:8" ht="15" thickBot="1" x14ac:dyDescent="0.25">
      <c r="A156" s="168" t="s">
        <v>88</v>
      </c>
      <c r="B156" s="173" t="e" cm="1">
        <f t="array" ref="B156">_xlfn.IFS(Dados!J11=1,0,Dados!J11=2,Dados!C519,Dados!J11=3,Dados!C520)*100</f>
        <v>#N/A</v>
      </c>
      <c r="C156" s="173" t="e" cm="1">
        <f t="array" ref="C156">_xlfn.IFS(Dados!J19=1,0,Dados!J19=2,Dados!C519,Dados!J19=3,Dados!C520)*100</f>
        <v>#N/A</v>
      </c>
      <c r="D156" s="172"/>
      <c r="E156" s="165"/>
      <c r="F156" s="166"/>
      <c r="G156" s="166"/>
    </row>
    <row r="157" spans="1:8" ht="30" x14ac:dyDescent="0.2">
      <c r="A157" s="168" t="s">
        <v>144</v>
      </c>
      <c r="B157" s="174" t="e">
        <f>IF(B154&gt;0,(B154*(B156/100)),0)</f>
        <v>#N/A</v>
      </c>
      <c r="C157" s="174" t="e">
        <f>IF(C154&gt;0,(C154*(C156/100)),0)</f>
        <v>#N/A</v>
      </c>
      <c r="E157" s="170" t="s">
        <v>226</v>
      </c>
      <c r="F157" s="171">
        <f>F151*60</f>
        <v>262.5</v>
      </c>
      <c r="G157" s="171" t="e">
        <f>G151*60</f>
        <v>#N/A</v>
      </c>
    </row>
    <row r="158" spans="1:8" x14ac:dyDescent="0.2">
      <c r="A158" s="168" t="s">
        <v>166</v>
      </c>
      <c r="B158" s="175" t="e">
        <f>(IF(Dados!I13&gt;=2,((VLOOKUP(Dados!I13,Dados!A476:B490,2,0))))/1000)*B154</f>
        <v>#N/A</v>
      </c>
      <c r="C158" s="174">
        <f>(IF(Dados!I21&gt;=2,(((VLOOKUP(Dados!I21,Dados!A476:B490,2,0))*C154)))/1000)</f>
        <v>0</v>
      </c>
      <c r="D158" s="176"/>
      <c r="E158" s="162"/>
      <c r="F158" s="163"/>
      <c r="G158" s="163"/>
    </row>
    <row r="159" spans="1:8" ht="15" thickBot="1" x14ac:dyDescent="0.25">
      <c r="A159" s="168" t="s">
        <v>247</v>
      </c>
      <c r="B159" s="175">
        <f>IF(Dados!I12&gt;1,(VLOOKUP(Dados!I12,Dados!A414:B419,2,0)*(VLOOKUP(Dados!K12,Dados!A469:C473,3))),0)</f>
        <v>0</v>
      </c>
      <c r="C159" s="174" t="e">
        <f>(VLOOKUP(Dados!J20,Dados!A414:B419,2,0)*(VLOOKUP(Dados!I20,Dados!A469:C473,3)))</f>
        <v>#N/A</v>
      </c>
      <c r="E159" s="165"/>
      <c r="F159" s="166"/>
      <c r="G159" s="166"/>
    </row>
    <row r="160" spans="1:8" x14ac:dyDescent="0.2">
      <c r="A160" s="168" t="s">
        <v>238</v>
      </c>
      <c r="B160" s="168" t="e">
        <f>(B159+B158)*B150</f>
        <v>#N/A</v>
      </c>
      <c r="C160" s="177" t="e">
        <f>(C159+C158)*B150</f>
        <v>#N/A</v>
      </c>
    </row>
    <row r="161" spans="1:6" x14ac:dyDescent="0.2">
      <c r="E161" s="178"/>
    </row>
    <row r="162" spans="1:6" x14ac:dyDescent="0.2">
      <c r="A162" s="117" t="s">
        <v>217</v>
      </c>
      <c r="B162" s="179">
        <f>VLOOKUP(Dados!I14,Dados!A421:B429,2,0)</f>
        <v>0.35</v>
      </c>
      <c r="C162" s="180" t="e">
        <f>VLOOKUP(Dados!I22,Dados!A421:B430,2,0)</f>
        <v>#N/A</v>
      </c>
    </row>
    <row r="163" spans="1:6" x14ac:dyDescent="0.2">
      <c r="A163" s="117" t="s">
        <v>141</v>
      </c>
      <c r="B163" s="181">
        <f>B162*B150</f>
        <v>17.5</v>
      </c>
      <c r="C163" s="181" t="e">
        <f>C162*B150</f>
        <v>#N/A</v>
      </c>
    </row>
    <row r="164" spans="1:6" x14ac:dyDescent="0.2">
      <c r="A164" s="117" t="s">
        <v>170</v>
      </c>
      <c r="B164" s="181" t="e">
        <f>(SUM(IF(B157&gt;0,B157,0)+IF(B158&gt;0,B158,0)+IF(B159&gt;0,B159,))*B150+(B163*0.9))</f>
        <v>#N/A</v>
      </c>
      <c r="C164" s="181" t="e">
        <f>(SUM(IF(C157&gt;0,C157,0)+IF(C158&gt;0,C158,0)+IF(C159&gt;0,C159,))*B150+(C163*0.9))</f>
        <v>#N/A</v>
      </c>
    </row>
    <row r="166" spans="1:6" x14ac:dyDescent="0.2">
      <c r="A166" s="117" t="s">
        <v>233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0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0</v>
      </c>
    </row>
    <row r="167" spans="1:6" x14ac:dyDescent="0.2">
      <c r="A167" s="121" t="s">
        <v>222</v>
      </c>
      <c r="B167" s="182">
        <f>B166*B146</f>
        <v>0</v>
      </c>
      <c r="C167" s="182">
        <f>C166*B146</f>
        <v>0</v>
      </c>
    </row>
    <row r="168" spans="1:6" x14ac:dyDescent="0.2">
      <c r="A168" s="121" t="s">
        <v>223</v>
      </c>
      <c r="B168" s="182">
        <f>Dados!H14*B163</f>
        <v>43.75</v>
      </c>
      <c r="C168" s="182" t="e">
        <f>Dados!H22*C163</f>
        <v>#N/A</v>
      </c>
    </row>
    <row r="169" spans="1:6" x14ac:dyDescent="0.2">
      <c r="A169" s="121" t="s">
        <v>86</v>
      </c>
      <c r="B169" s="183">
        <f>B145+B148</f>
        <v>45</v>
      </c>
      <c r="C169" s="183">
        <f>B145+B148</f>
        <v>45</v>
      </c>
    </row>
    <row r="171" spans="1:6" ht="20" thickBot="1" x14ac:dyDescent="0.3">
      <c r="A171" s="100" t="s">
        <v>96</v>
      </c>
    </row>
    <row r="172" spans="1:6" ht="16" thickBot="1" x14ac:dyDescent="0.25">
      <c r="A172" s="184" t="s">
        <v>216</v>
      </c>
      <c r="B172" s="185">
        <f>Dados!B145+Dados!B148</f>
        <v>45</v>
      </c>
      <c r="E172" s="116"/>
      <c r="F172" s="116"/>
    </row>
    <row r="173" spans="1:6" ht="15" thickBot="1" x14ac:dyDescent="0.25">
      <c r="C173" s="186"/>
    </row>
    <row r="174" spans="1:6" ht="15" thickBot="1" x14ac:dyDescent="0.25">
      <c r="C174" s="187" t="s">
        <v>204</v>
      </c>
      <c r="D174" s="188" t="s">
        <v>189</v>
      </c>
      <c r="F174" s="189"/>
    </row>
    <row r="175" spans="1:6" ht="15" thickBot="1" x14ac:dyDescent="0.25">
      <c r="A175" s="190" t="s">
        <v>156</v>
      </c>
      <c r="B175" s="191">
        <f>Dados!B151</f>
        <v>700</v>
      </c>
      <c r="C175" s="191" t="str">
        <f>Dados!G278</f>
        <v/>
      </c>
      <c r="D175" s="191" t="str">
        <f>Dados!G307</f>
        <v/>
      </c>
    </row>
    <row r="176" spans="1:6" ht="15" thickBot="1" x14ac:dyDescent="0.25"/>
    <row r="177" spans="1:8" ht="15" x14ac:dyDescent="0.2">
      <c r="A177" s="192" t="s">
        <v>157</v>
      </c>
      <c r="B177" s="193" t="s">
        <v>158</v>
      </c>
      <c r="C177" s="193" t="s">
        <v>159</v>
      </c>
      <c r="D177" s="194" t="s">
        <v>176</v>
      </c>
    </row>
    <row r="178" spans="1:8" ht="15" thickBot="1" x14ac:dyDescent="0.25">
      <c r="A178" s="129"/>
      <c r="B178" s="195">
        <f>(6.25*(1/0.8*(0.2*$B$172^0.75+(30*($B$175/1000))+(1.9*$D$178)*D178)))/0.9</f>
        <v>228.07701816564509</v>
      </c>
      <c r="C178" s="65">
        <f>(((0.1*(B172^0.75)+(0.84*(B172^0.355))*((B175/1000)^1.2))*1000)*1.2)</f>
        <v>4622.7915537808922</v>
      </c>
      <c r="D178" s="196">
        <f>((C178*1000)/4750)/1000</f>
        <v>0.97321927448018775</v>
      </c>
      <c r="G178" s="116"/>
      <c r="H178" s="116"/>
    </row>
    <row r="180" spans="1:8" ht="15" thickBot="1" x14ac:dyDescent="0.25">
      <c r="A180" s="116" t="s">
        <v>160</v>
      </c>
      <c r="B180" s="116"/>
      <c r="C180" s="116"/>
    </row>
    <row r="181" spans="1:8" ht="31" thickBot="1" x14ac:dyDescent="0.25">
      <c r="A181" s="197"/>
      <c r="B181" s="197"/>
      <c r="C181" s="198" t="s">
        <v>173</v>
      </c>
      <c r="D181" s="198" t="s">
        <v>172</v>
      </c>
      <c r="E181" s="198" t="s">
        <v>34</v>
      </c>
      <c r="F181" s="199" t="s">
        <v>183</v>
      </c>
    </row>
    <row r="182" spans="1:8" x14ac:dyDescent="0.2">
      <c r="A182" s="140" t="s">
        <v>161</v>
      </c>
      <c r="B182" s="186" t="e">
        <f>VLOOKUP(Dados!J19,Dados!A433:B434,2,0)</f>
        <v>#N/A</v>
      </c>
      <c r="C182" s="200">
        <f>(IF(D182&gt;1,VLOOKUP(B196,Dados!A518:C519,3,0),0))</f>
        <v>0</v>
      </c>
      <c r="D182" s="201">
        <f>IF(Dados!I19&gt;=2,VLOOKUP(Dados!I19,Dados!A414:B419,2,0),0)</f>
        <v>0</v>
      </c>
      <c r="E182" s="202" t="e">
        <f>IF(B204&gt;0,B204,0)</f>
        <v>#N/A</v>
      </c>
      <c r="F182" s="66" t="e">
        <f>IF(D207&gt;1,D207,"0")</f>
        <v>#N/A</v>
      </c>
    </row>
    <row r="183" spans="1:8" x14ac:dyDescent="0.2">
      <c r="A183" s="140" t="s">
        <v>171</v>
      </c>
      <c r="B183" s="186" t="e">
        <f>VLOOKUP(Dados!K20,Dados!A542:F544,2,0)</f>
        <v>#N/A</v>
      </c>
      <c r="C183" s="200">
        <f>IF(D183&gt;0,VLOOKUP(Dados!I20,Dados!A469:C473,3,0),0)</f>
        <v>0</v>
      </c>
      <c r="D183" s="201">
        <f>IF(Dados!J20&gt;=2,VLOOKUP(Dados!J20,Dados!A414:B419,2,0),0)</f>
        <v>0</v>
      </c>
      <c r="E183" s="202">
        <f>IF(E204&gt;0,E204,0)</f>
        <v>0</v>
      </c>
      <c r="F183" s="64" t="str">
        <f>IF(F207&gt;0,F207,"0")</f>
        <v>0</v>
      </c>
    </row>
    <row r="184" spans="1:8" ht="15" thickBot="1" x14ac:dyDescent="0.25">
      <c r="A184" s="203" t="s">
        <v>162</v>
      </c>
      <c r="B184" s="204">
        <f>IF(Dados!J21&gt;=1,VLOOKUP(Dados!J21,Dados!A542:F544,2,0),0)</f>
        <v>0</v>
      </c>
      <c r="C184" s="205">
        <f>IF(Dados!I21&gt;=2,VLOOKUP(Dados!I21,Dados!A476:B490,2,0),0)/1000</f>
        <v>0</v>
      </c>
      <c r="D184" s="205">
        <f>(IF(Dados!I21&gt;=2,VLOOKUP(Dados!I21,Dados!A476:B490,2,0),0)*D182)/1000</f>
        <v>0</v>
      </c>
      <c r="E184" s="206">
        <f>IF(G204&gt;0,G204,0)</f>
        <v>0</v>
      </c>
      <c r="F184" s="207" t="str">
        <f>IF(H207&gt;0,H207,"0")</f>
        <v>0</v>
      </c>
    </row>
    <row r="185" spans="1:8" ht="15" thickBot="1" x14ac:dyDescent="0.25">
      <c r="C185" s="139"/>
      <c r="D185" s="208"/>
      <c r="E185" s="209" t="e">
        <f>B204+E204+G204</f>
        <v>#N/A</v>
      </c>
      <c r="F185" s="210" t="e">
        <f>D207+F207+H207</f>
        <v>#N/A</v>
      </c>
    </row>
    <row r="186" spans="1:8" ht="15" thickBot="1" x14ac:dyDescent="0.25">
      <c r="B186" s="116" t="s">
        <v>163</v>
      </c>
    </row>
    <row r="187" spans="1:8" ht="15" thickBot="1" x14ac:dyDescent="0.25">
      <c r="A187" s="198" t="s">
        <v>7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8" x14ac:dyDescent="0.2">
      <c r="B188" s="69" t="s">
        <v>208</v>
      </c>
      <c r="C188" s="216">
        <f>(C183*D183)+(C182*D182)+(C184*D182)</f>
        <v>0</v>
      </c>
    </row>
    <row r="189" spans="1:8" x14ac:dyDescent="0.2">
      <c r="A189" s="139"/>
      <c r="B189" s="69" t="s">
        <v>221</v>
      </c>
      <c r="C189" s="217" t="e">
        <f>(C188/(D183+D182)*100)</f>
        <v>#DIV/0!</v>
      </c>
      <c r="D189" s="69" t="s">
        <v>165</v>
      </c>
      <c r="E189" s="218">
        <f>B178</f>
        <v>228.07701816564509</v>
      </c>
      <c r="F189" s="219">
        <f>C178</f>
        <v>4622.7915537808922</v>
      </c>
    </row>
    <row r="190" spans="1:8" x14ac:dyDescent="0.2">
      <c r="B190" s="69" t="s">
        <v>209</v>
      </c>
      <c r="C190" s="216">
        <f>C187+C188</f>
        <v>0</v>
      </c>
      <c r="D190" s="116" t="s">
        <v>35</v>
      </c>
      <c r="E190" s="220" t="e">
        <f>SUM((E183+E184)*0.93,E182*0.95,E187*0.81)</f>
        <v>#N/A</v>
      </c>
      <c r="F190" s="221" t="e">
        <f>SUM((F182*0.93)+(F183+F184)*0.91)+(F187*0.83)</f>
        <v>#N/A</v>
      </c>
    </row>
    <row r="191" spans="1:8" x14ac:dyDescent="0.2">
      <c r="A191" s="127"/>
      <c r="D191" s="69" t="s">
        <v>108</v>
      </c>
      <c r="E191" s="218" t="e">
        <f>E190-B178</f>
        <v>#N/A</v>
      </c>
      <c r="F191" s="219" t="e">
        <f>F190-F189</f>
        <v>#N/A</v>
      </c>
    </row>
    <row r="192" spans="1:8" x14ac:dyDescent="0.2">
      <c r="E192" s="143" t="e">
        <f>IF(AND(E191&gt;0,F191&gt;0),1,-1)</f>
        <v>#N/A</v>
      </c>
      <c r="F192" s="143" t="e">
        <f>IF(AND(F191&gt;0,0),1,-1)</f>
        <v>#N/A</v>
      </c>
    </row>
    <row r="194" spans="1:8" x14ac:dyDescent="0.2">
      <c r="D194" s="69" t="s">
        <v>178</v>
      </c>
      <c r="E194" s="69" t="s">
        <v>177</v>
      </c>
    </row>
    <row r="195" spans="1:8" x14ac:dyDescent="0.2">
      <c r="B195" s="69">
        <f>Dados!K20</f>
        <v>0</v>
      </c>
      <c r="D195" s="222">
        <f>B178/32</f>
        <v>7.1274068176764089</v>
      </c>
      <c r="E195" s="222">
        <f>B178/31.5</f>
        <v>7.2405402592268278</v>
      </c>
    </row>
    <row r="196" spans="1:8" x14ac:dyDescent="0.2">
      <c r="B196" s="69">
        <f>Dados!J19</f>
        <v>0</v>
      </c>
      <c r="D196" s="222">
        <f>C178/650</f>
        <v>7.1119870058167569</v>
      </c>
      <c r="E196" s="222">
        <f>C178/622.75</f>
        <v>7.423189969941216</v>
      </c>
    </row>
    <row r="197" spans="1:8" x14ac:dyDescent="0.2">
      <c r="B197" s="69">
        <f>Dados!I21</f>
        <v>0</v>
      </c>
      <c r="F197" s="223"/>
    </row>
    <row r="198" spans="1:8" x14ac:dyDescent="0.2">
      <c r="E198" s="223"/>
    </row>
    <row r="199" spans="1:8" x14ac:dyDescent="0.2">
      <c r="D199" s="69" t="s">
        <v>181</v>
      </c>
      <c r="E199" s="176"/>
    </row>
    <row r="201" spans="1:8" x14ac:dyDescent="0.2">
      <c r="E201" s="69">
        <f>(((0.057* E204) + (0.092*E205) + (0.0395*E206))*0.97*0.96)*100</f>
        <v>0</v>
      </c>
    </row>
    <row r="202" spans="1:8" ht="15" thickBot="1" x14ac:dyDescent="0.25"/>
    <row r="203" spans="1:8" ht="15" thickBot="1" x14ac:dyDescent="0.25">
      <c r="A203" s="224"/>
      <c r="B203" s="225" t="s">
        <v>36</v>
      </c>
      <c r="C203" s="226"/>
      <c r="D203" s="227"/>
      <c r="E203" s="225" t="s">
        <v>10</v>
      </c>
      <c r="F203" s="227"/>
      <c r="G203" s="125" t="s">
        <v>9</v>
      </c>
      <c r="H203" s="228"/>
    </row>
    <row r="204" spans="1:8" x14ac:dyDescent="0.2">
      <c r="A204" s="224" t="s">
        <v>34</v>
      </c>
      <c r="B204" s="229" t="e">
        <f>(VLOOKUP($B$196,Dados!$A$518:$F$519,4,FALSE))*$D$182*1000</f>
        <v>#N/A</v>
      </c>
      <c r="C204" s="230">
        <v>4</v>
      </c>
      <c r="D204" s="231" t="e">
        <f>C204*B204</f>
        <v>#N/A</v>
      </c>
      <c r="E204" s="232">
        <f>(((IF(D183&gt;0,VLOOKUP($B$195,Dados!A542:F544,4,0),0)))*10*($C$183*D183))</f>
        <v>0</v>
      </c>
      <c r="F204" s="233">
        <f>C204*E204</f>
        <v>0</v>
      </c>
      <c r="G204" s="234">
        <f>(Dados!M10*10)*D184</f>
        <v>0</v>
      </c>
      <c r="H204" s="235">
        <f>G204*C204</f>
        <v>0</v>
      </c>
    </row>
    <row r="205" spans="1:8" x14ac:dyDescent="0.2">
      <c r="A205" s="224" t="s">
        <v>37</v>
      </c>
      <c r="B205" s="236" t="e">
        <f>(VLOOKUP($B$196,Dados!$A$518:$F$519,5,FALSE))*$D$182*1000</f>
        <v>#N/A</v>
      </c>
      <c r="C205" s="168">
        <v>9</v>
      </c>
      <c r="D205" s="237" t="e">
        <f>C205*B205</f>
        <v>#N/A</v>
      </c>
      <c r="E205" s="232">
        <f>(((IF(D183&gt;0,VLOOKUP($B$195,Dados!A542:F544,5,0),0)))*$C$183*10)*D183</f>
        <v>0</v>
      </c>
      <c r="F205" s="238">
        <f>C205*E205</f>
        <v>0</v>
      </c>
      <c r="G205" s="239">
        <f>(Dados!M11*10)*D184</f>
        <v>0</v>
      </c>
      <c r="H205" s="240">
        <f>G205*C205</f>
        <v>0</v>
      </c>
    </row>
    <row r="206" spans="1:8" x14ac:dyDescent="0.2">
      <c r="A206" s="224" t="s">
        <v>38</v>
      </c>
      <c r="B206" s="236" t="e">
        <f>(VLOOKUP($B$196,Dados!$A$518:$F$519,6,FALSE))*$D$182*1000</f>
        <v>#N/A</v>
      </c>
      <c r="C206" s="168">
        <v>4</v>
      </c>
      <c r="D206" s="237" t="e">
        <f>C206*B206</f>
        <v>#N/A</v>
      </c>
      <c r="E206" s="232">
        <f>(((IF(D183&gt;0,VLOOKUP($B$195,Dados!A542:F544,6,0),0)))*$C$183*10)*D183</f>
        <v>0</v>
      </c>
      <c r="F206" s="238">
        <f>C206*E206</f>
        <v>0</v>
      </c>
      <c r="G206" s="241">
        <f>(Dados!M12*10)*D184</f>
        <v>0</v>
      </c>
      <c r="H206" s="240">
        <f>G206*C206</f>
        <v>0</v>
      </c>
    </row>
    <row r="207" spans="1:8" ht="15" thickBot="1" x14ac:dyDescent="0.25">
      <c r="A207" s="224"/>
      <c r="B207" s="242" t="e">
        <f>SUM(B204:B206)</f>
        <v>#N/A</v>
      </c>
      <c r="C207" s="243"/>
      <c r="D207" s="244" t="e">
        <f>SUM(D204:D206)</f>
        <v>#N/A</v>
      </c>
      <c r="E207" s="136"/>
      <c r="F207" s="245">
        <f>SUM(F204:F206)</f>
        <v>0</v>
      </c>
      <c r="G207" s="246"/>
      <c r="H207" s="244">
        <f>SUM(H204:H206)</f>
        <v>0</v>
      </c>
    </row>
    <row r="208" spans="1:8" x14ac:dyDescent="0.2">
      <c r="H208" s="176">
        <f>((IF(G204="","",IF(G204&gt;0.001,(((100-3.5)/100)*(G204*0.057)+(0.092*G205)+(0.0395*G206))*3.77)))*238.85)/10</f>
        <v>0</v>
      </c>
    </row>
    <row r="209" spans="1:8" ht="15" thickBot="1" x14ac:dyDescent="0.25"/>
    <row r="210" spans="1:8" ht="15" thickBot="1" x14ac:dyDescent="0.25">
      <c r="A210" s="224"/>
      <c r="B210" s="187" t="s">
        <v>7</v>
      </c>
      <c r="C210" s="197"/>
      <c r="D210" s="247"/>
      <c r="F210" s="248" t="s">
        <v>6</v>
      </c>
      <c r="G210" s="248" t="s">
        <v>9</v>
      </c>
      <c r="H210" s="197" t="s">
        <v>7</v>
      </c>
    </row>
    <row r="211" spans="1:8" x14ac:dyDescent="0.2">
      <c r="A211" s="168" t="s">
        <v>34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8" x14ac:dyDescent="0.2">
      <c r="A212" s="168" t="s">
        <v>37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8" x14ac:dyDescent="0.2">
      <c r="A213" s="168" t="s">
        <v>38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8" x14ac:dyDescent="0.2">
      <c r="A214" s="168" t="s">
        <v>182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8" x14ac:dyDescent="0.2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8" x14ac:dyDescent="0.2">
      <c r="B216" s="223"/>
      <c r="F216" s="252">
        <v>6</v>
      </c>
      <c r="G216" s="253">
        <v>250</v>
      </c>
      <c r="H216" s="254">
        <v>0.3</v>
      </c>
    </row>
    <row r="217" spans="1:8" x14ac:dyDescent="0.2">
      <c r="F217" s="252">
        <v>7</v>
      </c>
      <c r="G217" s="258" t="s">
        <v>164</v>
      </c>
      <c r="H217" s="254">
        <v>0.35</v>
      </c>
    </row>
    <row r="218" spans="1:8" x14ac:dyDescent="0.2">
      <c r="F218" s="252">
        <v>8</v>
      </c>
      <c r="G218" s="258"/>
      <c r="H218" s="254">
        <v>0.4</v>
      </c>
    </row>
    <row r="219" spans="1:8" x14ac:dyDescent="0.2">
      <c r="F219" s="252">
        <v>9</v>
      </c>
      <c r="G219" s="258"/>
      <c r="H219" s="254">
        <v>0.45</v>
      </c>
    </row>
    <row r="220" spans="1:8" ht="15" thickBot="1" x14ac:dyDescent="0.25">
      <c r="F220" s="259">
        <v>10</v>
      </c>
      <c r="G220" s="260"/>
      <c r="H220" s="254">
        <v>0.5</v>
      </c>
    </row>
    <row r="223" spans="1:8" ht="20" thickBot="1" x14ac:dyDescent="0.3">
      <c r="A223" s="100" t="s">
        <v>259</v>
      </c>
    </row>
    <row r="224" spans="1:8" ht="16" thickBot="1" x14ac:dyDescent="0.25">
      <c r="A224" s="184" t="s">
        <v>216</v>
      </c>
      <c r="B224" s="191">
        <f>Dados!B145+Dados!B148</f>
        <v>45</v>
      </c>
    </row>
    <row r="225" spans="1:8" ht="15" thickBot="1" x14ac:dyDescent="0.25">
      <c r="C225" s="186"/>
      <c r="E225" s="189"/>
    </row>
    <row r="226" spans="1:8" ht="15" thickBot="1" x14ac:dyDescent="0.25">
      <c r="C226" s="187" t="s">
        <v>204</v>
      </c>
      <c r="D226" s="188" t="s">
        <v>189</v>
      </c>
    </row>
    <row r="227" spans="1:8" ht="15" thickBot="1" x14ac:dyDescent="0.25">
      <c r="A227" s="190" t="s">
        <v>156</v>
      </c>
      <c r="B227" s="191">
        <f>Dados!B151</f>
        <v>700</v>
      </c>
      <c r="C227" s="191" t="str">
        <f>Dados!G336</f>
        <v/>
      </c>
      <c r="D227" s="191" t="str">
        <f>Dados!H369</f>
        <v/>
      </c>
      <c r="E227" s="186"/>
      <c r="F227" s="124">
        <f>MIN(C227:D227)</f>
        <v>0</v>
      </c>
    </row>
    <row r="228" spans="1:8" ht="15" thickBot="1" x14ac:dyDescent="0.25"/>
    <row r="229" spans="1:8" ht="15" x14ac:dyDescent="0.2">
      <c r="A229" s="192" t="s">
        <v>157</v>
      </c>
      <c r="B229" s="193" t="s">
        <v>158</v>
      </c>
      <c r="C229" s="193" t="s">
        <v>159</v>
      </c>
      <c r="D229" s="194" t="s">
        <v>185</v>
      </c>
      <c r="F229" s="116"/>
    </row>
    <row r="230" spans="1:8" ht="15" thickBot="1" x14ac:dyDescent="0.25">
      <c r="A230" s="129"/>
      <c r="B230" s="195">
        <f>(6.25*(1/0.8*(0.2*$B$224^0.75+(30*($B$227/1000))+(1.9*$D$230)*D230)))/0.9</f>
        <v>228.07701816564509</v>
      </c>
      <c r="C230" s="65">
        <f>(((0.1*(B224^0.75)+(0.84*(B224^0.355))*((B227/1000)^1.2))*1000)*1.2)</f>
        <v>4622.7915537808922</v>
      </c>
      <c r="D230" s="196">
        <f>((C230*1000)/4750)/1000</f>
        <v>0.97321927448018775</v>
      </c>
      <c r="H230" s="116"/>
    </row>
    <row r="232" spans="1:8" ht="15" thickBot="1" x14ac:dyDescent="0.25">
      <c r="A232" s="116" t="s">
        <v>160</v>
      </c>
      <c r="B232" s="116"/>
      <c r="C232" s="116"/>
    </row>
    <row r="233" spans="1:8" ht="31" thickBot="1" x14ac:dyDescent="0.25">
      <c r="A233" s="197"/>
      <c r="B233" s="197"/>
      <c r="C233" s="198" t="s">
        <v>173</v>
      </c>
      <c r="D233" s="198" t="s">
        <v>172</v>
      </c>
      <c r="E233" s="198" t="s">
        <v>34</v>
      </c>
      <c r="F233" s="199" t="s">
        <v>183</v>
      </c>
    </row>
    <row r="234" spans="1:8" x14ac:dyDescent="0.2">
      <c r="A234" s="140" t="s">
        <v>161</v>
      </c>
      <c r="B234" s="186" t="e">
        <f>VLOOKUP(Dados!J11,Dados!A432:B434,2,0)</f>
        <v>#N/A</v>
      </c>
      <c r="C234" s="200">
        <f>(IF(D234&gt;1,VLOOKUP(B248,Dados!A518:C520,3,0),0))</f>
        <v>0</v>
      </c>
      <c r="D234" s="201">
        <f>IF(Dados!I11&gt;=2,VLOOKUP(Dados!I11,Dados!A414:B419,2,0),0)</f>
        <v>0</v>
      </c>
      <c r="E234" s="202">
        <f>IF(B256&gt;0,B256,0)</f>
        <v>0</v>
      </c>
      <c r="F234" s="64" t="str">
        <f>IF(D259&gt;1,D259,"0")</f>
        <v>0</v>
      </c>
    </row>
    <row r="235" spans="1:8" x14ac:dyDescent="0.2">
      <c r="A235" s="140" t="s">
        <v>171</v>
      </c>
      <c r="B235" s="186" t="str">
        <f>Dados!E12</f>
        <v>Sucedâneo</v>
      </c>
      <c r="C235" s="200">
        <f>IF(Dados!I12&gt;0,VLOOKUP(Dados!K12,Dados!A469:C473,3,0),0)</f>
        <v>0</v>
      </c>
      <c r="D235" s="201">
        <f>IF(Dados!I12&gt;=2,VLOOKUP(Dados!I12,Dados!A414:B419,2,0),0)</f>
        <v>0</v>
      </c>
      <c r="E235" s="202">
        <f>IF(E256&gt;0,E256,0)</f>
        <v>0</v>
      </c>
      <c r="F235" s="64">
        <f>Dados!M15*(Dados!C235*D235)</f>
        <v>0</v>
      </c>
    </row>
    <row r="236" spans="1:8" ht="15" thickBot="1" x14ac:dyDescent="0.25">
      <c r="A236" s="203" t="s">
        <v>162</v>
      </c>
      <c r="B236" s="261" t="str">
        <f>Dados!F13</f>
        <v>Marca</v>
      </c>
      <c r="C236" s="262">
        <f>IF(Dados!I13&gt;=2,VLOOKUP(Dados!I13,Dados!A476:B490,2,0),0)/1000</f>
        <v>0</v>
      </c>
      <c r="D236" s="205">
        <f>(IF(Dados!I13&gt;=2,VLOOKUP(Dados!I13,Dados!A476:B490,2,0),0)*D234)/1000</f>
        <v>0</v>
      </c>
      <c r="E236" s="206">
        <f>IF(G256&gt;0,G256,0)</f>
        <v>0</v>
      </c>
      <c r="F236" s="262">
        <f>(Dados!M15)*D236</f>
        <v>0</v>
      </c>
    </row>
    <row r="237" spans="1:8" ht="15" thickBot="1" x14ac:dyDescent="0.25">
      <c r="C237" s="139"/>
      <c r="D237" s="208"/>
      <c r="E237" s="209">
        <f>B256+E256+G256</f>
        <v>0</v>
      </c>
      <c r="F237" s="263">
        <f>D259+F259+H259</f>
        <v>0</v>
      </c>
    </row>
    <row r="238" spans="1:8" ht="15" thickBot="1" x14ac:dyDescent="0.25">
      <c r="B238" s="116" t="s">
        <v>163</v>
      </c>
    </row>
    <row r="239" spans="1:8" ht="15" thickBot="1" x14ac:dyDescent="0.25">
      <c r="A239" s="198" t="s">
        <v>7</v>
      </c>
      <c r="B239" s="211">
        <f>IF(Dados!J14&gt;0,VLOOKUP(B250,Dados!A503:B509,2,0),0)</f>
        <v>0</v>
      </c>
      <c r="C239" s="212">
        <f>D239*0.87</f>
        <v>0.30449999999999999</v>
      </c>
      <c r="D239" s="213">
        <f>IF(Dados!I14&gt;=1,VLOOKUP(Dados!I14,Dados!A422:B430,2,0),0)</f>
        <v>0.35</v>
      </c>
      <c r="E239" s="214" t="e">
        <f>IF(D239&gt;0,VLOOKUP(Dados!J14,Dados!A505:E509,5,0),0)*D239</f>
        <v>#N/A</v>
      </c>
      <c r="F239" s="264" t="e">
        <f>((IF(D239&gt;0,VLOOKUP(Dados!J14,Dados!A505:C509,3,0),0))*C239)*1000</f>
        <v>#N/A</v>
      </c>
    </row>
    <row r="240" spans="1:8" x14ac:dyDescent="0.2">
      <c r="B240" s="69" t="s">
        <v>208</v>
      </c>
      <c r="C240" s="216">
        <f>(C235*D235)+(C234*D234)+(C236*D234)</f>
        <v>0</v>
      </c>
    </row>
    <row r="241" spans="1:8" x14ac:dyDescent="0.2">
      <c r="A241" s="139"/>
      <c r="B241" s="69" t="s">
        <v>221</v>
      </c>
      <c r="C241" s="217" t="e">
        <f>(C240/(D234+D235+D236))*100</f>
        <v>#DIV/0!</v>
      </c>
      <c r="D241" s="69" t="s">
        <v>165</v>
      </c>
      <c r="E241" s="218">
        <f>B230</f>
        <v>228.07701816564509</v>
      </c>
      <c r="F241" s="219">
        <f>C230</f>
        <v>4622.7915537808922</v>
      </c>
    </row>
    <row r="242" spans="1:8" x14ac:dyDescent="0.2">
      <c r="B242" s="69" t="s">
        <v>209</v>
      </c>
      <c r="C242" s="217">
        <f>C239+C240</f>
        <v>0.30449999999999999</v>
      </c>
      <c r="D242" s="116" t="s">
        <v>35</v>
      </c>
      <c r="E242" s="220" t="e">
        <f>SUM((E235+E236)*0.93,E234*0.95,E239*0.81)</f>
        <v>#N/A</v>
      </c>
      <c r="F242" s="221" t="e">
        <f>SUM((F234*0.93)+(F235+F236)*0.91)+(F239*0.83)</f>
        <v>#N/A</v>
      </c>
    </row>
    <row r="243" spans="1:8" x14ac:dyDescent="0.2">
      <c r="A243" s="127"/>
      <c r="D243" s="69" t="s">
        <v>108</v>
      </c>
      <c r="E243" s="218" t="e">
        <f>E242-B230</f>
        <v>#N/A</v>
      </c>
      <c r="F243" s="219" t="e">
        <f>F242-F241</f>
        <v>#N/A</v>
      </c>
    </row>
    <row r="244" spans="1:8" x14ac:dyDescent="0.2">
      <c r="E244" s="143" t="e">
        <f>IF(AND(E243&gt;0,F243&gt;0),1,-1)</f>
        <v>#N/A</v>
      </c>
      <c r="F244" s="143" t="e">
        <f>IF(AND(F243&gt;0,0),1,-1)</f>
        <v>#N/A</v>
      </c>
    </row>
    <row r="246" spans="1:8" x14ac:dyDescent="0.2">
      <c r="D246" s="69" t="s">
        <v>178</v>
      </c>
      <c r="E246" s="69" t="s">
        <v>177</v>
      </c>
    </row>
    <row r="247" spans="1:8" x14ac:dyDescent="0.2">
      <c r="B247" s="69">
        <f>Dados!K20</f>
        <v>0</v>
      </c>
      <c r="C247" s="69" t="s">
        <v>205</v>
      </c>
      <c r="D247" s="222">
        <f>B230/32</f>
        <v>7.1274068176764089</v>
      </c>
      <c r="E247" s="222">
        <f>B230/31.5</f>
        <v>7.2405402592268278</v>
      </c>
    </row>
    <row r="248" spans="1:8" x14ac:dyDescent="0.2">
      <c r="B248" s="69">
        <f>Dados!J11</f>
        <v>0</v>
      </c>
      <c r="C248" s="69" t="s">
        <v>206</v>
      </c>
      <c r="D248" s="222">
        <f>C230/650</f>
        <v>7.1119870058167569</v>
      </c>
      <c r="E248" s="222">
        <f>C230/622.75</f>
        <v>7.423189969941216</v>
      </c>
    </row>
    <row r="249" spans="1:8" x14ac:dyDescent="0.2">
      <c r="B249" s="69">
        <f>Dados!I14</f>
        <v>4</v>
      </c>
      <c r="F249" s="223"/>
    </row>
    <row r="250" spans="1:8" x14ac:dyDescent="0.2">
      <c r="B250" s="69">
        <f>Dados!J14</f>
        <v>0</v>
      </c>
      <c r="E250" s="223"/>
    </row>
    <row r="251" spans="1:8" x14ac:dyDescent="0.2">
      <c r="D251" s="69" t="s">
        <v>181</v>
      </c>
      <c r="E251" s="176"/>
    </row>
    <row r="253" spans="1:8" x14ac:dyDescent="0.2">
      <c r="E253" s="69">
        <f>(((0.057* E256) + (0.092*E257) + (0.0395*E258))*0.97*0.96)*100</f>
        <v>0</v>
      </c>
    </row>
    <row r="254" spans="1:8" ht="15" thickBot="1" x14ac:dyDescent="0.25"/>
    <row r="255" spans="1:8" ht="15" thickBot="1" x14ac:dyDescent="0.25">
      <c r="A255" s="224"/>
      <c r="B255" s="225" t="s">
        <v>36</v>
      </c>
      <c r="C255" s="226"/>
      <c r="D255" s="227"/>
      <c r="E255" s="225" t="s">
        <v>10</v>
      </c>
      <c r="F255" s="227"/>
      <c r="G255" s="125" t="s">
        <v>9</v>
      </c>
      <c r="H255" s="228"/>
    </row>
    <row r="256" spans="1:8" x14ac:dyDescent="0.2">
      <c r="A256" s="224" t="s">
        <v>34</v>
      </c>
      <c r="B256" s="229">
        <f>IF($D$234&gt;0,VLOOKUP($B$248,Dados!$A$518:$F$520,4,0),0)*$D$234*1000</f>
        <v>0</v>
      </c>
      <c r="C256" s="230">
        <v>4</v>
      </c>
      <c r="D256" s="231">
        <f>C256*B256</f>
        <v>0</v>
      </c>
      <c r="E256" s="232">
        <f>(((IF(D235&gt;0,($C$235*5)*(Dados!M10*10),0))))</f>
        <v>0</v>
      </c>
      <c r="F256" s="233">
        <f>C256*E256</f>
        <v>0</v>
      </c>
      <c r="G256" s="234">
        <f>(Dados!M10*10)*Dados!D236</f>
        <v>0</v>
      </c>
      <c r="H256" s="235">
        <f>G256*C256</f>
        <v>0</v>
      </c>
    </row>
    <row r="257" spans="1:8" x14ac:dyDescent="0.2">
      <c r="A257" s="224" t="s">
        <v>37</v>
      </c>
      <c r="B257" s="229">
        <f>IF($D$234&gt;0,VLOOKUP($B$248,Dados!$A$518:$F$520,5,0),0)*$D$234*1000</f>
        <v>0</v>
      </c>
      <c r="C257" s="168">
        <v>9</v>
      </c>
      <c r="D257" s="237">
        <f>C257*B257</f>
        <v>0</v>
      </c>
      <c r="E257" s="232">
        <f>(((IF(D235&gt;0,($C$235*5)*(Dados!M11*10),0))))</f>
        <v>0</v>
      </c>
      <c r="F257" s="238">
        <f>C257*E257</f>
        <v>0</v>
      </c>
      <c r="G257" s="239">
        <f>(Dados!M11*10)*Dados!D236</f>
        <v>0</v>
      </c>
      <c r="H257" s="240">
        <f>G257*C257</f>
        <v>0</v>
      </c>
    </row>
    <row r="258" spans="1:8" x14ac:dyDescent="0.2">
      <c r="A258" s="224" t="s">
        <v>38</v>
      </c>
      <c r="B258" s="229">
        <f>IF($D$234&gt;0,VLOOKUP($B$248,Dados!$A$518:$F$520,6,0),0)*$D$234*1000</f>
        <v>0</v>
      </c>
      <c r="C258" s="168">
        <v>4</v>
      </c>
      <c r="D258" s="237">
        <f>C258*B258</f>
        <v>0</v>
      </c>
      <c r="E258" s="232">
        <f>(((IF(D235&gt;0,($C$235*5)*(Dados!M12*10),0))))</f>
        <v>0</v>
      </c>
      <c r="F258" s="238">
        <f>C258*E258</f>
        <v>0</v>
      </c>
      <c r="G258" s="241">
        <f>(Dados!M12*10)*Dados!D236</f>
        <v>0</v>
      </c>
      <c r="H258" s="240">
        <f>G258*C258</f>
        <v>0</v>
      </c>
    </row>
    <row r="259" spans="1:8" ht="15" thickBot="1" x14ac:dyDescent="0.25">
      <c r="A259" s="224"/>
      <c r="B259" s="242">
        <f>SUM(B256:B258)</f>
        <v>0</v>
      </c>
      <c r="C259" s="243"/>
      <c r="D259" s="244">
        <f>SUM(D256:D258)</f>
        <v>0</v>
      </c>
      <c r="E259" s="136"/>
      <c r="F259" s="245">
        <f>SUM(F256:F258)</f>
        <v>0</v>
      </c>
      <c r="G259" s="246"/>
      <c r="H259" s="244">
        <f>SUM(H256:H258)</f>
        <v>0</v>
      </c>
    </row>
    <row r="261" spans="1:8" ht="15" thickBot="1" x14ac:dyDescent="0.25"/>
    <row r="262" spans="1:8" ht="15" thickBot="1" x14ac:dyDescent="0.25">
      <c r="A262" s="224"/>
      <c r="B262" s="187" t="s">
        <v>7</v>
      </c>
      <c r="C262" s="197"/>
      <c r="D262" s="247"/>
      <c r="F262" s="248" t="s">
        <v>6</v>
      </c>
      <c r="G262" s="248" t="s">
        <v>9</v>
      </c>
      <c r="H262" s="197" t="s">
        <v>7</v>
      </c>
    </row>
    <row r="263" spans="1:8" x14ac:dyDescent="0.2">
      <c r="A263" s="168" t="s">
        <v>34</v>
      </c>
      <c r="B263" s="249">
        <f>IF($D$239&gt;0,VLOOKUP(Dados!J14,Dados!B435:E506,4,0),0)</f>
        <v>0</v>
      </c>
      <c r="C263" s="230">
        <v>4</v>
      </c>
      <c r="D263" s="250">
        <f>C263*B263</f>
        <v>0</v>
      </c>
      <c r="E263" s="251"/>
      <c r="F263" s="252">
        <v>1</v>
      </c>
      <c r="G263" s="253">
        <v>0</v>
      </c>
      <c r="H263" s="254">
        <v>0</v>
      </c>
    </row>
    <row r="264" spans="1:8" x14ac:dyDescent="0.2">
      <c r="A264" s="168" t="s">
        <v>37</v>
      </c>
      <c r="B264" s="255">
        <f>IF($D$239&gt;0,((Dados!E526*1.13)*$C$239)*1000,0)</f>
        <v>13.763399999999999</v>
      </c>
      <c r="C264" s="168">
        <v>9</v>
      </c>
      <c r="D264" s="256">
        <f>C264*B264</f>
        <v>123.8706</v>
      </c>
      <c r="E264" s="251"/>
      <c r="F264" s="252">
        <v>2</v>
      </c>
      <c r="G264" s="253">
        <v>50</v>
      </c>
      <c r="H264" s="254">
        <v>0.1</v>
      </c>
    </row>
    <row r="265" spans="1:8" x14ac:dyDescent="0.2">
      <c r="A265" s="168" t="s">
        <v>38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8" x14ac:dyDescent="0.2">
      <c r="A266" s="168" t="s">
        <v>182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8" x14ac:dyDescent="0.2">
      <c r="A267" s="168"/>
      <c r="B267" s="168"/>
      <c r="C267" s="168"/>
      <c r="D267" s="257">
        <f>SUM(D263:D265)</f>
        <v>123.8706</v>
      </c>
      <c r="F267" s="252">
        <v>5</v>
      </c>
      <c r="G267" s="253">
        <v>200</v>
      </c>
      <c r="H267" s="254">
        <v>0.25</v>
      </c>
    </row>
    <row r="268" spans="1:8" x14ac:dyDescent="0.2">
      <c r="B268" s="223"/>
      <c r="F268" s="252">
        <v>6</v>
      </c>
      <c r="G268" s="253">
        <v>250</v>
      </c>
      <c r="H268" s="254">
        <v>0.3</v>
      </c>
    </row>
    <row r="269" spans="1:8" x14ac:dyDescent="0.2">
      <c r="F269" s="252">
        <v>7</v>
      </c>
      <c r="G269" s="258" t="s">
        <v>164</v>
      </c>
      <c r="H269" s="254">
        <v>0.35</v>
      </c>
    </row>
    <row r="270" spans="1:8" x14ac:dyDescent="0.2">
      <c r="F270" s="252">
        <v>8</v>
      </c>
      <c r="G270" s="258"/>
      <c r="H270" s="254">
        <v>0.4</v>
      </c>
    </row>
    <row r="271" spans="1:8" x14ac:dyDescent="0.2">
      <c r="F271" s="252">
        <v>9</v>
      </c>
      <c r="G271" s="258"/>
      <c r="H271" s="254">
        <v>0.45</v>
      </c>
    </row>
    <row r="272" spans="1:8" ht="15" thickBot="1" x14ac:dyDescent="0.25">
      <c r="F272" s="259">
        <v>10</v>
      </c>
      <c r="G272" s="260"/>
      <c r="H272" s="254">
        <v>0.5</v>
      </c>
    </row>
    <row r="275" spans="1:23" ht="19" x14ac:dyDescent="0.25">
      <c r="A275" s="100" t="s">
        <v>251</v>
      </c>
    </row>
    <row r="276" spans="1:23" x14ac:dyDescent="0.2">
      <c r="A276" s="265">
        <f>MATCH(G276,D283:R283,0)</f>
        <v>4</v>
      </c>
      <c r="B276" s="265">
        <f>A276-2</f>
        <v>2</v>
      </c>
      <c r="C276" s="265"/>
      <c r="D276" s="265"/>
      <c r="E276" s="265" t="s">
        <v>198</v>
      </c>
      <c r="F276" s="265"/>
      <c r="G276" s="265">
        <f>VLOOKUP(Dados!$D$18,Dados!A436:B450,2,0)</f>
        <v>45</v>
      </c>
      <c r="H276" s="265"/>
      <c r="I276" s="265"/>
      <c r="J276" s="265" t="str">
        <f>IFERROR(VLOOKUP(A277,B284:N303,MATCH(A276,D281:N281,1)-B276,0),"")</f>
        <v/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3" x14ac:dyDescent="0.2">
      <c r="A277" s="265">
        <f>S280</f>
        <v>0</v>
      </c>
      <c r="B277" s="265"/>
      <c r="C277" s="265"/>
      <c r="D277" s="265"/>
      <c r="E277" s="265" t="s">
        <v>199</v>
      </c>
      <c r="F277" s="265"/>
      <c r="G277" s="266" t="e">
        <f>Dados!E190</f>
        <v>#N/A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3" x14ac:dyDescent="0.2">
      <c r="A278" s="265">
        <f>MATCH(A276,D281:R281,0)-5</f>
        <v>-1</v>
      </c>
      <c r="B278" s="265"/>
      <c r="C278" s="265"/>
      <c r="D278" s="265"/>
      <c r="E278" s="268" t="s">
        <v>200</v>
      </c>
      <c r="F278" s="268"/>
      <c r="G278" s="269" t="str">
        <f>B280</f>
        <v/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3" x14ac:dyDescent="0.2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3" x14ac:dyDescent="0.2">
      <c r="A280" s="265"/>
      <c r="B280" s="270" t="str">
        <f>IFERROR(VLOOKUP(A277,B284:R303,MATCH(A276,D281:R281,0)-B276,0),"")</f>
        <v/>
      </c>
      <c r="C280" s="265"/>
      <c r="D280" s="265">
        <f>IFERROR(IF($A$276=1,MATCH($G$277,D$284:D$303,1),0),0)</f>
        <v>0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0</v>
      </c>
      <c r="T280" s="265"/>
      <c r="U280" s="265"/>
      <c r="V280" s="265"/>
      <c r="W280" s="265"/>
    </row>
    <row r="281" spans="1:23" x14ac:dyDescent="0.2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3" ht="15" thickBot="1" x14ac:dyDescent="0.25">
      <c r="A282" s="58"/>
      <c r="B282" s="58"/>
      <c r="C282" s="58"/>
      <c r="D282" s="58"/>
      <c r="E282" s="58"/>
      <c r="F282" s="58"/>
      <c r="G282" s="58"/>
      <c r="H282" s="58" t="s">
        <v>191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3" ht="15" thickBot="1" x14ac:dyDescent="0.2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201</v>
      </c>
      <c r="T283" s="265"/>
      <c r="U283" s="265"/>
      <c r="V283" s="265"/>
      <c r="W283" s="265"/>
    </row>
    <row r="284" spans="1:23" x14ac:dyDescent="0.2">
      <c r="A284" s="265"/>
      <c r="B284" s="265">
        <v>1</v>
      </c>
      <c r="C284" s="276">
        <v>50</v>
      </c>
      <c r="D284" s="277">
        <f t="shared" ref="D284:D303" si="0">ROUND((6.25*(1/0.8*(0.2*$D$283^0.75+(30*(C284/1000))+(1.9*((C313*1000)/4750)/1000))))/0.9,0)</f>
        <v>41</v>
      </c>
      <c r="E284" s="278">
        <f t="shared" ref="E284:E303" si="1">ROUND((6.25*(1/0.8*(0.2*$E$283^0.75+(30*(C284/1000))+(1.9*((D313*1000)/4750)/1000))))/0.9,0)</f>
        <v>44</v>
      </c>
      <c r="F284" s="278">
        <f t="shared" ref="F284:F303" si="2">ROUND((6.25*(1/0.8*(0.2*$F$283^0.75+(30*(C284/1000))+(1.9*((E313*1000)/4750)/1000))))/0.9,0)</f>
        <v>48</v>
      </c>
      <c r="G284" s="278">
        <f t="shared" ref="G284:G303" si="3">ROUND((6.25*(1/0.8*(0.2*$G$283^0.75+(30*(C284/1000))+(1.9*((F313*1000)/4750)/1000))))/0.9,0)</f>
        <v>51</v>
      </c>
      <c r="H284" s="278">
        <f t="shared" ref="H284:H303" si="4">ROUND((6.25*(1/0.8*(0.2*$H$283^0.75+(30*(C284/1000))+(1.9*((G313*1000)/4750)/1000))))/0.9,0)</f>
        <v>54</v>
      </c>
      <c r="I284" s="278">
        <f t="shared" ref="I284:I303" si="5">ROUND((6.25*(1/0.8*(0.2*$I$283^0.75+(30*(C284/1000))+(1.9*((H313*1000)/4750)/1000))))/0.9,0)</f>
        <v>57</v>
      </c>
      <c r="J284" s="278">
        <f t="shared" ref="J284:J303" si="6">ROUND((6.25*(1/0.8*(0.2*$J$283^0.75+(30*(C284/1000))+(1.9*((I313*1000)/4750)/1000))))/0.9,0)</f>
        <v>60</v>
      </c>
      <c r="K284" s="278">
        <f t="shared" ref="K284:K303" si="7">ROUND((6.25*(1/0.8*(0.2*$K$283^0.75+(30*(C284/1000))+(1.9*((J313*1000)/4750)/1000))))/0.9,0)</f>
        <v>63</v>
      </c>
      <c r="L284" s="278">
        <f t="shared" ref="L284:L303" si="8">ROUND((6.25*(1/0.8*(0.2*$L$283^0.75+(30*(C284/1000))+(1.9*((K313*1000)/4750)/1000))))/0.9,0)</f>
        <v>66</v>
      </c>
      <c r="M284" s="278">
        <f t="shared" ref="M284:M303" si="9">ROUND((6.25*(1/0.8*(0.2*$M$283^0.75+(30*(C284/1000))+(1.9*((L313*1000)/4750)/1000))))/0.9,0)</f>
        <v>68</v>
      </c>
      <c r="N284" s="278">
        <f t="shared" ref="N284:N303" si="10">ROUND((6.25*(1/0.8*(0.2*$N$283^0.75+(30*(C284/1000))+(1.9*((M313*1000)/4750)/1000))))/0.9,0)</f>
        <v>71</v>
      </c>
      <c r="O284" s="278">
        <f t="shared" ref="O284:O303" si="11">ROUND((6.25*(1/0.8*(0.2*$O$283^0.75+(30*(C284/1000))+(1.9*((N313*1000)/4750)/1000))))/0.9,0)</f>
        <v>74</v>
      </c>
      <c r="P284" s="278">
        <f t="shared" ref="P284:P303" si="12">ROUND((6.25*(1/0.8*(0.2*$P$283^0.75+(30*(C284/1000))+(1.9*((O313*1000)/4750)/1000))))/0.9,0)</f>
        <v>76</v>
      </c>
      <c r="Q284" s="278">
        <f t="shared" ref="Q284:Q303" si="13">ROUND((6.25*(1/0.8*(0.2*$Q$283^0.75+(30*(C284/1000))+(1.9*((P313*1000)/4750)/1000))))/0.9,0)</f>
        <v>79</v>
      </c>
      <c r="R284" s="279">
        <f t="shared" ref="R284:R303" si="14">ROUND((6.25*(1/0.8*(0.2*$R$283^0.75+(30*(C284/1000))+(1.9*((Q313*1000)/4750)/1000))))/0.9,0)</f>
        <v>82</v>
      </c>
      <c r="S284" s="270">
        <f t="shared" ref="S284:S303" si="15">C284</f>
        <v>50</v>
      </c>
      <c r="T284" s="270"/>
      <c r="U284" s="58"/>
      <c r="V284" s="58"/>
      <c r="W284" s="58"/>
    </row>
    <row r="285" spans="1:23" x14ac:dyDescent="0.2">
      <c r="A285" s="265"/>
      <c r="B285" s="265">
        <v>2</v>
      </c>
      <c r="C285" s="276">
        <v>100</v>
      </c>
      <c r="D285" s="280">
        <f t="shared" si="0"/>
        <v>54</v>
      </c>
      <c r="E285" s="281">
        <f t="shared" si="1"/>
        <v>58</v>
      </c>
      <c r="F285" s="281">
        <f t="shared" si="2"/>
        <v>61</v>
      </c>
      <c r="G285" s="281">
        <f t="shared" si="3"/>
        <v>64</v>
      </c>
      <c r="H285" s="281">
        <f t="shared" si="4"/>
        <v>67</v>
      </c>
      <c r="I285" s="281">
        <f t="shared" si="5"/>
        <v>70</v>
      </c>
      <c r="J285" s="281">
        <f t="shared" si="6"/>
        <v>73</v>
      </c>
      <c r="K285" s="281">
        <f t="shared" si="7"/>
        <v>76</v>
      </c>
      <c r="L285" s="281">
        <f t="shared" si="8"/>
        <v>79</v>
      </c>
      <c r="M285" s="281">
        <f t="shared" si="9"/>
        <v>82</v>
      </c>
      <c r="N285" s="281">
        <f t="shared" si="10"/>
        <v>85</v>
      </c>
      <c r="O285" s="281">
        <f t="shared" si="11"/>
        <v>87</v>
      </c>
      <c r="P285" s="281">
        <f t="shared" si="12"/>
        <v>90</v>
      </c>
      <c r="Q285" s="281">
        <f t="shared" si="13"/>
        <v>93</v>
      </c>
      <c r="R285" s="282">
        <f t="shared" si="14"/>
        <v>95</v>
      </c>
      <c r="S285" s="270">
        <f t="shared" si="15"/>
        <v>100</v>
      </c>
      <c r="T285" s="270"/>
      <c r="U285" s="265"/>
      <c r="V285" s="265"/>
      <c r="W285" s="265"/>
    </row>
    <row r="286" spans="1:23" x14ac:dyDescent="0.2">
      <c r="A286" s="265"/>
      <c r="B286" s="265">
        <v>3</v>
      </c>
      <c r="C286" s="276">
        <v>150</v>
      </c>
      <c r="D286" s="280">
        <f t="shared" si="0"/>
        <v>68</v>
      </c>
      <c r="E286" s="281">
        <f t="shared" si="1"/>
        <v>71</v>
      </c>
      <c r="F286" s="281">
        <f t="shared" si="2"/>
        <v>75</v>
      </c>
      <c r="G286" s="281">
        <f t="shared" si="3"/>
        <v>78</v>
      </c>
      <c r="H286" s="281">
        <f t="shared" si="4"/>
        <v>81</v>
      </c>
      <c r="I286" s="281">
        <f t="shared" si="5"/>
        <v>84</v>
      </c>
      <c r="J286" s="281">
        <f t="shared" si="6"/>
        <v>87</v>
      </c>
      <c r="K286" s="281">
        <f t="shared" si="7"/>
        <v>90</v>
      </c>
      <c r="L286" s="281">
        <f t="shared" si="8"/>
        <v>93</v>
      </c>
      <c r="M286" s="281">
        <f t="shared" si="9"/>
        <v>96</v>
      </c>
      <c r="N286" s="281">
        <f t="shared" si="10"/>
        <v>98</v>
      </c>
      <c r="O286" s="281">
        <f t="shared" si="11"/>
        <v>101</v>
      </c>
      <c r="P286" s="281">
        <f t="shared" si="12"/>
        <v>104</v>
      </c>
      <c r="Q286" s="281">
        <f t="shared" si="13"/>
        <v>106</v>
      </c>
      <c r="R286" s="282">
        <f t="shared" si="14"/>
        <v>109</v>
      </c>
      <c r="S286" s="270">
        <f t="shared" si="15"/>
        <v>150</v>
      </c>
      <c r="T286" s="270"/>
      <c r="U286" s="265"/>
      <c r="V286" s="265"/>
      <c r="W286" s="265"/>
    </row>
    <row r="287" spans="1:23" x14ac:dyDescent="0.2">
      <c r="A287" s="265"/>
      <c r="B287" s="265">
        <v>4</v>
      </c>
      <c r="C287" s="276">
        <v>200</v>
      </c>
      <c r="D287" s="280">
        <f t="shared" si="0"/>
        <v>81</v>
      </c>
      <c r="E287" s="281">
        <f t="shared" si="1"/>
        <v>85</v>
      </c>
      <c r="F287" s="281">
        <f t="shared" si="2"/>
        <v>88</v>
      </c>
      <c r="G287" s="281">
        <f t="shared" si="3"/>
        <v>91</v>
      </c>
      <c r="H287" s="281">
        <f t="shared" si="4"/>
        <v>95</v>
      </c>
      <c r="I287" s="281">
        <f t="shared" si="5"/>
        <v>98</v>
      </c>
      <c r="J287" s="281">
        <f t="shared" si="6"/>
        <v>101</v>
      </c>
      <c r="K287" s="281">
        <f t="shared" si="7"/>
        <v>104</v>
      </c>
      <c r="L287" s="281">
        <f t="shared" si="8"/>
        <v>106</v>
      </c>
      <c r="M287" s="281">
        <f t="shared" si="9"/>
        <v>109</v>
      </c>
      <c r="N287" s="281">
        <f t="shared" si="10"/>
        <v>112</v>
      </c>
      <c r="O287" s="281">
        <f t="shared" si="11"/>
        <v>115</v>
      </c>
      <c r="P287" s="281">
        <f t="shared" si="12"/>
        <v>117</v>
      </c>
      <c r="Q287" s="281">
        <f t="shared" si="13"/>
        <v>120</v>
      </c>
      <c r="R287" s="282">
        <f t="shared" si="14"/>
        <v>123</v>
      </c>
      <c r="S287" s="270">
        <f t="shared" si="15"/>
        <v>200</v>
      </c>
      <c r="T287" s="270"/>
      <c r="U287" s="265"/>
      <c r="V287" s="265"/>
      <c r="W287" s="265"/>
    </row>
    <row r="288" spans="1:23" x14ac:dyDescent="0.2">
      <c r="A288" s="265"/>
      <c r="B288" s="265">
        <v>5</v>
      </c>
      <c r="C288" s="276">
        <v>250</v>
      </c>
      <c r="D288" s="280">
        <f t="shared" si="0"/>
        <v>95</v>
      </c>
      <c r="E288" s="281">
        <f t="shared" si="1"/>
        <v>98</v>
      </c>
      <c r="F288" s="281">
        <f t="shared" si="2"/>
        <v>102</v>
      </c>
      <c r="G288" s="281">
        <f t="shared" si="3"/>
        <v>105</v>
      </c>
      <c r="H288" s="281">
        <f t="shared" si="4"/>
        <v>108</v>
      </c>
      <c r="I288" s="281">
        <f t="shared" si="5"/>
        <v>111</v>
      </c>
      <c r="J288" s="281">
        <f t="shared" si="6"/>
        <v>114</v>
      </c>
      <c r="K288" s="281">
        <f t="shared" si="7"/>
        <v>117</v>
      </c>
      <c r="L288" s="281">
        <f t="shared" si="8"/>
        <v>120</v>
      </c>
      <c r="M288" s="281">
        <f t="shared" si="9"/>
        <v>123</v>
      </c>
      <c r="N288" s="281">
        <f t="shared" si="10"/>
        <v>126</v>
      </c>
      <c r="O288" s="281">
        <f t="shared" si="11"/>
        <v>129</v>
      </c>
      <c r="P288" s="281">
        <f t="shared" si="12"/>
        <v>131</v>
      </c>
      <c r="Q288" s="281">
        <f t="shared" si="13"/>
        <v>134</v>
      </c>
      <c r="R288" s="282">
        <f t="shared" si="14"/>
        <v>137</v>
      </c>
      <c r="S288" s="270">
        <f t="shared" si="15"/>
        <v>250</v>
      </c>
      <c r="T288" s="270"/>
      <c r="U288" s="265"/>
      <c r="V288" s="265"/>
      <c r="W288" s="265"/>
    </row>
    <row r="289" spans="1:23" x14ac:dyDescent="0.2">
      <c r="A289" s="265"/>
      <c r="B289" s="265">
        <v>6</v>
      </c>
      <c r="C289" s="276">
        <v>300</v>
      </c>
      <c r="D289" s="280">
        <f t="shared" si="0"/>
        <v>108</v>
      </c>
      <c r="E289" s="281">
        <f t="shared" si="1"/>
        <v>112</v>
      </c>
      <c r="F289" s="281">
        <f t="shared" si="2"/>
        <v>115</v>
      </c>
      <c r="G289" s="281">
        <f t="shared" si="3"/>
        <v>119</v>
      </c>
      <c r="H289" s="281">
        <f t="shared" si="4"/>
        <v>122</v>
      </c>
      <c r="I289" s="281">
        <f t="shared" si="5"/>
        <v>125</v>
      </c>
      <c r="J289" s="281">
        <f t="shared" si="6"/>
        <v>128</v>
      </c>
      <c r="K289" s="281">
        <f t="shared" si="7"/>
        <v>131</v>
      </c>
      <c r="L289" s="281">
        <f t="shared" si="8"/>
        <v>134</v>
      </c>
      <c r="M289" s="281">
        <f t="shared" si="9"/>
        <v>137</v>
      </c>
      <c r="N289" s="281">
        <f t="shared" si="10"/>
        <v>140</v>
      </c>
      <c r="O289" s="281">
        <f t="shared" si="11"/>
        <v>142</v>
      </c>
      <c r="P289" s="281">
        <f t="shared" si="12"/>
        <v>145</v>
      </c>
      <c r="Q289" s="281">
        <f t="shared" si="13"/>
        <v>148</v>
      </c>
      <c r="R289" s="282">
        <f t="shared" si="14"/>
        <v>150</v>
      </c>
      <c r="S289" s="270">
        <f t="shared" si="15"/>
        <v>300</v>
      </c>
      <c r="T289" s="270"/>
      <c r="U289" s="265"/>
      <c r="V289" s="265"/>
      <c r="W289" s="265"/>
    </row>
    <row r="290" spans="1:23" x14ac:dyDescent="0.2">
      <c r="A290" s="265"/>
      <c r="B290" s="265">
        <v>7</v>
      </c>
      <c r="C290" s="276">
        <v>350</v>
      </c>
      <c r="D290" s="280">
        <f t="shared" si="0"/>
        <v>122</v>
      </c>
      <c r="E290" s="281">
        <f t="shared" si="1"/>
        <v>126</v>
      </c>
      <c r="F290" s="281">
        <f t="shared" si="2"/>
        <v>129</v>
      </c>
      <c r="G290" s="281">
        <f t="shared" si="3"/>
        <v>132</v>
      </c>
      <c r="H290" s="281">
        <f t="shared" si="4"/>
        <v>136</v>
      </c>
      <c r="I290" s="281">
        <f t="shared" si="5"/>
        <v>139</v>
      </c>
      <c r="J290" s="281">
        <f t="shared" si="6"/>
        <v>142</v>
      </c>
      <c r="K290" s="281">
        <f t="shared" si="7"/>
        <v>145</v>
      </c>
      <c r="L290" s="281">
        <f t="shared" si="8"/>
        <v>148</v>
      </c>
      <c r="M290" s="281">
        <f t="shared" si="9"/>
        <v>151</v>
      </c>
      <c r="N290" s="281">
        <f t="shared" si="10"/>
        <v>153</v>
      </c>
      <c r="O290" s="281">
        <f t="shared" si="11"/>
        <v>156</v>
      </c>
      <c r="P290" s="281">
        <f t="shared" si="12"/>
        <v>159</v>
      </c>
      <c r="Q290" s="281">
        <f t="shared" si="13"/>
        <v>162</v>
      </c>
      <c r="R290" s="282">
        <f t="shared" si="14"/>
        <v>164</v>
      </c>
      <c r="S290" s="270">
        <f t="shared" si="15"/>
        <v>350</v>
      </c>
      <c r="T290" s="270"/>
      <c r="U290" s="265"/>
      <c r="V290" s="265"/>
      <c r="W290" s="265"/>
    </row>
    <row r="291" spans="1:23" x14ac:dyDescent="0.2">
      <c r="A291" s="265"/>
      <c r="B291" s="265">
        <v>8</v>
      </c>
      <c r="C291" s="276">
        <v>400</v>
      </c>
      <c r="D291" s="280">
        <f t="shared" si="0"/>
        <v>136</v>
      </c>
      <c r="E291" s="281">
        <f t="shared" si="1"/>
        <v>139</v>
      </c>
      <c r="F291" s="281">
        <f t="shared" si="2"/>
        <v>143</v>
      </c>
      <c r="G291" s="281">
        <f t="shared" si="3"/>
        <v>146</v>
      </c>
      <c r="H291" s="281">
        <f t="shared" si="4"/>
        <v>149</v>
      </c>
      <c r="I291" s="281">
        <f t="shared" si="5"/>
        <v>152</v>
      </c>
      <c r="J291" s="281">
        <f t="shared" si="6"/>
        <v>156</v>
      </c>
      <c r="K291" s="281">
        <f t="shared" si="7"/>
        <v>159</v>
      </c>
      <c r="L291" s="281">
        <f t="shared" si="8"/>
        <v>162</v>
      </c>
      <c r="M291" s="281">
        <f t="shared" si="9"/>
        <v>164</v>
      </c>
      <c r="N291" s="281">
        <f t="shared" si="10"/>
        <v>167</v>
      </c>
      <c r="O291" s="281">
        <f t="shared" si="11"/>
        <v>170</v>
      </c>
      <c r="P291" s="281">
        <f t="shared" si="12"/>
        <v>173</v>
      </c>
      <c r="Q291" s="281">
        <f t="shared" si="13"/>
        <v>176</v>
      </c>
      <c r="R291" s="282">
        <f t="shared" si="14"/>
        <v>178</v>
      </c>
      <c r="S291" s="270">
        <f t="shared" si="15"/>
        <v>400</v>
      </c>
      <c r="T291" s="270"/>
      <c r="U291" s="265"/>
      <c r="V291" s="265"/>
      <c r="W291" s="265"/>
    </row>
    <row r="292" spans="1:23" x14ac:dyDescent="0.2">
      <c r="A292" s="265"/>
      <c r="B292" s="265">
        <v>9</v>
      </c>
      <c r="C292" s="276">
        <v>450</v>
      </c>
      <c r="D292" s="280">
        <f t="shared" si="0"/>
        <v>149</v>
      </c>
      <c r="E292" s="281">
        <f t="shared" si="1"/>
        <v>153</v>
      </c>
      <c r="F292" s="281">
        <f t="shared" si="2"/>
        <v>156</v>
      </c>
      <c r="G292" s="281">
        <f t="shared" si="3"/>
        <v>160</v>
      </c>
      <c r="H292" s="281">
        <f t="shared" si="4"/>
        <v>163</v>
      </c>
      <c r="I292" s="281">
        <f t="shared" si="5"/>
        <v>166</v>
      </c>
      <c r="J292" s="281">
        <f t="shared" si="6"/>
        <v>169</v>
      </c>
      <c r="K292" s="281">
        <f t="shared" si="7"/>
        <v>172</v>
      </c>
      <c r="L292" s="281">
        <f t="shared" si="8"/>
        <v>175</v>
      </c>
      <c r="M292" s="281">
        <f t="shared" si="9"/>
        <v>178</v>
      </c>
      <c r="N292" s="281">
        <f t="shared" si="10"/>
        <v>181</v>
      </c>
      <c r="O292" s="281">
        <f t="shared" si="11"/>
        <v>184</v>
      </c>
      <c r="P292" s="281">
        <f t="shared" si="12"/>
        <v>187</v>
      </c>
      <c r="Q292" s="281">
        <f t="shared" si="13"/>
        <v>189</v>
      </c>
      <c r="R292" s="282">
        <f t="shared" si="14"/>
        <v>192</v>
      </c>
      <c r="S292" s="270">
        <f t="shared" si="15"/>
        <v>450</v>
      </c>
      <c r="T292" s="270"/>
      <c r="U292" s="265"/>
      <c r="V292" s="265"/>
      <c r="W292" s="265"/>
    </row>
    <row r="293" spans="1:23" x14ac:dyDescent="0.2">
      <c r="A293" s="265"/>
      <c r="B293" s="265">
        <v>10</v>
      </c>
      <c r="C293" s="276">
        <v>500</v>
      </c>
      <c r="D293" s="280">
        <f t="shared" si="0"/>
        <v>163</v>
      </c>
      <c r="E293" s="281">
        <f t="shared" si="1"/>
        <v>167</v>
      </c>
      <c r="F293" s="281">
        <f t="shared" si="2"/>
        <v>170</v>
      </c>
      <c r="G293" s="281">
        <f t="shared" si="3"/>
        <v>173</v>
      </c>
      <c r="H293" s="281">
        <f t="shared" si="4"/>
        <v>177</v>
      </c>
      <c r="I293" s="281">
        <f t="shared" si="5"/>
        <v>180</v>
      </c>
      <c r="J293" s="281">
        <f t="shared" si="6"/>
        <v>183</v>
      </c>
      <c r="K293" s="281">
        <f t="shared" si="7"/>
        <v>186</v>
      </c>
      <c r="L293" s="281">
        <f t="shared" si="8"/>
        <v>189</v>
      </c>
      <c r="M293" s="281">
        <f t="shared" si="9"/>
        <v>192</v>
      </c>
      <c r="N293" s="281">
        <f t="shared" si="10"/>
        <v>195</v>
      </c>
      <c r="O293" s="281">
        <f t="shared" si="11"/>
        <v>198</v>
      </c>
      <c r="P293" s="281">
        <f t="shared" si="12"/>
        <v>201</v>
      </c>
      <c r="Q293" s="281">
        <f t="shared" si="13"/>
        <v>203</v>
      </c>
      <c r="R293" s="282">
        <f t="shared" si="14"/>
        <v>206</v>
      </c>
      <c r="S293" s="270">
        <f t="shared" si="15"/>
        <v>500</v>
      </c>
      <c r="T293" s="270"/>
      <c r="U293" s="265"/>
      <c r="V293" s="265"/>
      <c r="W293" s="265"/>
    </row>
    <row r="294" spans="1:23" x14ac:dyDescent="0.2">
      <c r="A294" s="265"/>
      <c r="B294" s="265">
        <v>11</v>
      </c>
      <c r="C294" s="276">
        <v>550</v>
      </c>
      <c r="D294" s="280">
        <f t="shared" si="0"/>
        <v>177</v>
      </c>
      <c r="E294" s="281">
        <f t="shared" si="1"/>
        <v>180</v>
      </c>
      <c r="F294" s="281">
        <f t="shared" si="2"/>
        <v>184</v>
      </c>
      <c r="G294" s="281">
        <f t="shared" si="3"/>
        <v>187</v>
      </c>
      <c r="H294" s="281">
        <f t="shared" si="4"/>
        <v>191</v>
      </c>
      <c r="I294" s="281">
        <f t="shared" si="5"/>
        <v>194</v>
      </c>
      <c r="J294" s="281">
        <f t="shared" si="6"/>
        <v>197</v>
      </c>
      <c r="K294" s="281">
        <f t="shared" si="7"/>
        <v>200</v>
      </c>
      <c r="L294" s="281">
        <f t="shared" si="8"/>
        <v>203</v>
      </c>
      <c r="M294" s="281">
        <f t="shared" si="9"/>
        <v>206</v>
      </c>
      <c r="N294" s="281">
        <f t="shared" si="10"/>
        <v>209</v>
      </c>
      <c r="O294" s="281">
        <f t="shared" si="11"/>
        <v>212</v>
      </c>
      <c r="P294" s="281">
        <f t="shared" si="12"/>
        <v>215</v>
      </c>
      <c r="Q294" s="281">
        <f t="shared" si="13"/>
        <v>217</v>
      </c>
      <c r="R294" s="282">
        <f t="shared" si="14"/>
        <v>220</v>
      </c>
      <c r="S294" s="270">
        <f t="shared" si="15"/>
        <v>550</v>
      </c>
      <c r="T294" s="270"/>
      <c r="U294" s="265"/>
      <c r="V294" s="265"/>
      <c r="W294" s="265"/>
    </row>
    <row r="295" spans="1:23" x14ac:dyDescent="0.2">
      <c r="A295" s="265"/>
      <c r="B295" s="265">
        <v>12</v>
      </c>
      <c r="C295" s="276">
        <v>600</v>
      </c>
      <c r="D295" s="280">
        <f t="shared" si="0"/>
        <v>190</v>
      </c>
      <c r="E295" s="281">
        <f t="shared" si="1"/>
        <v>194</v>
      </c>
      <c r="F295" s="281">
        <f t="shared" si="2"/>
        <v>198</v>
      </c>
      <c r="G295" s="281">
        <f t="shared" si="3"/>
        <v>201</v>
      </c>
      <c r="H295" s="281">
        <f t="shared" si="4"/>
        <v>204</v>
      </c>
      <c r="I295" s="281">
        <f t="shared" si="5"/>
        <v>208</v>
      </c>
      <c r="J295" s="281">
        <f t="shared" si="6"/>
        <v>211</v>
      </c>
      <c r="K295" s="281">
        <f t="shared" si="7"/>
        <v>214</v>
      </c>
      <c r="L295" s="281">
        <f t="shared" si="8"/>
        <v>217</v>
      </c>
      <c r="M295" s="281">
        <f t="shared" si="9"/>
        <v>220</v>
      </c>
      <c r="N295" s="281">
        <f t="shared" si="10"/>
        <v>223</v>
      </c>
      <c r="O295" s="281">
        <f t="shared" si="11"/>
        <v>226</v>
      </c>
      <c r="P295" s="281">
        <f t="shared" si="12"/>
        <v>229</v>
      </c>
      <c r="Q295" s="281">
        <f t="shared" si="13"/>
        <v>231</v>
      </c>
      <c r="R295" s="282">
        <f t="shared" si="14"/>
        <v>234</v>
      </c>
      <c r="S295" s="270">
        <f t="shared" si="15"/>
        <v>600</v>
      </c>
      <c r="T295" s="270"/>
      <c r="U295" s="265"/>
      <c r="V295" s="265"/>
      <c r="W295" s="265"/>
    </row>
    <row r="296" spans="1:23" x14ac:dyDescent="0.2">
      <c r="A296" s="265"/>
      <c r="B296" s="265">
        <v>13</v>
      </c>
      <c r="C296" s="276">
        <v>650</v>
      </c>
      <c r="D296" s="280">
        <f t="shared" si="0"/>
        <v>204</v>
      </c>
      <c r="E296" s="281">
        <f t="shared" si="1"/>
        <v>208</v>
      </c>
      <c r="F296" s="281">
        <f t="shared" si="2"/>
        <v>211</v>
      </c>
      <c r="G296" s="281">
        <f t="shared" si="3"/>
        <v>215</v>
      </c>
      <c r="H296" s="281">
        <f t="shared" si="4"/>
        <v>218</v>
      </c>
      <c r="I296" s="281">
        <f t="shared" si="5"/>
        <v>221</v>
      </c>
      <c r="J296" s="281">
        <f t="shared" si="6"/>
        <v>225</v>
      </c>
      <c r="K296" s="281">
        <f t="shared" si="7"/>
        <v>228</v>
      </c>
      <c r="L296" s="281">
        <f t="shared" si="8"/>
        <v>231</v>
      </c>
      <c r="M296" s="281">
        <f t="shared" si="9"/>
        <v>234</v>
      </c>
      <c r="N296" s="281">
        <f t="shared" si="10"/>
        <v>237</v>
      </c>
      <c r="O296" s="281">
        <f t="shared" si="11"/>
        <v>240</v>
      </c>
      <c r="P296" s="281">
        <f t="shared" si="12"/>
        <v>242</v>
      </c>
      <c r="Q296" s="281">
        <f t="shared" si="13"/>
        <v>245</v>
      </c>
      <c r="R296" s="282">
        <f t="shared" si="14"/>
        <v>248</v>
      </c>
      <c r="S296" s="270">
        <f t="shared" si="15"/>
        <v>650</v>
      </c>
      <c r="T296" s="270"/>
      <c r="U296" s="265"/>
      <c r="V296" s="265"/>
      <c r="W296" s="265"/>
    </row>
    <row r="297" spans="1:23" x14ac:dyDescent="0.2">
      <c r="A297" s="265"/>
      <c r="B297" s="265">
        <v>14</v>
      </c>
      <c r="C297" s="276">
        <v>700</v>
      </c>
      <c r="D297" s="280">
        <f t="shared" si="0"/>
        <v>218</v>
      </c>
      <c r="E297" s="281">
        <f t="shared" si="1"/>
        <v>221</v>
      </c>
      <c r="F297" s="281">
        <f t="shared" si="2"/>
        <v>225</v>
      </c>
      <c r="G297" s="281">
        <f t="shared" si="3"/>
        <v>229</v>
      </c>
      <c r="H297" s="281">
        <f t="shared" si="4"/>
        <v>232</v>
      </c>
      <c r="I297" s="281">
        <f t="shared" si="5"/>
        <v>235</v>
      </c>
      <c r="J297" s="281">
        <f t="shared" si="6"/>
        <v>238</v>
      </c>
      <c r="K297" s="281">
        <f t="shared" si="7"/>
        <v>242</v>
      </c>
      <c r="L297" s="281">
        <f t="shared" si="8"/>
        <v>245</v>
      </c>
      <c r="M297" s="281">
        <f t="shared" si="9"/>
        <v>248</v>
      </c>
      <c r="N297" s="281">
        <f t="shared" si="10"/>
        <v>251</v>
      </c>
      <c r="O297" s="281">
        <f t="shared" si="11"/>
        <v>254</v>
      </c>
      <c r="P297" s="281">
        <f t="shared" si="12"/>
        <v>256</v>
      </c>
      <c r="Q297" s="281">
        <f t="shared" si="13"/>
        <v>259</v>
      </c>
      <c r="R297" s="282">
        <f t="shared" si="14"/>
        <v>262</v>
      </c>
      <c r="S297" s="270">
        <f t="shared" si="15"/>
        <v>700</v>
      </c>
      <c r="T297" s="270"/>
      <c r="U297" s="265"/>
      <c r="V297" s="265"/>
      <c r="W297" s="265"/>
    </row>
    <row r="298" spans="1:23" x14ac:dyDescent="0.2">
      <c r="A298" s="265"/>
      <c r="B298" s="265">
        <v>15</v>
      </c>
      <c r="C298" s="276">
        <v>750</v>
      </c>
      <c r="D298" s="280">
        <f t="shared" si="0"/>
        <v>231</v>
      </c>
      <c r="E298" s="281">
        <f t="shared" si="1"/>
        <v>235</v>
      </c>
      <c r="F298" s="281">
        <f t="shared" si="2"/>
        <v>239</v>
      </c>
      <c r="G298" s="281">
        <f t="shared" si="3"/>
        <v>242</v>
      </c>
      <c r="H298" s="281">
        <f t="shared" si="4"/>
        <v>246</v>
      </c>
      <c r="I298" s="281">
        <f t="shared" si="5"/>
        <v>249</v>
      </c>
      <c r="J298" s="281">
        <f t="shared" si="6"/>
        <v>252</v>
      </c>
      <c r="K298" s="281">
        <f t="shared" si="7"/>
        <v>256</v>
      </c>
      <c r="L298" s="281">
        <f t="shared" si="8"/>
        <v>259</v>
      </c>
      <c r="M298" s="281">
        <f t="shared" si="9"/>
        <v>262</v>
      </c>
      <c r="N298" s="281">
        <f t="shared" si="10"/>
        <v>265</v>
      </c>
      <c r="O298" s="281">
        <f t="shared" si="11"/>
        <v>268</v>
      </c>
      <c r="P298" s="281">
        <f t="shared" si="12"/>
        <v>270</v>
      </c>
      <c r="Q298" s="281">
        <f t="shared" si="13"/>
        <v>273</v>
      </c>
      <c r="R298" s="282">
        <f t="shared" si="14"/>
        <v>276</v>
      </c>
      <c r="S298" s="270">
        <f t="shared" si="15"/>
        <v>750</v>
      </c>
      <c r="T298" s="270"/>
      <c r="U298" s="265"/>
      <c r="V298" s="265"/>
      <c r="W298" s="265"/>
    </row>
    <row r="299" spans="1:23" x14ac:dyDescent="0.2">
      <c r="A299" s="265"/>
      <c r="B299" s="265">
        <v>16</v>
      </c>
      <c r="C299" s="276">
        <v>800</v>
      </c>
      <c r="D299" s="280">
        <f t="shared" si="0"/>
        <v>245</v>
      </c>
      <c r="E299" s="281">
        <f t="shared" si="1"/>
        <v>249</v>
      </c>
      <c r="F299" s="281">
        <f t="shared" si="2"/>
        <v>252</v>
      </c>
      <c r="G299" s="281">
        <f t="shared" si="3"/>
        <v>256</v>
      </c>
      <c r="H299" s="281">
        <f t="shared" si="4"/>
        <v>260</v>
      </c>
      <c r="I299" s="281">
        <f t="shared" si="5"/>
        <v>263</v>
      </c>
      <c r="J299" s="281">
        <f t="shared" si="6"/>
        <v>266</v>
      </c>
      <c r="K299" s="281">
        <f t="shared" si="7"/>
        <v>269</v>
      </c>
      <c r="L299" s="281">
        <f t="shared" si="8"/>
        <v>273</v>
      </c>
      <c r="M299" s="281">
        <f t="shared" si="9"/>
        <v>276</v>
      </c>
      <c r="N299" s="281">
        <f t="shared" si="10"/>
        <v>279</v>
      </c>
      <c r="O299" s="281">
        <f t="shared" si="11"/>
        <v>282</v>
      </c>
      <c r="P299" s="281">
        <f t="shared" si="12"/>
        <v>284</v>
      </c>
      <c r="Q299" s="281">
        <f t="shared" si="13"/>
        <v>287</v>
      </c>
      <c r="R299" s="282">
        <f t="shared" si="14"/>
        <v>290</v>
      </c>
      <c r="S299" s="270">
        <f t="shared" si="15"/>
        <v>800</v>
      </c>
      <c r="T299" s="270"/>
      <c r="U299" s="265"/>
      <c r="V299" s="265"/>
      <c r="W299" s="265"/>
    </row>
    <row r="300" spans="1:23" x14ac:dyDescent="0.2">
      <c r="A300" s="265"/>
      <c r="B300" s="265">
        <v>17</v>
      </c>
      <c r="C300" s="276">
        <v>850</v>
      </c>
      <c r="D300" s="280">
        <f t="shared" si="0"/>
        <v>259</v>
      </c>
      <c r="E300" s="281">
        <f t="shared" si="1"/>
        <v>263</v>
      </c>
      <c r="F300" s="281">
        <f t="shared" si="2"/>
        <v>266</v>
      </c>
      <c r="G300" s="281">
        <f t="shared" si="3"/>
        <v>270</v>
      </c>
      <c r="H300" s="281">
        <f t="shared" si="4"/>
        <v>273</v>
      </c>
      <c r="I300" s="281">
        <f t="shared" si="5"/>
        <v>277</v>
      </c>
      <c r="J300" s="281">
        <f t="shared" si="6"/>
        <v>280</v>
      </c>
      <c r="K300" s="281">
        <f t="shared" si="7"/>
        <v>283</v>
      </c>
      <c r="L300" s="281">
        <f t="shared" si="8"/>
        <v>286</v>
      </c>
      <c r="M300" s="281">
        <f t="shared" si="9"/>
        <v>290</v>
      </c>
      <c r="N300" s="281">
        <f t="shared" si="10"/>
        <v>293</v>
      </c>
      <c r="O300" s="281">
        <f t="shared" si="11"/>
        <v>296</v>
      </c>
      <c r="P300" s="281">
        <f t="shared" si="12"/>
        <v>298</v>
      </c>
      <c r="Q300" s="281">
        <f t="shared" si="13"/>
        <v>301</v>
      </c>
      <c r="R300" s="282">
        <f t="shared" si="14"/>
        <v>304</v>
      </c>
      <c r="S300" s="270">
        <f t="shared" si="15"/>
        <v>850</v>
      </c>
      <c r="T300" s="270"/>
      <c r="U300" s="265"/>
      <c r="V300" s="265"/>
      <c r="W300" s="265"/>
    </row>
    <row r="301" spans="1:23" x14ac:dyDescent="0.2">
      <c r="A301" s="265"/>
      <c r="B301" s="265">
        <v>18</v>
      </c>
      <c r="C301" s="276">
        <v>900</v>
      </c>
      <c r="D301" s="280">
        <f t="shared" si="0"/>
        <v>272</v>
      </c>
      <c r="E301" s="281">
        <f t="shared" si="1"/>
        <v>276</v>
      </c>
      <c r="F301" s="281">
        <f t="shared" si="2"/>
        <v>280</v>
      </c>
      <c r="G301" s="281">
        <f t="shared" si="3"/>
        <v>284</v>
      </c>
      <c r="H301" s="281">
        <f t="shared" si="4"/>
        <v>287</v>
      </c>
      <c r="I301" s="281">
        <f t="shared" si="5"/>
        <v>291</v>
      </c>
      <c r="J301" s="281">
        <f t="shared" si="6"/>
        <v>294</v>
      </c>
      <c r="K301" s="281">
        <f t="shared" si="7"/>
        <v>297</v>
      </c>
      <c r="L301" s="281">
        <f t="shared" si="8"/>
        <v>300</v>
      </c>
      <c r="M301" s="281">
        <f t="shared" si="9"/>
        <v>304</v>
      </c>
      <c r="N301" s="281">
        <f t="shared" si="10"/>
        <v>307</v>
      </c>
      <c r="O301" s="281">
        <f t="shared" si="11"/>
        <v>310</v>
      </c>
      <c r="P301" s="281">
        <f t="shared" si="12"/>
        <v>313</v>
      </c>
      <c r="Q301" s="281">
        <f t="shared" si="13"/>
        <v>315</v>
      </c>
      <c r="R301" s="282">
        <f t="shared" si="14"/>
        <v>318</v>
      </c>
      <c r="S301" s="270">
        <f t="shared" si="15"/>
        <v>900</v>
      </c>
      <c r="T301" s="270"/>
      <c r="U301" s="265"/>
      <c r="V301" s="265"/>
      <c r="W301" s="265"/>
    </row>
    <row r="302" spans="1:23" x14ac:dyDescent="0.2">
      <c r="A302" s="265"/>
      <c r="B302" s="265">
        <v>19</v>
      </c>
      <c r="C302" s="276">
        <v>950</v>
      </c>
      <c r="D302" s="280">
        <f t="shared" si="0"/>
        <v>286</v>
      </c>
      <c r="E302" s="281">
        <f t="shared" si="1"/>
        <v>290</v>
      </c>
      <c r="F302" s="281">
        <f t="shared" si="2"/>
        <v>294</v>
      </c>
      <c r="G302" s="281">
        <f t="shared" si="3"/>
        <v>298</v>
      </c>
      <c r="H302" s="281">
        <f t="shared" si="4"/>
        <v>301</v>
      </c>
      <c r="I302" s="281">
        <f t="shared" si="5"/>
        <v>305</v>
      </c>
      <c r="J302" s="281">
        <f t="shared" si="6"/>
        <v>308</v>
      </c>
      <c r="K302" s="281">
        <f t="shared" si="7"/>
        <v>311</v>
      </c>
      <c r="L302" s="281">
        <f t="shared" si="8"/>
        <v>314</v>
      </c>
      <c r="M302" s="281">
        <f t="shared" si="9"/>
        <v>318</v>
      </c>
      <c r="N302" s="281">
        <f t="shared" si="10"/>
        <v>321</v>
      </c>
      <c r="O302" s="281">
        <f t="shared" si="11"/>
        <v>324</v>
      </c>
      <c r="P302" s="281">
        <f t="shared" si="12"/>
        <v>327</v>
      </c>
      <c r="Q302" s="281">
        <f t="shared" si="13"/>
        <v>329</v>
      </c>
      <c r="R302" s="282">
        <f t="shared" si="14"/>
        <v>332</v>
      </c>
      <c r="S302" s="270">
        <f t="shared" si="15"/>
        <v>950</v>
      </c>
      <c r="T302" s="270"/>
      <c r="U302" s="265"/>
      <c r="V302" s="265"/>
      <c r="W302" s="265"/>
    </row>
    <row r="303" spans="1:23" ht="15" thickBot="1" x14ac:dyDescent="0.25">
      <c r="A303" s="265"/>
      <c r="B303" s="265">
        <v>20</v>
      </c>
      <c r="C303" s="276">
        <v>1000</v>
      </c>
      <c r="D303" s="283">
        <f t="shared" si="0"/>
        <v>300</v>
      </c>
      <c r="E303" s="284">
        <f t="shared" si="1"/>
        <v>304</v>
      </c>
      <c r="F303" s="284">
        <f t="shared" si="2"/>
        <v>308</v>
      </c>
      <c r="G303" s="284">
        <f t="shared" si="3"/>
        <v>311</v>
      </c>
      <c r="H303" s="284">
        <f t="shared" si="4"/>
        <v>315</v>
      </c>
      <c r="I303" s="284">
        <f t="shared" si="5"/>
        <v>318</v>
      </c>
      <c r="J303" s="284">
        <f t="shared" si="6"/>
        <v>322</v>
      </c>
      <c r="K303" s="284">
        <f t="shared" si="7"/>
        <v>325</v>
      </c>
      <c r="L303" s="284">
        <f t="shared" si="8"/>
        <v>328</v>
      </c>
      <c r="M303" s="284">
        <f t="shared" si="9"/>
        <v>331</v>
      </c>
      <c r="N303" s="284">
        <f t="shared" si="10"/>
        <v>335</v>
      </c>
      <c r="O303" s="284">
        <f t="shared" si="11"/>
        <v>338</v>
      </c>
      <c r="P303" s="284">
        <f t="shared" si="12"/>
        <v>341</v>
      </c>
      <c r="Q303" s="284">
        <f t="shared" si="13"/>
        <v>344</v>
      </c>
      <c r="R303" s="285">
        <f t="shared" si="14"/>
        <v>346</v>
      </c>
      <c r="S303" s="270">
        <f t="shared" si="15"/>
        <v>1000</v>
      </c>
      <c r="T303" s="270"/>
      <c r="U303" s="265"/>
      <c r="V303" s="265"/>
      <c r="W303" s="265"/>
    </row>
    <row r="304" spans="1:23" x14ac:dyDescent="0.2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3" x14ac:dyDescent="0.2">
      <c r="A305" s="265"/>
      <c r="B305" s="265"/>
      <c r="C305" s="270"/>
      <c r="D305" s="270"/>
      <c r="E305" s="266" t="s">
        <v>198</v>
      </c>
      <c r="F305" s="265"/>
      <c r="G305" s="265">
        <f>G276</f>
        <v>45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4</v>
      </c>
      <c r="T305" s="265">
        <f>S305-2</f>
        <v>2</v>
      </c>
      <c r="U305" s="265"/>
      <c r="V305" s="265"/>
      <c r="W305" s="265"/>
    </row>
    <row r="306" spans="1:23" x14ac:dyDescent="0.2">
      <c r="A306" s="265"/>
      <c r="B306" s="265"/>
      <c r="C306" s="265"/>
      <c r="D306" s="265"/>
      <c r="E306" s="265" t="s">
        <v>199</v>
      </c>
      <c r="F306" s="265"/>
      <c r="G306" s="265" t="e">
        <f>Dados!F190</f>
        <v>#N/A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0</v>
      </c>
      <c r="T306" s="265"/>
      <c r="U306" s="265"/>
      <c r="V306" s="265"/>
      <c r="W306" s="265"/>
    </row>
    <row r="307" spans="1:23" x14ac:dyDescent="0.2">
      <c r="A307" s="265"/>
      <c r="B307" s="265"/>
      <c r="C307" s="265"/>
      <c r="D307" s="265"/>
      <c r="E307" s="268" t="s">
        <v>200</v>
      </c>
      <c r="F307" s="268"/>
      <c r="G307" s="268" t="str">
        <f>S309</f>
        <v/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-1</v>
      </c>
      <c r="T307" s="265"/>
      <c r="U307" s="265"/>
      <c r="V307" s="265"/>
      <c r="W307" s="265"/>
    </row>
    <row r="308" spans="1:23" x14ac:dyDescent="0.2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3" x14ac:dyDescent="0.2">
      <c r="A309" s="265"/>
      <c r="B309" s="265"/>
      <c r="C309" s="265">
        <f>IFERROR(IF($S$305=1,MATCH($G$306,C$313:C$332,1),0),0)</f>
        <v>0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0</v>
      </c>
      <c r="S309" s="265" t="str">
        <f>IFERROR(VLOOKUP(S306,A313:Q332,MATCH(S305,C310:Q310,0)-T305,0),"")</f>
        <v/>
      </c>
      <c r="T309" s="265"/>
      <c r="U309" s="265"/>
      <c r="V309" s="265"/>
      <c r="W309" s="265"/>
    </row>
    <row r="310" spans="1:23" x14ac:dyDescent="0.2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3" ht="15" thickBot="1" x14ac:dyDescent="0.25">
      <c r="A311" s="58"/>
      <c r="B311" s="58"/>
      <c r="C311" s="58"/>
      <c r="D311" s="58"/>
      <c r="E311" s="58"/>
      <c r="F311" s="58"/>
      <c r="G311" s="58" t="s">
        <v>192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3" ht="15" thickBot="1" x14ac:dyDescent="0.25">
      <c r="A312" s="265"/>
      <c r="B312" s="286" t="s">
        <v>201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201</v>
      </c>
      <c r="S312" s="265"/>
      <c r="T312" s="265"/>
      <c r="U312" s="265"/>
      <c r="V312" s="265"/>
      <c r="W312" s="265"/>
    </row>
    <row r="313" spans="1:23" x14ac:dyDescent="0.2">
      <c r="A313" s="270">
        <v>1</v>
      </c>
      <c r="B313" s="289">
        <v>50</v>
      </c>
      <c r="C313" s="270">
        <f t="shared" ref="C313:C332" si="16">((0.1*($C$312^0.75)+(0.84*($C$312^0.355))*((C284/1000)^1.2))*1000)*1.2</f>
        <v>1630.8314311601123</v>
      </c>
      <c r="D313" s="270">
        <f t="shared" ref="D313:D332" si="17">((0.1*($D$312^0.75)+(0.84*($D$312^0.355))*((C284/1000)^1.2))*1000)*1.2</f>
        <v>1824.5679105771255</v>
      </c>
      <c r="E313" s="270">
        <f t="shared" ref="E313:E332" si="18">((0.1*($E$312^0.75)+(0.84*($E$312^0.355))*((C284/1000)^1.2))*1000)*1.2</f>
        <v>2011.2045117846244</v>
      </c>
      <c r="F313" s="270">
        <f t="shared" ref="F313:F332" si="19">((0.1*($F$312^0.75)+(0.84*($F$312^0.355))*((C284/1000)^1.2))*1000)*1.2</f>
        <v>2191.8597284748685</v>
      </c>
      <c r="G313" s="270">
        <f t="shared" ref="G313:G332" si="20">((0.1*($G$312^0.75)+(0.84*($G$312^0.355))*((C284/1000)^1.2))*1000)*1.2</f>
        <v>2367.3710343752095</v>
      </c>
      <c r="H313" s="270">
        <f t="shared" ref="H313:H332" si="21">((0.1*($H$312^0.75)+(0.84*($H$312^0.355))*((C284/1000)^1.2))*1000)*1.2</f>
        <v>2538.3865900860656</v>
      </c>
      <c r="I313" s="270">
        <f t="shared" ref="I313:I332" si="22">((0.1*($I$312^0.75)+(0.84*($I$312^0.355))*((C284/1000)^1.2))*1000)*1.2</f>
        <v>2705.4213791892948</v>
      </c>
      <c r="J313" s="270">
        <f t="shared" ref="J313:J332" si="23">((0.1*($J$312^0.75)+(0.84*($J$312^0.355))*((C284/1000)^1.2))*1000)*1.2</f>
        <v>2868.8933971948413</v>
      </c>
      <c r="K313" s="270">
        <f t="shared" ref="K313:K332" si="24">((0.1*($K$312^0.75)+(0.84*($K$312^0.355))*((C284/1000)^1.2))*1000)*1.2</f>
        <v>3029.147975106282</v>
      </c>
      <c r="L313" s="270">
        <f t="shared" ref="L313:L332" si="25">((0.1*($L$312^0.75)+(0.84*($L$312^0.355))*((C284/1000)^1.2))*1000)*1.2</f>
        <v>3186.4746995030082</v>
      </c>
      <c r="M313" s="270">
        <f t="shared" ref="M313:M332" si="26">((0.1*($M$312^0.75)+(0.84*($M$312^0.355))*((C284/1000)^1.2))*1000)*1.2</f>
        <v>3341.1195267273479</v>
      </c>
      <c r="N313" s="270">
        <f t="shared" ref="N313:N332" si="27">((0.1*($N$312^0.75)+(0.84*($N$312^0.355))*((B313/1000)^1.2))*1000)*1.2</f>
        <v>3493.2936716300223</v>
      </c>
      <c r="O313" s="270">
        <f t="shared" ref="O313:O332" si="28">((0.1*($O$312^0.75)+(0.84*($O$312^0.355))*((B313/1000)^1.2))*1000)*1.2</f>
        <v>3643.1802690310501</v>
      </c>
      <c r="P313" s="270">
        <f t="shared" ref="P313:P332" si="29">((0.1*($P$312^0.75)+(0.84*($P$312^0.355))*((B313/1000)^1.2))*1000)*1.2</f>
        <v>3790.9394587951751</v>
      </c>
      <c r="Q313" s="290">
        <f t="shared" ref="Q313:Q332" si="30">((0.1*($Q$312^0.75)+(0.84*($Q$312^0.355))*((B313/1000)^1.2))*1000)*1.2</f>
        <v>3936.7123309229032</v>
      </c>
      <c r="R313" s="265">
        <v>50</v>
      </c>
      <c r="S313" s="265"/>
      <c r="T313" s="265"/>
      <c r="U313" s="265"/>
      <c r="V313" s="265"/>
      <c r="W313" s="265"/>
    </row>
    <row r="314" spans="1:23" x14ac:dyDescent="0.2">
      <c r="A314" s="270">
        <v>2</v>
      </c>
      <c r="B314" s="289">
        <v>100</v>
      </c>
      <c r="C314" s="270">
        <f t="shared" si="16"/>
        <v>1750.968041744082</v>
      </c>
      <c r="D314" s="270">
        <f t="shared" si="17"/>
        <v>1951.4620267949165</v>
      </c>
      <c r="E314" s="270">
        <f t="shared" si="18"/>
        <v>2144.2587235625265</v>
      </c>
      <c r="F314" s="270">
        <f t="shared" si="19"/>
        <v>2330.5952822379436</v>
      </c>
      <c r="G314" s="270">
        <f t="shared" si="20"/>
        <v>2511.3939773705788</v>
      </c>
      <c r="H314" s="270">
        <f t="shared" si="21"/>
        <v>2687.3659432645859</v>
      </c>
      <c r="I314" s="270">
        <f t="shared" si="22"/>
        <v>2859.0743719097327</v>
      </c>
      <c r="J314" s="270">
        <f t="shared" si="23"/>
        <v>3026.9750875735594</v>
      </c>
      <c r="K314" s="270">
        <f t="shared" si="24"/>
        <v>3191.4437200977786</v>
      </c>
      <c r="L314" s="270">
        <f t="shared" si="25"/>
        <v>3352.7945469993269</v>
      </c>
      <c r="M314" s="270">
        <f t="shared" si="26"/>
        <v>3511.2939451195184</v>
      </c>
      <c r="N314" s="270">
        <f t="shared" si="27"/>
        <v>3667.1702351428034</v>
      </c>
      <c r="O314" s="270">
        <f t="shared" si="28"/>
        <v>3820.6210419045624</v>
      </c>
      <c r="P314" s="270">
        <f t="shared" si="29"/>
        <v>3971.818900756477</v>
      </c>
      <c r="Q314" s="290">
        <f t="shared" si="30"/>
        <v>4120.9155983871224</v>
      </c>
      <c r="R314" s="265">
        <v>100</v>
      </c>
      <c r="S314" s="265"/>
      <c r="T314" s="265"/>
      <c r="U314" s="265"/>
      <c r="V314" s="265"/>
      <c r="W314" s="265"/>
    </row>
    <row r="315" spans="1:23" x14ac:dyDescent="0.2">
      <c r="A315" s="270">
        <v>3</v>
      </c>
      <c r="B315" s="289">
        <v>150</v>
      </c>
      <c r="C315" s="270">
        <f t="shared" si="16"/>
        <v>1884.2905815016518</v>
      </c>
      <c r="D315" s="270">
        <f t="shared" si="17"/>
        <v>2092.2837610873398</v>
      </c>
      <c r="E315" s="270">
        <f t="shared" si="18"/>
        <v>2291.9166719051991</v>
      </c>
      <c r="F315" s="270">
        <f t="shared" si="19"/>
        <v>2484.5581441203994</v>
      </c>
      <c r="G315" s="270">
        <f t="shared" si="20"/>
        <v>2671.2245606554425</v>
      </c>
      <c r="H315" s="270">
        <f t="shared" si="21"/>
        <v>2852.6969413729234</v>
      </c>
      <c r="I315" s="270">
        <f t="shared" si="22"/>
        <v>3029.5919779189521</v>
      </c>
      <c r="J315" s="270">
        <f t="shared" si="23"/>
        <v>3202.4074753195873</v>
      </c>
      <c r="K315" s="270">
        <f t="shared" si="24"/>
        <v>3371.5526877882703</v>
      </c>
      <c r="L315" s="270">
        <f t="shared" si="25"/>
        <v>3537.3692938022782</v>
      </c>
      <c r="M315" s="270">
        <f t="shared" si="26"/>
        <v>3700.1463320108041</v>
      </c>
      <c r="N315" s="270">
        <f t="shared" si="27"/>
        <v>3860.1311064305751</v>
      </c>
      <c r="O315" s="270">
        <f t="shared" si="28"/>
        <v>4017.5373223044321</v>
      </c>
      <c r="P315" s="270">
        <f t="shared" si="29"/>
        <v>4172.551270972278</v>
      </c>
      <c r="Q315" s="290">
        <f t="shared" si="30"/>
        <v>4325.3366098556244</v>
      </c>
      <c r="R315" s="265">
        <v>150</v>
      </c>
      <c r="S315" s="265"/>
      <c r="T315" s="265"/>
      <c r="U315" s="265"/>
      <c r="V315" s="265"/>
      <c r="W315" s="265"/>
    </row>
    <row r="316" spans="1:23" x14ac:dyDescent="0.2">
      <c r="A316" s="270">
        <v>4</v>
      </c>
      <c r="B316" s="289">
        <v>200</v>
      </c>
      <c r="C316" s="270">
        <f t="shared" si="16"/>
        <v>2026.9694956495314</v>
      </c>
      <c r="D316" s="270">
        <f t="shared" si="17"/>
        <v>2242.9881519112737</v>
      </c>
      <c r="E316" s="270">
        <f t="shared" si="18"/>
        <v>2449.9370319519335</v>
      </c>
      <c r="F316" s="270">
        <f t="shared" si="19"/>
        <v>2649.3258870124373</v>
      </c>
      <c r="G316" s="270">
        <f t="shared" si="20"/>
        <v>2842.2718127718035</v>
      </c>
      <c r="H316" s="270">
        <f t="shared" si="21"/>
        <v>3029.630619113962</v>
      </c>
      <c r="I316" s="270">
        <f t="shared" si="22"/>
        <v>3212.0762518664096</v>
      </c>
      <c r="J316" s="270">
        <f t="shared" si="23"/>
        <v>3390.1514429599274</v>
      </c>
      <c r="K316" s="270">
        <f t="shared" si="24"/>
        <v>3564.3014306872801</v>
      </c>
      <c r="L316" s="270">
        <f t="shared" si="25"/>
        <v>3734.8972174440842</v>
      </c>
      <c r="M316" s="270">
        <f t="shared" si="26"/>
        <v>3902.2520940588452</v>
      </c>
      <c r="N316" s="270">
        <f t="shared" si="27"/>
        <v>4066.6336801021425</v>
      </c>
      <c r="O316" s="270">
        <f t="shared" si="28"/>
        <v>4228.2728897229754</v>
      </c>
      <c r="P316" s="270">
        <f t="shared" si="29"/>
        <v>4387.3707356239365</v>
      </c>
      <c r="Q316" s="290">
        <f t="shared" si="30"/>
        <v>4544.1035790295755</v>
      </c>
      <c r="R316" s="265">
        <v>200</v>
      </c>
      <c r="S316" s="265"/>
      <c r="T316" s="265"/>
      <c r="U316" s="265"/>
      <c r="V316" s="265"/>
      <c r="W316" s="265"/>
    </row>
    <row r="317" spans="1:23" x14ac:dyDescent="0.2">
      <c r="A317" s="270">
        <v>5</v>
      </c>
      <c r="B317" s="289">
        <v>250</v>
      </c>
      <c r="C317" s="270">
        <f t="shared" si="16"/>
        <v>2177.0356948273584</v>
      </c>
      <c r="D317" s="270">
        <f t="shared" si="17"/>
        <v>2401.4953515589918</v>
      </c>
      <c r="E317" s="270">
        <f t="shared" si="18"/>
        <v>2616.1389894489416</v>
      </c>
      <c r="F317" s="270">
        <f t="shared" si="19"/>
        <v>2822.6245770858022</v>
      </c>
      <c r="G317" s="270">
        <f t="shared" si="20"/>
        <v>3022.1751373675452</v>
      </c>
      <c r="H317" s="270">
        <f t="shared" si="21"/>
        <v>3215.7251424969522</v>
      </c>
      <c r="I317" s="270">
        <f t="shared" si="22"/>
        <v>3404.008756851958</v>
      </c>
      <c r="J317" s="270">
        <f t="shared" si="23"/>
        <v>3587.6159653850818</v>
      </c>
      <c r="K317" s="270">
        <f t="shared" si="24"/>
        <v>3767.0298535653742</v>
      </c>
      <c r="L317" s="270">
        <f t="shared" si="25"/>
        <v>3942.6522659699731</v>
      </c>
      <c r="M317" s="270">
        <f t="shared" si="26"/>
        <v>4114.8220012776028</v>
      </c>
      <c r="N317" s="270">
        <f t="shared" si="27"/>
        <v>4283.8280464624913</v>
      </c>
      <c r="O317" s="270">
        <f t="shared" si="28"/>
        <v>4449.9194155810746</v>
      </c>
      <c r="P317" s="270">
        <f t="shared" si="29"/>
        <v>4613.312604905881</v>
      </c>
      <c r="Q317" s="290">
        <f t="shared" si="30"/>
        <v>4774.1973372114007</v>
      </c>
      <c r="R317" s="265">
        <v>250</v>
      </c>
      <c r="S317" s="265"/>
      <c r="T317" s="265"/>
      <c r="U317" s="265"/>
      <c r="V317" s="265"/>
      <c r="W317" s="265"/>
    </row>
    <row r="318" spans="1:23" x14ac:dyDescent="0.2">
      <c r="A318" s="270">
        <v>6</v>
      </c>
      <c r="B318" s="289">
        <v>300</v>
      </c>
      <c r="C318" s="270">
        <f t="shared" si="16"/>
        <v>2333.2642598566258</v>
      </c>
      <c r="D318" s="270">
        <f t="shared" si="17"/>
        <v>2566.5115409703471</v>
      </c>
      <c r="E318" s="270">
        <f t="shared" si="18"/>
        <v>2789.1659166788627</v>
      </c>
      <c r="F318" s="270">
        <f t="shared" si="19"/>
        <v>3003.0396593624632</v>
      </c>
      <c r="G318" s="270">
        <f t="shared" si="20"/>
        <v>3209.4660689668831</v>
      </c>
      <c r="H318" s="270">
        <f t="shared" si="21"/>
        <v>3409.4615102280914</v>
      </c>
      <c r="I318" s="270">
        <f t="shared" si="22"/>
        <v>3603.8228389080537</v>
      </c>
      <c r="J318" s="270">
        <f t="shared" si="23"/>
        <v>3793.1892333940555</v>
      </c>
      <c r="K318" s="270">
        <f t="shared" si="24"/>
        <v>3978.0831804998434</v>
      </c>
      <c r="L318" s="270">
        <f t="shared" si="25"/>
        <v>4158.9386334971723</v>
      </c>
      <c r="M318" s="270">
        <f t="shared" si="26"/>
        <v>4336.1209463774112</v>
      </c>
      <c r="N318" s="270">
        <f t="shared" si="27"/>
        <v>4509.9413509562582</v>
      </c>
      <c r="O318" s="270">
        <f t="shared" si="28"/>
        <v>4680.6677044579046</v>
      </c>
      <c r="P318" s="270">
        <f t="shared" si="29"/>
        <v>4848.532622547028</v>
      </c>
      <c r="Q318" s="290">
        <f t="shared" si="30"/>
        <v>5013.7397382309709</v>
      </c>
      <c r="R318" s="265">
        <v>300</v>
      </c>
      <c r="S318" s="265"/>
      <c r="T318" s="265"/>
      <c r="U318" s="265"/>
      <c r="V318" s="265"/>
      <c r="W318" s="265"/>
    </row>
    <row r="319" spans="1:23" x14ac:dyDescent="0.2">
      <c r="A319" s="270">
        <v>7</v>
      </c>
      <c r="B319" s="289">
        <v>350</v>
      </c>
      <c r="C319" s="270">
        <f t="shared" si="16"/>
        <v>2494.8108756543552</v>
      </c>
      <c r="D319" s="270">
        <f t="shared" si="17"/>
        <v>2737.1449135949219</v>
      </c>
      <c r="E319" s="270">
        <f t="shared" si="18"/>
        <v>2968.0827141968939</v>
      </c>
      <c r="F319" s="270">
        <f t="shared" si="19"/>
        <v>3189.5961061633629</v>
      </c>
      <c r="G319" s="270">
        <f t="shared" si="20"/>
        <v>3403.1324203400072</v>
      </c>
      <c r="H319" s="270">
        <f t="shared" si="21"/>
        <v>3609.792701633753</v>
      </c>
      <c r="I319" s="270">
        <f t="shared" si="22"/>
        <v>3810.4386312175138</v>
      </c>
      <c r="J319" s="270">
        <f t="shared" si="23"/>
        <v>4005.7602554674395</v>
      </c>
      <c r="K319" s="270">
        <f t="shared" si="24"/>
        <v>4196.320803771413</v>
      </c>
      <c r="L319" s="270">
        <f t="shared" si="25"/>
        <v>4382.5874310820273</v>
      </c>
      <c r="M319" s="270">
        <f t="shared" si="26"/>
        <v>4564.9529506513045</v>
      </c>
      <c r="N319" s="270">
        <f t="shared" si="27"/>
        <v>4743.7515963551477</v>
      </c>
      <c r="O319" s="270">
        <f t="shared" si="28"/>
        <v>4919.2707100106063</v>
      </c>
      <c r="P319" s="270">
        <f t="shared" si="29"/>
        <v>5091.7595753817486</v>
      </c>
      <c r="Q319" s="290">
        <f t="shared" si="30"/>
        <v>5261.4362092158062</v>
      </c>
      <c r="R319" s="265">
        <v>350</v>
      </c>
      <c r="S319" s="265"/>
      <c r="T319" s="265"/>
      <c r="U319" s="265"/>
      <c r="V319" s="265"/>
      <c r="W319" s="265"/>
    </row>
    <row r="320" spans="1:23" x14ac:dyDescent="0.2">
      <c r="A320" s="270">
        <v>8</v>
      </c>
      <c r="B320" s="289">
        <v>400</v>
      </c>
      <c r="C320" s="270">
        <f t="shared" si="16"/>
        <v>2661.0543278054915</v>
      </c>
      <c r="D320" s="270">
        <f t="shared" si="17"/>
        <v>2912.7393126309134</v>
      </c>
      <c r="E320" s="270">
        <f t="shared" si="18"/>
        <v>3152.2013719623083</v>
      </c>
      <c r="F320" s="270">
        <f t="shared" si="19"/>
        <v>3381.5765297957805</v>
      </c>
      <c r="G320" s="270">
        <f t="shared" si="20"/>
        <v>3602.4294632325377</v>
      </c>
      <c r="H320" s="270">
        <f t="shared" si="21"/>
        <v>3815.9483593575051</v>
      </c>
      <c r="I320" s="270">
        <f t="shared" si="22"/>
        <v>4023.0616095006008</v>
      </c>
      <c r="J320" s="270">
        <f t="shared" si="23"/>
        <v>4224.5116069722053</v>
      </c>
      <c r="K320" s="270">
        <f t="shared" si="24"/>
        <v>4420.9035082915207</v>
      </c>
      <c r="L320" s="270">
        <f t="shared" si="25"/>
        <v>4612.7386354038172</v>
      </c>
      <c r="M320" s="270">
        <f t="shared" si="26"/>
        <v>4800.4380591774252</v>
      </c>
      <c r="N320" s="270">
        <f t="shared" si="27"/>
        <v>4984.3596843146242</v>
      </c>
      <c r="O320" s="270">
        <f t="shared" si="28"/>
        <v>5164.8109037240001</v>
      </c>
      <c r="P320" s="270">
        <f t="shared" si="29"/>
        <v>5342.0581538804363</v>
      </c>
      <c r="Q320" s="290">
        <f t="shared" si="30"/>
        <v>5516.3342534665808</v>
      </c>
      <c r="R320" s="265">
        <v>400</v>
      </c>
      <c r="S320" s="265"/>
      <c r="T320" s="265"/>
      <c r="U320" s="265"/>
      <c r="V320" s="265"/>
      <c r="W320" s="265"/>
    </row>
    <row r="321" spans="1:23" x14ac:dyDescent="0.2">
      <c r="A321" s="270">
        <v>9</v>
      </c>
      <c r="B321" s="289">
        <v>450</v>
      </c>
      <c r="C321" s="270">
        <f t="shared" si="16"/>
        <v>2831.5162980290002</v>
      </c>
      <c r="D321" s="270">
        <f t="shared" si="17"/>
        <v>3092.7895151055109</v>
      </c>
      <c r="E321" s="270">
        <f t="shared" si="18"/>
        <v>3340.9921408707141</v>
      </c>
      <c r="F321" s="270">
        <f t="shared" si="19"/>
        <v>3578.4285611586406</v>
      </c>
      <c r="G321" s="270">
        <f t="shared" si="20"/>
        <v>3806.7837770511323</v>
      </c>
      <c r="H321" s="270">
        <f t="shared" si="21"/>
        <v>4027.3353290913019</v>
      </c>
      <c r="I321" s="270">
        <f t="shared" si="22"/>
        <v>4241.0800115726115</v>
      </c>
      <c r="J321" s="270">
        <f t="shared" si="23"/>
        <v>4448.8138930716159</v>
      </c>
      <c r="K321" s="270">
        <f t="shared" si="24"/>
        <v>4651.1851211626126</v>
      </c>
      <c r="L321" s="270">
        <f t="shared" si="25"/>
        <v>4848.7300517895819</v>
      </c>
      <c r="M321" s="270">
        <f t="shared" si="26"/>
        <v>5041.8987304895536</v>
      </c>
      <c r="N321" s="270">
        <f t="shared" si="27"/>
        <v>5231.0733334512925</v>
      </c>
      <c r="O321" s="270">
        <f t="shared" si="28"/>
        <v>5416.5818134822703</v>
      </c>
      <c r="P321" s="270">
        <f t="shared" si="29"/>
        <v>5598.708195027566</v>
      </c>
      <c r="Q321" s="290">
        <f t="shared" si="30"/>
        <v>5777.7004743124071</v>
      </c>
      <c r="R321" s="265">
        <v>450</v>
      </c>
      <c r="S321" s="265"/>
      <c r="T321" s="265"/>
      <c r="U321" s="265"/>
      <c r="V321" s="265"/>
      <c r="W321" s="265"/>
    </row>
    <row r="322" spans="1:23" x14ac:dyDescent="0.2">
      <c r="A322" s="270">
        <v>10</v>
      </c>
      <c r="B322" s="289">
        <v>500</v>
      </c>
      <c r="C322" s="270">
        <f t="shared" si="16"/>
        <v>3005.8159200779464</v>
      </c>
      <c r="D322" s="270">
        <f t="shared" si="17"/>
        <v>3276.893231611954</v>
      </c>
      <c r="E322" s="270">
        <f t="shared" si="18"/>
        <v>3534.0332023105098</v>
      </c>
      <c r="F322" s="270">
        <f t="shared" si="19"/>
        <v>3779.7123702166109</v>
      </c>
      <c r="G322" s="270">
        <f t="shared" si="20"/>
        <v>4015.7387692757884</v>
      </c>
      <c r="H322" s="270">
        <f t="shared" si="21"/>
        <v>4243.4813051255005</v>
      </c>
      <c r="I322" s="270">
        <f t="shared" si="22"/>
        <v>4464.0067149953202</v>
      </c>
      <c r="J322" s="270">
        <f t="shared" si="23"/>
        <v>4678.1659511323069</v>
      </c>
      <c r="K322" s="270">
        <f t="shared" si="24"/>
        <v>4886.6511200339419</v>
      </c>
      <c r="L322" s="270">
        <f t="shared" si="25"/>
        <v>5090.0344003718537</v>
      </c>
      <c r="M322" s="270">
        <f t="shared" si="26"/>
        <v>5288.7954646655435</v>
      </c>
      <c r="N322" s="270">
        <f t="shared" si="27"/>
        <v>5483.3413070201377</v>
      </c>
      <c r="O322" s="270">
        <f t="shared" si="28"/>
        <v>5674.0209030120122</v>
      </c>
      <c r="P322" s="270">
        <f t="shared" si="29"/>
        <v>5861.1362610186861</v>
      </c>
      <c r="Q322" s="290">
        <f t="shared" si="30"/>
        <v>6044.9508965036794</v>
      </c>
      <c r="R322" s="265">
        <v>500</v>
      </c>
      <c r="S322" s="265"/>
      <c r="T322" s="265"/>
      <c r="U322" s="265"/>
      <c r="V322" s="265"/>
      <c r="W322" s="265"/>
    </row>
    <row r="323" spans="1:23" x14ac:dyDescent="0.2">
      <c r="A323" s="270">
        <v>11</v>
      </c>
      <c r="B323" s="289">
        <v>550</v>
      </c>
      <c r="C323" s="270">
        <f t="shared" si="16"/>
        <v>3183.6419823034284</v>
      </c>
      <c r="D323" s="270">
        <f t="shared" si="17"/>
        <v>3464.7217453090379</v>
      </c>
      <c r="E323" s="270">
        <f t="shared" si="18"/>
        <v>3730.9798818278423</v>
      </c>
      <c r="F323" s="270">
        <f t="shared" si="19"/>
        <v>3985.0685651053914</v>
      </c>
      <c r="G323" s="270">
        <f t="shared" si="20"/>
        <v>4228.9213511590242</v>
      </c>
      <c r="H323" s="270">
        <f t="shared" si="21"/>
        <v>4464.0003592244893</v>
      </c>
      <c r="I323" s="270">
        <f t="shared" si="22"/>
        <v>4691.4436845570526</v>
      </c>
      <c r="J323" s="270">
        <f t="shared" si="23"/>
        <v>4912.1582734839267</v>
      </c>
      <c r="K323" s="270">
        <f t="shared" si="24"/>
        <v>5126.8810808052813</v>
      </c>
      <c r="L323" s="270">
        <f t="shared" si="25"/>
        <v>5336.2208326879272</v>
      </c>
      <c r="M323" s="270">
        <f t="shared" si="26"/>
        <v>5540.6874280486782</v>
      </c>
      <c r="N323" s="270">
        <f t="shared" si="27"/>
        <v>5740.7131810265664</v>
      </c>
      <c r="O323" s="270">
        <f t="shared" si="28"/>
        <v>5936.6685153007611</v>
      </c>
      <c r="P323" s="270">
        <f t="shared" si="29"/>
        <v>6128.8737870331979</v>
      </c>
      <c r="Q323" s="290">
        <f t="shared" si="30"/>
        <v>6317.6083449118332</v>
      </c>
      <c r="R323" s="265">
        <v>550</v>
      </c>
      <c r="S323" s="265"/>
      <c r="T323" s="265"/>
      <c r="U323" s="265"/>
      <c r="V323" s="265"/>
      <c r="W323" s="265"/>
    </row>
    <row r="324" spans="1:23" x14ac:dyDescent="0.2">
      <c r="A324" s="270">
        <v>12</v>
      </c>
      <c r="B324" s="289">
        <v>600</v>
      </c>
      <c r="C324" s="270">
        <f t="shared" si="16"/>
        <v>3364.7349113832797</v>
      </c>
      <c r="D324" s="270">
        <f t="shared" si="17"/>
        <v>3656.0008822613609</v>
      </c>
      <c r="E324" s="270">
        <f t="shared" si="18"/>
        <v>3931.5446956689152</v>
      </c>
      <c r="F324" s="270">
        <f t="shared" si="19"/>
        <v>4194.1973866723201</v>
      </c>
      <c r="G324" s="270">
        <f t="shared" si="20"/>
        <v>4446.0203393438323</v>
      </c>
      <c r="H324" s="270">
        <f t="shared" si="21"/>
        <v>4688.5705989572225</v>
      </c>
      <c r="I324" s="270">
        <f t="shared" si="22"/>
        <v>4923.0589297214783</v>
      </c>
      <c r="J324" s="270">
        <f t="shared" si="23"/>
        <v>5150.4493007188521</v>
      </c>
      <c r="K324" s="270">
        <f t="shared" si="24"/>
        <v>5371.5243389664929</v>
      </c>
      <c r="L324" s="270">
        <f t="shared" si="25"/>
        <v>5586.9299895454096</v>
      </c>
      <c r="M324" s="270">
        <f t="shared" si="26"/>
        <v>5797.206933063002</v>
      </c>
      <c r="N324" s="270">
        <f t="shared" si="27"/>
        <v>6002.8132688500036</v>
      </c>
      <c r="O324" s="270">
        <f t="shared" si="28"/>
        <v>6204.1412627144036</v>
      </c>
      <c r="P324" s="270">
        <f t="shared" si="29"/>
        <v>6401.5299556722057</v>
      </c>
      <c r="Q324" s="290">
        <f t="shared" si="30"/>
        <v>6595.2748205101207</v>
      </c>
      <c r="R324" s="265">
        <v>600</v>
      </c>
      <c r="S324" s="265"/>
      <c r="T324" s="265"/>
      <c r="U324" s="265"/>
      <c r="V324" s="265"/>
      <c r="W324" s="265"/>
    </row>
    <row r="325" spans="1:23" x14ac:dyDescent="0.2">
      <c r="A325" s="270">
        <v>13</v>
      </c>
      <c r="B325" s="289">
        <v>650</v>
      </c>
      <c r="C325" s="270">
        <f t="shared" si="16"/>
        <v>3548.8745530213509</v>
      </c>
      <c r="D325" s="270">
        <f t="shared" si="17"/>
        <v>3850.4981048211057</v>
      </c>
      <c r="E325" s="270">
        <f t="shared" si="18"/>
        <v>4135.4838176078874</v>
      </c>
      <c r="F325" s="270">
        <f t="shared" si="19"/>
        <v>4406.844597445227</v>
      </c>
      <c r="G325" s="270">
        <f t="shared" si="20"/>
        <v>4666.7718070431083</v>
      </c>
      <c r="H325" s="270">
        <f t="shared" si="21"/>
        <v>4916.919014751672</v>
      </c>
      <c r="I325" s="270">
        <f t="shared" si="22"/>
        <v>5158.5708763181647</v>
      </c>
      <c r="J325" s="270">
        <f t="shared" si="23"/>
        <v>5392.7493429323113</v>
      </c>
      <c r="K325" s="270">
        <f t="shared" si="24"/>
        <v>5620.2834822189125</v>
      </c>
      <c r="L325" s="270">
        <f t="shared" si="25"/>
        <v>5841.8570843452471</v>
      </c>
      <c r="M325" s="270">
        <f t="shared" si="26"/>
        <v>6058.0421294813268</v>
      </c>
      <c r="N325" s="270">
        <f t="shared" si="27"/>
        <v>6269.322935960382</v>
      </c>
      <c r="O325" s="270">
        <f t="shared" si="28"/>
        <v>6476.1139791918149</v>
      </c>
      <c r="P325" s="270">
        <f t="shared" si="29"/>
        <v>6678.7732994002063</v>
      </c>
      <c r="Q325" s="290">
        <f t="shared" si="30"/>
        <v>6877.612764743325</v>
      </c>
      <c r="R325" s="265">
        <v>650</v>
      </c>
      <c r="S325" s="265"/>
      <c r="T325" s="265"/>
      <c r="U325" s="265"/>
      <c r="V325" s="265"/>
      <c r="W325" s="265"/>
    </row>
    <row r="326" spans="1:23" x14ac:dyDescent="0.2">
      <c r="A326" s="270">
        <v>14</v>
      </c>
      <c r="B326" s="289">
        <v>700</v>
      </c>
      <c r="C326" s="270">
        <f t="shared" si="16"/>
        <v>3735.8715750276601</v>
      </c>
      <c r="D326" s="270">
        <f t="shared" si="17"/>
        <v>4048.0134311442516</v>
      </c>
      <c r="E326" s="270">
        <f t="shared" si="18"/>
        <v>4342.5875576495137</v>
      </c>
      <c r="F326" s="270">
        <f t="shared" si="19"/>
        <v>4622.7915537808922</v>
      </c>
      <c r="G326" s="270">
        <f t="shared" si="20"/>
        <v>4890.9487778250041</v>
      </c>
      <c r="H326" s="270">
        <f t="shared" si="21"/>
        <v>5148.8108190017811</v>
      </c>
      <c r="I326" s="270">
        <f t="shared" si="22"/>
        <v>5397.7373712060526</v>
      </c>
      <c r="J326" s="270">
        <f t="shared" si="23"/>
        <v>5638.8092674703203</v>
      </c>
      <c r="K326" s="270">
        <f t="shared" si="24"/>
        <v>5872.9027366675227</v>
      </c>
      <c r="L326" s="270">
        <f t="shared" si="25"/>
        <v>6100.7400013109846</v>
      </c>
      <c r="M326" s="270">
        <f t="shared" si="26"/>
        <v>6322.9248268231959</v>
      </c>
      <c r="N326" s="270">
        <f t="shared" si="27"/>
        <v>6539.9681573923208</v>
      </c>
      <c r="O326" s="270">
        <f t="shared" si="28"/>
        <v>6752.3070226658774</v>
      </c>
      <c r="P326" s="270">
        <f t="shared" si="29"/>
        <v>6960.3187568965732</v>
      </c>
      <c r="Q326" s="290">
        <f t="shared" si="30"/>
        <v>7164.3318780278232</v>
      </c>
      <c r="R326" s="265">
        <v>700</v>
      </c>
      <c r="S326" s="265"/>
      <c r="T326" s="265"/>
      <c r="U326" s="265"/>
      <c r="V326" s="265"/>
      <c r="W326" s="265"/>
    </row>
    <row r="327" spans="1:23" x14ac:dyDescent="0.2">
      <c r="A327" s="270">
        <v>15</v>
      </c>
      <c r="B327" s="289">
        <v>750</v>
      </c>
      <c r="C327" s="270">
        <f t="shared" si="16"/>
        <v>3925.5612333022527</v>
      </c>
      <c r="D327" s="270">
        <f t="shared" si="17"/>
        <v>4248.3728505202898</v>
      </c>
      <c r="E327" s="270">
        <f t="shared" si="18"/>
        <v>4552.6734577049747</v>
      </c>
      <c r="F327" s="270">
        <f t="shared" si="19"/>
        <v>4841.8480067300143</v>
      </c>
      <c r="G327" s="270">
        <f t="shared" si="20"/>
        <v>5118.3537521096569</v>
      </c>
      <c r="H327" s="270">
        <f t="shared" si="21"/>
        <v>5384.0417153708049</v>
      </c>
      <c r="I327" s="270">
        <f t="shared" si="22"/>
        <v>5640.3477090566994</v>
      </c>
      <c r="J327" s="270">
        <f t="shared" si="23"/>
        <v>5888.4122959031074</v>
      </c>
      <c r="K327" s="270">
        <f t="shared" si="24"/>
        <v>6129.159545122594</v>
      </c>
      <c r="L327" s="270">
        <f t="shared" si="25"/>
        <v>6363.35066497548</v>
      </c>
      <c r="M327" s="270">
        <f t="shared" si="26"/>
        <v>6591.6216638238202</v>
      </c>
      <c r="N327" s="270">
        <f t="shared" si="27"/>
        <v>6814.5104951058283</v>
      </c>
      <c r="O327" s="270">
        <f t="shared" si="28"/>
        <v>7032.4770674735801</v>
      </c>
      <c r="P327" s="270">
        <f t="shared" si="29"/>
        <v>7245.9182870294544</v>
      </c>
      <c r="Q327" s="290">
        <f t="shared" si="30"/>
        <v>7455.1795612486567</v>
      </c>
      <c r="R327" s="265">
        <v>750</v>
      </c>
      <c r="S327" s="265"/>
      <c r="T327" s="265"/>
      <c r="U327" s="265"/>
      <c r="V327" s="265"/>
      <c r="W327" s="265"/>
    </row>
    <row r="328" spans="1:23" x14ac:dyDescent="0.2">
      <c r="A328" s="270">
        <v>16</v>
      </c>
      <c r="B328" s="289">
        <v>800</v>
      </c>
      <c r="C328" s="270">
        <f t="shared" si="16"/>
        <v>4117.7987350577359</v>
      </c>
      <c r="D328" s="270">
        <f t="shared" si="17"/>
        <v>4451.423425782923</v>
      </c>
      <c r="E328" s="270">
        <f t="shared" si="18"/>
        <v>4765.5811562483022</v>
      </c>
      <c r="F328" s="270">
        <f t="shared" si="19"/>
        <v>5063.8467474172749</v>
      </c>
      <c r="G328" s="270">
        <f t="shared" si="20"/>
        <v>5348.8131484778487</v>
      </c>
      <c r="H328" s="270">
        <f t="shared" si="21"/>
        <v>5622.4321488029937</v>
      </c>
      <c r="I328" s="270">
        <f t="shared" si="22"/>
        <v>5886.2167019827557</v>
      </c>
      <c r="J328" s="270">
        <f t="shared" si="23"/>
        <v>6141.367902724126</v>
      </c>
      <c r="K328" s="270">
        <f t="shared" si="24"/>
        <v>6388.85830315359</v>
      </c>
      <c r="L328" s="270">
        <f t="shared" si="25"/>
        <v>6629.488620921039</v>
      </c>
      <c r="M328" s="270">
        <f t="shared" si="26"/>
        <v>6863.9275404036989</v>
      </c>
      <c r="N328" s="270">
        <f t="shared" si="27"/>
        <v>7092.7403870683856</v>
      </c>
      <c r="O328" s="270">
        <f t="shared" si="28"/>
        <v>7316.4102558743334</v>
      </c>
      <c r="P328" s="270">
        <f t="shared" si="29"/>
        <v>7535.3538876556504</v>
      </c>
      <c r="Q328" s="290">
        <f t="shared" si="30"/>
        <v>7749.9338062734751</v>
      </c>
      <c r="R328" s="265">
        <v>800</v>
      </c>
      <c r="S328" s="265"/>
      <c r="T328" s="265"/>
      <c r="U328" s="265"/>
      <c r="V328" s="265"/>
      <c r="W328" s="265"/>
    </row>
    <row r="329" spans="1:23" x14ac:dyDescent="0.2">
      <c r="A329" s="270">
        <v>17</v>
      </c>
      <c r="B329" s="289">
        <v>850</v>
      </c>
      <c r="C329" s="270">
        <f t="shared" si="16"/>
        <v>4312.4557146524348</v>
      </c>
      <c r="D329" s="270">
        <f t="shared" si="17"/>
        <v>4657.0295709140892</v>
      </c>
      <c r="E329" s="270">
        <f t="shared" si="18"/>
        <v>4981.1684852160797</v>
      </c>
      <c r="F329" s="270">
        <f t="shared" si="19"/>
        <v>5288.6395372807992</v>
      </c>
      <c r="G329" s="270">
        <f t="shared" si="20"/>
        <v>5582.1730788066898</v>
      </c>
      <c r="H329" s="270">
        <f t="shared" si="21"/>
        <v>5863.822935264654</v>
      </c>
      <c r="I329" s="270">
        <f t="shared" si="22"/>
        <v>6135.1801721793909</v>
      </c>
      <c r="J329" s="270">
        <f t="shared" si="23"/>
        <v>6397.5071780771459</v>
      </c>
      <c r="K329" s="270">
        <f t="shared" si="24"/>
        <v>6651.8255981983848</v>
      </c>
      <c r="L329" s="270">
        <f t="shared" si="25"/>
        <v>6898.9761568429522</v>
      </c>
      <c r="M329" s="270">
        <f t="shared" si="26"/>
        <v>7139.6606256595996</v>
      </c>
      <c r="N329" s="270">
        <f t="shared" si="27"/>
        <v>7374.4720466447734</v>
      </c>
      <c r="O329" s="270">
        <f t="shared" si="28"/>
        <v>7603.9169928849087</v>
      </c>
      <c r="P329" s="270">
        <f t="shared" si="29"/>
        <v>7828.4322895833657</v>
      </c>
      <c r="Q329" s="290">
        <f t="shared" si="30"/>
        <v>8048.3977924119681</v>
      </c>
      <c r="R329" s="265">
        <v>850</v>
      </c>
      <c r="S329" s="265"/>
      <c r="T329" s="265"/>
      <c r="U329" s="265"/>
      <c r="V329" s="265"/>
      <c r="W329" s="265"/>
    </row>
    <row r="330" spans="1:23" x14ac:dyDescent="0.2">
      <c r="A330" s="270">
        <v>18</v>
      </c>
      <c r="B330" s="289">
        <v>900</v>
      </c>
      <c r="C330" s="270">
        <f t="shared" si="16"/>
        <v>4509.4175046283326</v>
      </c>
      <c r="D330" s="270">
        <f t="shared" si="17"/>
        <v>4865.0701685818294</v>
      </c>
      <c r="E330" s="270">
        <f t="shared" si="18"/>
        <v>5199.3084476157237</v>
      </c>
      <c r="F330" s="270">
        <f t="shared" si="19"/>
        <v>5516.0939566259603</v>
      </c>
      <c r="G330" s="270">
        <f t="shared" si="20"/>
        <v>5818.2960767177838</v>
      </c>
      <c r="H330" s="270">
        <f t="shared" si="21"/>
        <v>6108.0718776050353</v>
      </c>
      <c r="I330" s="270">
        <f t="shared" si="22"/>
        <v>6387.0914616211567</v>
      </c>
      <c r="J330" s="270">
        <f t="shared" si="23"/>
        <v>6656.6792368530605</v>
      </c>
      <c r="K330" s="270">
        <f t="shared" si="24"/>
        <v>6917.906522935763</v>
      </c>
      <c r="L330" s="270">
        <f t="shared" si="25"/>
        <v>7171.6545245125353</v>
      </c>
      <c r="M330" s="270">
        <f t="shared" si="26"/>
        <v>7418.6584922691436</v>
      </c>
      <c r="N330" s="270">
        <f t="shared" si="27"/>
        <v>7659.539512905596</v>
      </c>
      <c r="O330" s="270">
        <f t="shared" si="28"/>
        <v>7894.8279156252001</v>
      </c>
      <c r="P330" s="270">
        <f t="shared" si="29"/>
        <v>8124.9808478069099</v>
      </c>
      <c r="Q330" s="290">
        <f t="shared" si="30"/>
        <v>8350.3957021482584</v>
      </c>
      <c r="R330" s="265">
        <v>900</v>
      </c>
      <c r="S330" s="265"/>
      <c r="T330" s="265"/>
      <c r="U330" s="265"/>
      <c r="V330" s="265"/>
      <c r="W330" s="265"/>
    </row>
    <row r="331" spans="1:23" x14ac:dyDescent="0.2">
      <c r="A331" s="270">
        <v>19</v>
      </c>
      <c r="B331" s="289">
        <v>950</v>
      </c>
      <c r="C331" s="270">
        <f t="shared" si="16"/>
        <v>4708.5809878832442</v>
      </c>
      <c r="D331" s="270">
        <f t="shared" si="17"/>
        <v>5075.4363015003591</v>
      </c>
      <c r="E331" s="270">
        <f t="shared" si="18"/>
        <v>5419.8868387540506</v>
      </c>
      <c r="F331" s="270">
        <f t="shared" si="19"/>
        <v>5746.0909242817152</v>
      </c>
      <c r="G331" s="270">
        <f t="shared" si="20"/>
        <v>6057.0585227044949</v>
      </c>
      <c r="H331" s="270">
        <f t="shared" si="21"/>
        <v>6355.0511020718277</v>
      </c>
      <c r="I331" s="270">
        <f t="shared" si="22"/>
        <v>6641.8186850211778</v>
      </c>
      <c r="J331" s="270">
        <f t="shared" si="23"/>
        <v>6918.748392471899</v>
      </c>
      <c r="K331" s="270">
        <f t="shared" si="24"/>
        <v>7186.961773727654</v>
      </c>
      <c r="L331" s="270">
        <f t="shared" si="25"/>
        <v>7447.3809662755975</v>
      </c>
      <c r="M331" s="270">
        <f t="shared" si="26"/>
        <v>7700.7750740764377</v>
      </c>
      <c r="N331" s="270">
        <f t="shared" si="27"/>
        <v>7947.7935420251779</v>
      </c>
      <c r="O331" s="270">
        <f t="shared" si="28"/>
        <v>8188.9907209944404</v>
      </c>
      <c r="P331" s="270">
        <f t="shared" si="29"/>
        <v>8424.8443077056581</v>
      </c>
      <c r="Q331" s="290">
        <f t="shared" si="30"/>
        <v>8655.7694279157913</v>
      </c>
      <c r="R331" s="265">
        <v>950</v>
      </c>
      <c r="S331" s="265"/>
      <c r="T331" s="265"/>
      <c r="U331" s="265"/>
      <c r="V331" s="265"/>
      <c r="W331" s="265"/>
    </row>
    <row r="332" spans="1:23" ht="15" thickBot="1" x14ac:dyDescent="0.25">
      <c r="A332" s="270">
        <v>20</v>
      </c>
      <c r="B332" s="291">
        <v>1000</v>
      </c>
      <c r="C332" s="292">
        <f t="shared" si="16"/>
        <v>4909.852882876793</v>
      </c>
      <c r="D332" s="292">
        <f t="shared" si="17"/>
        <v>5288.0294411814129</v>
      </c>
      <c r="E332" s="292">
        <f t="shared" si="18"/>
        <v>5642.8003470612739</v>
      </c>
      <c r="F332" s="292">
        <f t="shared" si="19"/>
        <v>5978.5227173308149</v>
      </c>
      <c r="G332" s="292">
        <f t="shared" si="20"/>
        <v>6298.3485883915473</v>
      </c>
      <c r="H332" s="292">
        <f t="shared" si="21"/>
        <v>6604.6449318244622</v>
      </c>
      <c r="I332" s="292">
        <f t="shared" si="22"/>
        <v>6899.2425366343114</v>
      </c>
      <c r="J332" s="292">
        <f t="shared" si="23"/>
        <v>7183.5919004720618</v>
      </c>
      <c r="K332" s="292">
        <f t="shared" si="24"/>
        <v>7458.8653340582214</v>
      </c>
      <c r="L332" s="292">
        <f t="shared" si="25"/>
        <v>7726.0263410527086</v>
      </c>
      <c r="M332" s="292">
        <f t="shared" si="26"/>
        <v>7985.8782370733434</v>
      </c>
      <c r="N332" s="292">
        <f t="shared" si="27"/>
        <v>8239.0991254195342</v>
      </c>
      <c r="O332" s="292">
        <f t="shared" si="28"/>
        <v>8486.2676329346996</v>
      </c>
      <c r="P332" s="292">
        <f t="shared" si="29"/>
        <v>8727.8822232250168</v>
      </c>
      <c r="Q332" s="293">
        <f t="shared" si="30"/>
        <v>8964.3759428350149</v>
      </c>
      <c r="R332" s="265">
        <v>1000</v>
      </c>
      <c r="S332" s="265"/>
      <c r="T332" s="265"/>
      <c r="U332" s="265"/>
      <c r="V332" s="265"/>
      <c r="W332" s="265"/>
    </row>
    <row r="333" spans="1:23" x14ac:dyDescent="0.2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3" x14ac:dyDescent="0.2">
      <c r="A334" s="265">
        <f>MATCH(G334,D341:R341,0)</f>
        <v>4</v>
      </c>
      <c r="B334" s="265">
        <f>A334-2</f>
        <v>2</v>
      </c>
      <c r="C334" s="265"/>
      <c r="D334" s="265"/>
      <c r="E334" s="265" t="s">
        <v>198</v>
      </c>
      <c r="F334" s="265"/>
      <c r="G334" s="265">
        <f>VLOOKUP(Dados!$D$18,Dados!A436:B450,2,0)</f>
        <v>45</v>
      </c>
      <c r="H334" s="265"/>
      <c r="I334" s="265"/>
      <c r="J334" s="265" t="str">
        <f>IFERROR(VLOOKUP(A335,B342:R361,MATCH(A334,D339:R339,1)-B334,0),"")</f>
        <v/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3" x14ac:dyDescent="0.2">
      <c r="A335" s="265">
        <f>S338</f>
        <v>0</v>
      </c>
      <c r="B335" s="265"/>
      <c r="C335" s="265"/>
      <c r="D335" s="265"/>
      <c r="E335" s="265" t="s">
        <v>199</v>
      </c>
      <c r="F335" s="265"/>
      <c r="G335" s="270" t="e">
        <f>Dados!E242</f>
        <v>#N/A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3" x14ac:dyDescent="0.2">
      <c r="A336" s="265">
        <f>MATCH(A334,D339:R339,0)-5</f>
        <v>-1</v>
      </c>
      <c r="B336" s="265"/>
      <c r="C336" s="265"/>
      <c r="D336" s="265"/>
      <c r="E336" s="268" t="s">
        <v>200</v>
      </c>
      <c r="F336" s="268"/>
      <c r="G336" s="269" t="str">
        <f>B338</f>
        <v/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3" x14ac:dyDescent="0.2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3" x14ac:dyDescent="0.2">
      <c r="A338" s="265"/>
      <c r="B338" s="270" t="str">
        <f>IFERROR(VLOOKUP(A335,B342:R361,MATCH(A334,D339:R339,0)-B334,0),"")</f>
        <v/>
      </c>
      <c r="C338" s="265"/>
      <c r="D338" s="265">
        <f>IFERROR(IF($A$334=1,MATCH($G$335,D342:D361,1),0),0)</f>
        <v>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0</v>
      </c>
      <c r="T338" s="265"/>
      <c r="U338" s="265"/>
      <c r="V338" s="265"/>
      <c r="W338" s="265"/>
    </row>
    <row r="339" spans="1:23" x14ac:dyDescent="0.2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3" ht="15" thickBot="1" x14ac:dyDescent="0.25">
      <c r="A340" s="58"/>
      <c r="B340" s="58"/>
      <c r="C340" s="58"/>
      <c r="D340" s="58"/>
      <c r="E340" s="58"/>
      <c r="F340" s="58"/>
      <c r="G340" s="58"/>
      <c r="H340" s="58" t="s">
        <v>191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3" ht="15" thickBot="1" x14ac:dyDescent="0.2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201</v>
      </c>
      <c r="T341" s="265"/>
      <c r="U341" s="265"/>
      <c r="V341" s="265"/>
      <c r="W341" s="265"/>
    </row>
    <row r="342" spans="1:23" x14ac:dyDescent="0.2">
      <c r="A342" s="265"/>
      <c r="B342" s="265">
        <v>1</v>
      </c>
      <c r="C342" s="276">
        <v>50</v>
      </c>
      <c r="D342" s="280">
        <f t="shared" ref="D342:D361" si="31">ROUND((6.25*(1/0.8*(0.2*$D$283^0.75+(30*(C342/1000))+(1.9*((D375*1000)/4750)/1000))))/0.9,0)</f>
        <v>41</v>
      </c>
      <c r="E342" s="281">
        <f t="shared" ref="E342:E361" si="32">ROUND((6.25*(1/0.8*(0.2*$E$283^0.75+(30*(C342/1000))+(1.9*((E375*1000)/4750)/1000))))/0.9,0)</f>
        <v>44</v>
      </c>
      <c r="F342" s="281">
        <f t="shared" ref="F342:F361" si="33">ROUND((6.25*(1/0.8*(0.2*$F$283^0.75+(30*(C342/1000))+(1.9*((F375*1000)/4750)/1000))))/0.9,0)</f>
        <v>48</v>
      </c>
      <c r="G342" s="281">
        <f t="shared" ref="G342:G361" si="34">ROUND((6.25*(1/0.8*(0.2*$G$283^0.75+(30*(C342/1000))+(1.9*((G375*1000)/4750)/1000))))/0.9,0)</f>
        <v>51</v>
      </c>
      <c r="H342" s="281">
        <f t="shared" ref="H342:H361" si="35">ROUND((6.25*(1/0.8*(0.2*$H$283^0.75+(30*(C342/1000))+(1.9*((H375*1000)/4750)/1000))))/0.9,0)</f>
        <v>54</v>
      </c>
      <c r="I342" s="281">
        <f t="shared" ref="I342:I361" si="36">ROUND((6.25*(1/0.8*(0.2*$I$283^0.75+(30*(C342/1000))+(1.9*((I375*1000)/4750)/1000))))/0.9,0)</f>
        <v>57</v>
      </c>
      <c r="J342" s="281">
        <f t="shared" ref="J342:J361" si="37">ROUND((6.25*(1/0.8*(0.2*$J$283^0.75+(30*(C342/1000))+(1.9*((J375*1000)/4750)/1000))))/0.9,0)</f>
        <v>60</v>
      </c>
      <c r="K342" s="281">
        <f t="shared" ref="K342:K361" si="38">ROUND((6.25*(1/0.8*(0.2*$K$283^0.75+(30*(C342/1000))+(1.9*((K375*1000)/4750)/1000))))/0.9,0)</f>
        <v>63</v>
      </c>
      <c r="L342" s="281">
        <f t="shared" ref="L342:L361" si="39">ROUND((6.25*(1/0.8*(0.2*$L$283^0.75+(30*(C342/1000))+(1.9*((L375*1000)/4750)/1000))))/0.9,0)</f>
        <v>66</v>
      </c>
      <c r="M342" s="281">
        <f t="shared" ref="M342:M361" si="40">ROUND((6.25*(1/0.8*(0.2*$M$283^0.75+(30*(C342/1000))+(1.9*((M375*1000)/4750)/1000))))/0.9,0)</f>
        <v>68</v>
      </c>
      <c r="N342" s="281">
        <f t="shared" ref="N342:N361" si="41">ROUND((6.25*(1/0.8*(0.2*$N$283^0.75+(30*(C342/1000))+(1.9*((N375*1000)/4750)/1000))))/0.9,0)</f>
        <v>71</v>
      </c>
      <c r="O342" s="281">
        <f t="shared" ref="O342:O361" si="42">ROUND((6.25*(1/0.8*(0.2*$O$341^0.75+(30*(C342/1000))+(1.9*((O375*1000)/4750)/1000))))/0.9,0)</f>
        <v>74</v>
      </c>
      <c r="P342" s="281">
        <f t="shared" ref="P342:P361" si="43">ROUND((6.25*(1/0.8*(0.2*$P$341^0.75+(30*(C342/1000))+(1.9*((P375*1000)/4750)/1000))))/0.9,0)</f>
        <v>76</v>
      </c>
      <c r="Q342" s="281">
        <f t="shared" ref="Q342:Q361" si="44">ROUND((6.25*(1/0.8*(0.2*$Q$341^0.75+(30*(C342/1000))+(1.9*((Q375*1000)/4750)/1000))))/0.9,0)</f>
        <v>79</v>
      </c>
      <c r="R342" s="282">
        <f t="shared" ref="R342:R361" si="45">ROUND((6.25*(1/0.8*(0.2*$R$341^0.75+(30*(C342/1000))+(1.9*((R375*1000)/4750)/1000))))/0.9,0)</f>
        <v>82</v>
      </c>
      <c r="S342" s="270">
        <f t="shared" ref="S342:S361" si="46">C342</f>
        <v>50</v>
      </c>
      <c r="T342" s="265"/>
      <c r="U342" s="265"/>
      <c r="V342" s="265"/>
      <c r="W342" s="265"/>
    </row>
    <row r="343" spans="1:23" x14ac:dyDescent="0.2">
      <c r="A343" s="265"/>
      <c r="B343" s="265">
        <v>2</v>
      </c>
      <c r="C343" s="276">
        <v>100</v>
      </c>
      <c r="D343" s="280">
        <f t="shared" si="31"/>
        <v>54</v>
      </c>
      <c r="E343" s="281">
        <f t="shared" si="32"/>
        <v>58</v>
      </c>
      <c r="F343" s="281">
        <f t="shared" si="33"/>
        <v>61</v>
      </c>
      <c r="G343" s="281">
        <f t="shared" si="34"/>
        <v>64</v>
      </c>
      <c r="H343" s="281">
        <f t="shared" si="35"/>
        <v>67</v>
      </c>
      <c r="I343" s="281">
        <f t="shared" si="36"/>
        <v>70</v>
      </c>
      <c r="J343" s="281">
        <f t="shared" si="37"/>
        <v>73</v>
      </c>
      <c r="K343" s="281">
        <f t="shared" si="38"/>
        <v>76</v>
      </c>
      <c r="L343" s="281">
        <f t="shared" si="39"/>
        <v>79</v>
      </c>
      <c r="M343" s="281">
        <f t="shared" si="40"/>
        <v>82</v>
      </c>
      <c r="N343" s="281">
        <f t="shared" si="41"/>
        <v>85</v>
      </c>
      <c r="O343" s="281">
        <f t="shared" si="42"/>
        <v>87</v>
      </c>
      <c r="P343" s="281">
        <f t="shared" si="43"/>
        <v>90</v>
      </c>
      <c r="Q343" s="281">
        <f t="shared" si="44"/>
        <v>93</v>
      </c>
      <c r="R343" s="282">
        <f t="shared" si="45"/>
        <v>95</v>
      </c>
      <c r="S343" s="270">
        <f t="shared" si="46"/>
        <v>100</v>
      </c>
      <c r="T343" s="265"/>
      <c r="U343" s="265"/>
      <c r="V343" s="265"/>
      <c r="W343" s="265"/>
    </row>
    <row r="344" spans="1:23" x14ac:dyDescent="0.2">
      <c r="A344" s="265"/>
      <c r="B344" s="265">
        <v>3</v>
      </c>
      <c r="C344" s="276">
        <v>150</v>
      </c>
      <c r="D344" s="280">
        <f t="shared" si="31"/>
        <v>68</v>
      </c>
      <c r="E344" s="281">
        <f t="shared" si="32"/>
        <v>71</v>
      </c>
      <c r="F344" s="281">
        <f t="shared" si="33"/>
        <v>75</v>
      </c>
      <c r="G344" s="281">
        <f t="shared" si="34"/>
        <v>78</v>
      </c>
      <c r="H344" s="281">
        <f t="shared" si="35"/>
        <v>81</v>
      </c>
      <c r="I344" s="281">
        <f t="shared" si="36"/>
        <v>84</v>
      </c>
      <c r="J344" s="281">
        <f t="shared" si="37"/>
        <v>87</v>
      </c>
      <c r="K344" s="281">
        <f t="shared" si="38"/>
        <v>90</v>
      </c>
      <c r="L344" s="281">
        <f t="shared" si="39"/>
        <v>93</v>
      </c>
      <c r="M344" s="281">
        <f t="shared" si="40"/>
        <v>96</v>
      </c>
      <c r="N344" s="281">
        <f t="shared" si="41"/>
        <v>98</v>
      </c>
      <c r="O344" s="281">
        <f t="shared" si="42"/>
        <v>101</v>
      </c>
      <c r="P344" s="281">
        <f t="shared" si="43"/>
        <v>104</v>
      </c>
      <c r="Q344" s="281">
        <f t="shared" si="44"/>
        <v>106</v>
      </c>
      <c r="R344" s="282">
        <f t="shared" si="45"/>
        <v>109</v>
      </c>
      <c r="S344" s="270">
        <f t="shared" si="46"/>
        <v>150</v>
      </c>
      <c r="T344" s="265"/>
      <c r="U344" s="265"/>
      <c r="V344" s="265"/>
      <c r="W344" s="265"/>
    </row>
    <row r="345" spans="1:23" x14ac:dyDescent="0.2">
      <c r="A345" s="265"/>
      <c r="B345" s="265">
        <v>4</v>
      </c>
      <c r="C345" s="276">
        <v>200</v>
      </c>
      <c r="D345" s="280">
        <f t="shared" si="31"/>
        <v>81</v>
      </c>
      <c r="E345" s="281">
        <f t="shared" si="32"/>
        <v>85</v>
      </c>
      <c r="F345" s="281">
        <f t="shared" si="33"/>
        <v>88</v>
      </c>
      <c r="G345" s="281">
        <f t="shared" si="34"/>
        <v>91</v>
      </c>
      <c r="H345" s="281">
        <f t="shared" si="35"/>
        <v>95</v>
      </c>
      <c r="I345" s="281">
        <f t="shared" si="36"/>
        <v>98</v>
      </c>
      <c r="J345" s="281">
        <f t="shared" si="37"/>
        <v>101</v>
      </c>
      <c r="K345" s="281">
        <f t="shared" si="38"/>
        <v>104</v>
      </c>
      <c r="L345" s="281">
        <f t="shared" si="39"/>
        <v>106</v>
      </c>
      <c r="M345" s="281">
        <f t="shared" si="40"/>
        <v>109</v>
      </c>
      <c r="N345" s="281">
        <f t="shared" si="41"/>
        <v>112</v>
      </c>
      <c r="O345" s="281">
        <f t="shared" si="42"/>
        <v>115</v>
      </c>
      <c r="P345" s="281">
        <f t="shared" si="43"/>
        <v>117</v>
      </c>
      <c r="Q345" s="281">
        <f t="shared" si="44"/>
        <v>120</v>
      </c>
      <c r="R345" s="282">
        <f t="shared" si="45"/>
        <v>123</v>
      </c>
      <c r="S345" s="270">
        <f t="shared" si="46"/>
        <v>200</v>
      </c>
      <c r="T345" s="265"/>
      <c r="U345" s="265"/>
      <c r="V345" s="265"/>
      <c r="W345" s="265"/>
    </row>
    <row r="346" spans="1:23" x14ac:dyDescent="0.2">
      <c r="A346" s="265"/>
      <c r="B346" s="265">
        <v>5</v>
      </c>
      <c r="C346" s="276">
        <v>250</v>
      </c>
      <c r="D346" s="280">
        <f t="shared" si="31"/>
        <v>95</v>
      </c>
      <c r="E346" s="281">
        <f t="shared" si="32"/>
        <v>98</v>
      </c>
      <c r="F346" s="281">
        <f t="shared" si="33"/>
        <v>102</v>
      </c>
      <c r="G346" s="281">
        <f t="shared" si="34"/>
        <v>105</v>
      </c>
      <c r="H346" s="281">
        <f t="shared" si="35"/>
        <v>108</v>
      </c>
      <c r="I346" s="281">
        <f t="shared" si="36"/>
        <v>111</v>
      </c>
      <c r="J346" s="281">
        <f t="shared" si="37"/>
        <v>114</v>
      </c>
      <c r="K346" s="281">
        <f t="shared" si="38"/>
        <v>117</v>
      </c>
      <c r="L346" s="281">
        <f t="shared" si="39"/>
        <v>120</v>
      </c>
      <c r="M346" s="281">
        <f t="shared" si="40"/>
        <v>123</v>
      </c>
      <c r="N346" s="281">
        <f t="shared" si="41"/>
        <v>126</v>
      </c>
      <c r="O346" s="281">
        <f t="shared" si="42"/>
        <v>129</v>
      </c>
      <c r="P346" s="281">
        <f t="shared" si="43"/>
        <v>131</v>
      </c>
      <c r="Q346" s="281">
        <f t="shared" si="44"/>
        <v>134</v>
      </c>
      <c r="R346" s="282">
        <f t="shared" si="45"/>
        <v>137</v>
      </c>
      <c r="S346" s="270">
        <f t="shared" si="46"/>
        <v>250</v>
      </c>
      <c r="T346" s="265"/>
      <c r="U346" s="265"/>
      <c r="V346" s="265"/>
      <c r="W346" s="265"/>
    </row>
    <row r="347" spans="1:23" x14ac:dyDescent="0.2">
      <c r="A347" s="265"/>
      <c r="B347" s="265">
        <v>6</v>
      </c>
      <c r="C347" s="276">
        <v>300</v>
      </c>
      <c r="D347" s="280">
        <f t="shared" si="31"/>
        <v>108</v>
      </c>
      <c r="E347" s="281">
        <f t="shared" si="32"/>
        <v>112</v>
      </c>
      <c r="F347" s="281">
        <f t="shared" si="33"/>
        <v>115</v>
      </c>
      <c r="G347" s="281">
        <f t="shared" si="34"/>
        <v>119</v>
      </c>
      <c r="H347" s="281">
        <f t="shared" si="35"/>
        <v>122</v>
      </c>
      <c r="I347" s="281">
        <f t="shared" si="36"/>
        <v>125</v>
      </c>
      <c r="J347" s="281">
        <f t="shared" si="37"/>
        <v>128</v>
      </c>
      <c r="K347" s="281">
        <f t="shared" si="38"/>
        <v>131</v>
      </c>
      <c r="L347" s="281">
        <f t="shared" si="39"/>
        <v>134</v>
      </c>
      <c r="M347" s="281">
        <f t="shared" si="40"/>
        <v>137</v>
      </c>
      <c r="N347" s="281">
        <f t="shared" si="41"/>
        <v>140</v>
      </c>
      <c r="O347" s="281">
        <f t="shared" si="42"/>
        <v>142</v>
      </c>
      <c r="P347" s="281">
        <f t="shared" si="43"/>
        <v>145</v>
      </c>
      <c r="Q347" s="281">
        <f t="shared" si="44"/>
        <v>148</v>
      </c>
      <c r="R347" s="282">
        <f t="shared" si="45"/>
        <v>150</v>
      </c>
      <c r="S347" s="270">
        <f t="shared" si="46"/>
        <v>300</v>
      </c>
      <c r="T347" s="265"/>
      <c r="U347" s="265"/>
      <c r="V347" s="265"/>
      <c r="W347" s="265"/>
    </row>
    <row r="348" spans="1:23" x14ac:dyDescent="0.2">
      <c r="A348" s="265"/>
      <c r="B348" s="265">
        <v>7</v>
      </c>
      <c r="C348" s="276">
        <v>350</v>
      </c>
      <c r="D348" s="280">
        <f t="shared" si="31"/>
        <v>122</v>
      </c>
      <c r="E348" s="281">
        <f t="shared" si="32"/>
        <v>126</v>
      </c>
      <c r="F348" s="281">
        <f t="shared" si="33"/>
        <v>129</v>
      </c>
      <c r="G348" s="281">
        <f t="shared" si="34"/>
        <v>132</v>
      </c>
      <c r="H348" s="281">
        <f t="shared" si="35"/>
        <v>136</v>
      </c>
      <c r="I348" s="281">
        <f t="shared" si="36"/>
        <v>139</v>
      </c>
      <c r="J348" s="281">
        <f t="shared" si="37"/>
        <v>142</v>
      </c>
      <c r="K348" s="281">
        <f t="shared" si="38"/>
        <v>145</v>
      </c>
      <c r="L348" s="281">
        <f t="shared" si="39"/>
        <v>148</v>
      </c>
      <c r="M348" s="281">
        <f t="shared" si="40"/>
        <v>151</v>
      </c>
      <c r="N348" s="281">
        <f t="shared" si="41"/>
        <v>153</v>
      </c>
      <c r="O348" s="281">
        <f t="shared" si="42"/>
        <v>156</v>
      </c>
      <c r="P348" s="281">
        <f t="shared" si="43"/>
        <v>159</v>
      </c>
      <c r="Q348" s="281">
        <f t="shared" si="44"/>
        <v>162</v>
      </c>
      <c r="R348" s="282">
        <f t="shared" si="45"/>
        <v>164</v>
      </c>
      <c r="S348" s="270">
        <f t="shared" si="46"/>
        <v>350</v>
      </c>
      <c r="T348" s="265"/>
      <c r="U348" s="265"/>
      <c r="V348" s="265"/>
      <c r="W348" s="265"/>
    </row>
    <row r="349" spans="1:23" x14ac:dyDescent="0.2">
      <c r="A349" s="265"/>
      <c r="B349" s="265">
        <v>8</v>
      </c>
      <c r="C349" s="276">
        <v>400</v>
      </c>
      <c r="D349" s="280">
        <f t="shared" si="31"/>
        <v>136</v>
      </c>
      <c r="E349" s="281">
        <f t="shared" si="32"/>
        <v>139</v>
      </c>
      <c r="F349" s="281">
        <f t="shared" si="33"/>
        <v>143</v>
      </c>
      <c r="G349" s="281">
        <f t="shared" si="34"/>
        <v>146</v>
      </c>
      <c r="H349" s="281">
        <f t="shared" si="35"/>
        <v>149</v>
      </c>
      <c r="I349" s="281">
        <f t="shared" si="36"/>
        <v>152</v>
      </c>
      <c r="J349" s="281">
        <f t="shared" si="37"/>
        <v>156</v>
      </c>
      <c r="K349" s="281">
        <f t="shared" si="38"/>
        <v>159</v>
      </c>
      <c r="L349" s="281">
        <f t="shared" si="39"/>
        <v>162</v>
      </c>
      <c r="M349" s="281">
        <f t="shared" si="40"/>
        <v>164</v>
      </c>
      <c r="N349" s="281">
        <f t="shared" si="41"/>
        <v>167</v>
      </c>
      <c r="O349" s="281">
        <f t="shared" si="42"/>
        <v>170</v>
      </c>
      <c r="P349" s="281">
        <f t="shared" si="43"/>
        <v>173</v>
      </c>
      <c r="Q349" s="281">
        <f t="shared" si="44"/>
        <v>176</v>
      </c>
      <c r="R349" s="282">
        <f t="shared" si="45"/>
        <v>178</v>
      </c>
      <c r="S349" s="270">
        <f t="shared" si="46"/>
        <v>400</v>
      </c>
      <c r="T349" s="265"/>
      <c r="U349" s="265"/>
      <c r="V349" s="265"/>
      <c r="W349" s="265"/>
    </row>
    <row r="350" spans="1:23" x14ac:dyDescent="0.2">
      <c r="A350" s="265"/>
      <c r="B350" s="265">
        <v>9</v>
      </c>
      <c r="C350" s="276">
        <v>450</v>
      </c>
      <c r="D350" s="280">
        <f t="shared" si="31"/>
        <v>149</v>
      </c>
      <c r="E350" s="281">
        <f t="shared" si="32"/>
        <v>153</v>
      </c>
      <c r="F350" s="281">
        <f t="shared" si="33"/>
        <v>156</v>
      </c>
      <c r="G350" s="281">
        <f t="shared" si="34"/>
        <v>160</v>
      </c>
      <c r="H350" s="281">
        <f t="shared" si="35"/>
        <v>163</v>
      </c>
      <c r="I350" s="281">
        <f t="shared" si="36"/>
        <v>166</v>
      </c>
      <c r="J350" s="281">
        <f t="shared" si="37"/>
        <v>169</v>
      </c>
      <c r="K350" s="281">
        <f t="shared" si="38"/>
        <v>172</v>
      </c>
      <c r="L350" s="281">
        <f t="shared" si="39"/>
        <v>175</v>
      </c>
      <c r="M350" s="281">
        <f t="shared" si="40"/>
        <v>178</v>
      </c>
      <c r="N350" s="281">
        <f t="shared" si="41"/>
        <v>181</v>
      </c>
      <c r="O350" s="281">
        <f t="shared" si="42"/>
        <v>184</v>
      </c>
      <c r="P350" s="281">
        <f t="shared" si="43"/>
        <v>187</v>
      </c>
      <c r="Q350" s="281">
        <f t="shared" si="44"/>
        <v>189</v>
      </c>
      <c r="R350" s="282">
        <f t="shared" si="45"/>
        <v>192</v>
      </c>
      <c r="S350" s="270">
        <f t="shared" si="46"/>
        <v>450</v>
      </c>
      <c r="T350" s="265"/>
      <c r="U350" s="265"/>
      <c r="V350" s="265"/>
      <c r="W350" s="265"/>
    </row>
    <row r="351" spans="1:23" x14ac:dyDescent="0.2">
      <c r="A351" s="265"/>
      <c r="B351" s="265">
        <v>10</v>
      </c>
      <c r="C351" s="276">
        <v>500</v>
      </c>
      <c r="D351" s="280">
        <f t="shared" si="31"/>
        <v>163</v>
      </c>
      <c r="E351" s="281">
        <f t="shared" si="32"/>
        <v>167</v>
      </c>
      <c r="F351" s="281">
        <f t="shared" si="33"/>
        <v>170</v>
      </c>
      <c r="G351" s="281">
        <f t="shared" si="34"/>
        <v>173</v>
      </c>
      <c r="H351" s="281">
        <f t="shared" si="35"/>
        <v>177</v>
      </c>
      <c r="I351" s="281">
        <f t="shared" si="36"/>
        <v>180</v>
      </c>
      <c r="J351" s="281">
        <f t="shared" si="37"/>
        <v>183</v>
      </c>
      <c r="K351" s="281">
        <f t="shared" si="38"/>
        <v>186</v>
      </c>
      <c r="L351" s="281">
        <f t="shared" si="39"/>
        <v>189</v>
      </c>
      <c r="M351" s="281">
        <f t="shared" si="40"/>
        <v>192</v>
      </c>
      <c r="N351" s="281">
        <f t="shared" si="41"/>
        <v>195</v>
      </c>
      <c r="O351" s="281">
        <f t="shared" si="42"/>
        <v>198</v>
      </c>
      <c r="P351" s="281">
        <f t="shared" si="43"/>
        <v>201</v>
      </c>
      <c r="Q351" s="281">
        <f t="shared" si="44"/>
        <v>203</v>
      </c>
      <c r="R351" s="282">
        <f t="shared" si="45"/>
        <v>206</v>
      </c>
      <c r="S351" s="270">
        <f t="shared" si="46"/>
        <v>500</v>
      </c>
      <c r="T351" s="265"/>
      <c r="U351" s="265"/>
      <c r="V351" s="265"/>
      <c r="W351" s="265"/>
    </row>
    <row r="352" spans="1:23" x14ac:dyDescent="0.2">
      <c r="A352" s="265"/>
      <c r="B352" s="265">
        <v>11</v>
      </c>
      <c r="C352" s="276">
        <v>550</v>
      </c>
      <c r="D352" s="280">
        <f t="shared" si="31"/>
        <v>177</v>
      </c>
      <c r="E352" s="281">
        <f t="shared" si="32"/>
        <v>180</v>
      </c>
      <c r="F352" s="281">
        <f t="shared" si="33"/>
        <v>184</v>
      </c>
      <c r="G352" s="281">
        <f t="shared" si="34"/>
        <v>187</v>
      </c>
      <c r="H352" s="281">
        <f t="shared" si="35"/>
        <v>191</v>
      </c>
      <c r="I352" s="281">
        <f t="shared" si="36"/>
        <v>194</v>
      </c>
      <c r="J352" s="281">
        <f t="shared" si="37"/>
        <v>197</v>
      </c>
      <c r="K352" s="281">
        <f t="shared" si="38"/>
        <v>200</v>
      </c>
      <c r="L352" s="281">
        <f t="shared" si="39"/>
        <v>203</v>
      </c>
      <c r="M352" s="281">
        <f t="shared" si="40"/>
        <v>206</v>
      </c>
      <c r="N352" s="281">
        <f t="shared" si="41"/>
        <v>209</v>
      </c>
      <c r="O352" s="281">
        <f t="shared" si="42"/>
        <v>212</v>
      </c>
      <c r="P352" s="281">
        <f t="shared" si="43"/>
        <v>215</v>
      </c>
      <c r="Q352" s="281">
        <f t="shared" si="44"/>
        <v>217</v>
      </c>
      <c r="R352" s="282">
        <f t="shared" si="45"/>
        <v>220</v>
      </c>
      <c r="S352" s="270">
        <f t="shared" si="46"/>
        <v>550</v>
      </c>
      <c r="T352" s="265"/>
      <c r="U352" s="265"/>
      <c r="V352" s="265"/>
      <c r="W352" s="265"/>
    </row>
    <row r="353" spans="1:23" x14ac:dyDescent="0.2">
      <c r="A353" s="265"/>
      <c r="B353" s="265">
        <v>12</v>
      </c>
      <c r="C353" s="276">
        <v>600</v>
      </c>
      <c r="D353" s="280">
        <f t="shared" si="31"/>
        <v>190</v>
      </c>
      <c r="E353" s="281">
        <f t="shared" si="32"/>
        <v>194</v>
      </c>
      <c r="F353" s="281">
        <f t="shared" si="33"/>
        <v>198</v>
      </c>
      <c r="G353" s="281">
        <f t="shared" si="34"/>
        <v>201</v>
      </c>
      <c r="H353" s="281">
        <f t="shared" si="35"/>
        <v>204</v>
      </c>
      <c r="I353" s="281">
        <f t="shared" si="36"/>
        <v>208</v>
      </c>
      <c r="J353" s="281">
        <f t="shared" si="37"/>
        <v>211</v>
      </c>
      <c r="K353" s="281">
        <f t="shared" si="38"/>
        <v>214</v>
      </c>
      <c r="L353" s="281">
        <f t="shared" si="39"/>
        <v>217</v>
      </c>
      <c r="M353" s="281">
        <f t="shared" si="40"/>
        <v>220</v>
      </c>
      <c r="N353" s="281">
        <f t="shared" si="41"/>
        <v>223</v>
      </c>
      <c r="O353" s="281">
        <f t="shared" si="42"/>
        <v>226</v>
      </c>
      <c r="P353" s="281">
        <f t="shared" si="43"/>
        <v>229</v>
      </c>
      <c r="Q353" s="281">
        <f t="shared" si="44"/>
        <v>231</v>
      </c>
      <c r="R353" s="282">
        <f t="shared" si="45"/>
        <v>234</v>
      </c>
      <c r="S353" s="270">
        <f t="shared" si="46"/>
        <v>600</v>
      </c>
      <c r="T353" s="265"/>
      <c r="U353" s="265"/>
      <c r="V353" s="265"/>
      <c r="W353" s="265"/>
    </row>
    <row r="354" spans="1:23" x14ac:dyDescent="0.2">
      <c r="A354" s="265"/>
      <c r="B354" s="265">
        <v>13</v>
      </c>
      <c r="C354" s="276">
        <v>650</v>
      </c>
      <c r="D354" s="280">
        <f t="shared" si="31"/>
        <v>204</v>
      </c>
      <c r="E354" s="281">
        <f t="shared" si="32"/>
        <v>208</v>
      </c>
      <c r="F354" s="281">
        <f t="shared" si="33"/>
        <v>211</v>
      </c>
      <c r="G354" s="281">
        <f t="shared" si="34"/>
        <v>215</v>
      </c>
      <c r="H354" s="281">
        <f t="shared" si="35"/>
        <v>218</v>
      </c>
      <c r="I354" s="281">
        <f t="shared" si="36"/>
        <v>221</v>
      </c>
      <c r="J354" s="281">
        <f t="shared" si="37"/>
        <v>225</v>
      </c>
      <c r="K354" s="281">
        <f t="shared" si="38"/>
        <v>228</v>
      </c>
      <c r="L354" s="281">
        <f t="shared" si="39"/>
        <v>231</v>
      </c>
      <c r="M354" s="281">
        <f t="shared" si="40"/>
        <v>234</v>
      </c>
      <c r="N354" s="281">
        <f t="shared" si="41"/>
        <v>237</v>
      </c>
      <c r="O354" s="281">
        <f t="shared" si="42"/>
        <v>240</v>
      </c>
      <c r="P354" s="281">
        <f t="shared" si="43"/>
        <v>242</v>
      </c>
      <c r="Q354" s="281">
        <f t="shared" si="44"/>
        <v>245</v>
      </c>
      <c r="R354" s="282">
        <f t="shared" si="45"/>
        <v>248</v>
      </c>
      <c r="S354" s="270">
        <f t="shared" si="46"/>
        <v>650</v>
      </c>
      <c r="T354" s="265"/>
      <c r="U354" s="265"/>
      <c r="V354" s="265"/>
      <c r="W354" s="265"/>
    </row>
    <row r="355" spans="1:23" x14ac:dyDescent="0.2">
      <c r="A355" s="265"/>
      <c r="B355" s="265">
        <v>14</v>
      </c>
      <c r="C355" s="276">
        <v>700</v>
      </c>
      <c r="D355" s="280">
        <f t="shared" si="31"/>
        <v>218</v>
      </c>
      <c r="E355" s="281">
        <f t="shared" si="32"/>
        <v>221</v>
      </c>
      <c r="F355" s="281">
        <f t="shared" si="33"/>
        <v>225</v>
      </c>
      <c r="G355" s="281">
        <f t="shared" si="34"/>
        <v>229</v>
      </c>
      <c r="H355" s="281">
        <f t="shared" si="35"/>
        <v>232</v>
      </c>
      <c r="I355" s="281">
        <f t="shared" si="36"/>
        <v>235</v>
      </c>
      <c r="J355" s="281">
        <f t="shared" si="37"/>
        <v>238</v>
      </c>
      <c r="K355" s="281">
        <f t="shared" si="38"/>
        <v>242</v>
      </c>
      <c r="L355" s="281">
        <f t="shared" si="39"/>
        <v>245</v>
      </c>
      <c r="M355" s="281">
        <f t="shared" si="40"/>
        <v>248</v>
      </c>
      <c r="N355" s="281">
        <f t="shared" si="41"/>
        <v>251</v>
      </c>
      <c r="O355" s="281">
        <f t="shared" si="42"/>
        <v>254</v>
      </c>
      <c r="P355" s="281">
        <f t="shared" si="43"/>
        <v>256</v>
      </c>
      <c r="Q355" s="281">
        <f t="shared" si="44"/>
        <v>259</v>
      </c>
      <c r="R355" s="282">
        <f t="shared" si="45"/>
        <v>262</v>
      </c>
      <c r="S355" s="270">
        <f t="shared" si="46"/>
        <v>700</v>
      </c>
      <c r="T355" s="265"/>
      <c r="U355" s="265"/>
      <c r="V355" s="265"/>
      <c r="W355" s="265"/>
    </row>
    <row r="356" spans="1:23" x14ac:dyDescent="0.2">
      <c r="A356" s="265"/>
      <c r="B356" s="265">
        <v>15</v>
      </c>
      <c r="C356" s="276">
        <v>750</v>
      </c>
      <c r="D356" s="280">
        <f t="shared" si="31"/>
        <v>231</v>
      </c>
      <c r="E356" s="281">
        <f t="shared" si="32"/>
        <v>235</v>
      </c>
      <c r="F356" s="281">
        <f t="shared" si="33"/>
        <v>239</v>
      </c>
      <c r="G356" s="281">
        <f t="shared" si="34"/>
        <v>242</v>
      </c>
      <c r="H356" s="281">
        <f t="shared" si="35"/>
        <v>246</v>
      </c>
      <c r="I356" s="281">
        <f t="shared" si="36"/>
        <v>249</v>
      </c>
      <c r="J356" s="281">
        <f t="shared" si="37"/>
        <v>252</v>
      </c>
      <c r="K356" s="281">
        <f t="shared" si="38"/>
        <v>256</v>
      </c>
      <c r="L356" s="281">
        <f t="shared" si="39"/>
        <v>259</v>
      </c>
      <c r="M356" s="281">
        <f t="shared" si="40"/>
        <v>262</v>
      </c>
      <c r="N356" s="281">
        <f t="shared" si="41"/>
        <v>265</v>
      </c>
      <c r="O356" s="281">
        <f t="shared" si="42"/>
        <v>268</v>
      </c>
      <c r="P356" s="281">
        <f t="shared" si="43"/>
        <v>270</v>
      </c>
      <c r="Q356" s="281">
        <f t="shared" si="44"/>
        <v>273</v>
      </c>
      <c r="R356" s="282">
        <f t="shared" si="45"/>
        <v>276</v>
      </c>
      <c r="S356" s="270">
        <f t="shared" si="46"/>
        <v>750</v>
      </c>
      <c r="T356" s="265"/>
      <c r="U356" s="265"/>
      <c r="V356" s="265"/>
      <c r="W356" s="265"/>
    </row>
    <row r="357" spans="1:23" x14ac:dyDescent="0.2">
      <c r="A357" s="265"/>
      <c r="B357" s="265">
        <v>16</v>
      </c>
      <c r="C357" s="276">
        <v>800</v>
      </c>
      <c r="D357" s="280">
        <f t="shared" si="31"/>
        <v>245</v>
      </c>
      <c r="E357" s="281">
        <f t="shared" si="32"/>
        <v>249</v>
      </c>
      <c r="F357" s="281">
        <f t="shared" si="33"/>
        <v>252</v>
      </c>
      <c r="G357" s="281">
        <f t="shared" si="34"/>
        <v>256</v>
      </c>
      <c r="H357" s="281">
        <f t="shared" si="35"/>
        <v>260</v>
      </c>
      <c r="I357" s="281">
        <f t="shared" si="36"/>
        <v>263</v>
      </c>
      <c r="J357" s="281">
        <f t="shared" si="37"/>
        <v>266</v>
      </c>
      <c r="K357" s="281">
        <f t="shared" si="38"/>
        <v>269</v>
      </c>
      <c r="L357" s="281">
        <f t="shared" si="39"/>
        <v>273</v>
      </c>
      <c r="M357" s="281">
        <f t="shared" si="40"/>
        <v>276</v>
      </c>
      <c r="N357" s="281">
        <f t="shared" si="41"/>
        <v>279</v>
      </c>
      <c r="O357" s="281">
        <f t="shared" si="42"/>
        <v>282</v>
      </c>
      <c r="P357" s="281">
        <f t="shared" si="43"/>
        <v>284</v>
      </c>
      <c r="Q357" s="281">
        <f t="shared" si="44"/>
        <v>287</v>
      </c>
      <c r="R357" s="282">
        <f t="shared" si="45"/>
        <v>290</v>
      </c>
      <c r="S357" s="270">
        <f t="shared" si="46"/>
        <v>800</v>
      </c>
      <c r="T357" s="265"/>
      <c r="U357" s="265"/>
      <c r="V357" s="265"/>
      <c r="W357" s="265"/>
    </row>
    <row r="358" spans="1:23" x14ac:dyDescent="0.2">
      <c r="A358" s="265"/>
      <c r="B358" s="265">
        <v>17</v>
      </c>
      <c r="C358" s="276">
        <v>850</v>
      </c>
      <c r="D358" s="280">
        <f t="shared" si="31"/>
        <v>259</v>
      </c>
      <c r="E358" s="281">
        <f t="shared" si="32"/>
        <v>263</v>
      </c>
      <c r="F358" s="281">
        <f t="shared" si="33"/>
        <v>266</v>
      </c>
      <c r="G358" s="281">
        <f t="shared" si="34"/>
        <v>270</v>
      </c>
      <c r="H358" s="281">
        <f t="shared" si="35"/>
        <v>273</v>
      </c>
      <c r="I358" s="281">
        <f t="shared" si="36"/>
        <v>277</v>
      </c>
      <c r="J358" s="281">
        <f t="shared" si="37"/>
        <v>280</v>
      </c>
      <c r="K358" s="281">
        <f t="shared" si="38"/>
        <v>283</v>
      </c>
      <c r="L358" s="281">
        <f t="shared" si="39"/>
        <v>286</v>
      </c>
      <c r="M358" s="281">
        <f t="shared" si="40"/>
        <v>290</v>
      </c>
      <c r="N358" s="281">
        <f t="shared" si="41"/>
        <v>293</v>
      </c>
      <c r="O358" s="281">
        <f t="shared" si="42"/>
        <v>296</v>
      </c>
      <c r="P358" s="281">
        <f t="shared" si="43"/>
        <v>298</v>
      </c>
      <c r="Q358" s="281">
        <f t="shared" si="44"/>
        <v>301</v>
      </c>
      <c r="R358" s="282">
        <f t="shared" si="45"/>
        <v>304</v>
      </c>
      <c r="S358" s="270">
        <f t="shared" si="46"/>
        <v>850</v>
      </c>
      <c r="T358" s="265"/>
      <c r="U358" s="265"/>
      <c r="V358" s="265"/>
      <c r="W358" s="265"/>
    </row>
    <row r="359" spans="1:23" x14ac:dyDescent="0.2">
      <c r="A359" s="265"/>
      <c r="B359" s="265">
        <v>18</v>
      </c>
      <c r="C359" s="276">
        <v>900</v>
      </c>
      <c r="D359" s="280">
        <f t="shared" si="31"/>
        <v>272</v>
      </c>
      <c r="E359" s="281">
        <f t="shared" si="32"/>
        <v>276</v>
      </c>
      <c r="F359" s="281">
        <f t="shared" si="33"/>
        <v>280</v>
      </c>
      <c r="G359" s="281">
        <f t="shared" si="34"/>
        <v>284</v>
      </c>
      <c r="H359" s="281">
        <f t="shared" si="35"/>
        <v>287</v>
      </c>
      <c r="I359" s="281">
        <f t="shared" si="36"/>
        <v>291</v>
      </c>
      <c r="J359" s="281">
        <f t="shared" si="37"/>
        <v>294</v>
      </c>
      <c r="K359" s="281">
        <f t="shared" si="38"/>
        <v>297</v>
      </c>
      <c r="L359" s="281">
        <f t="shared" si="39"/>
        <v>300</v>
      </c>
      <c r="M359" s="281">
        <f t="shared" si="40"/>
        <v>304</v>
      </c>
      <c r="N359" s="281">
        <f t="shared" si="41"/>
        <v>307</v>
      </c>
      <c r="O359" s="281">
        <f t="shared" si="42"/>
        <v>310</v>
      </c>
      <c r="P359" s="281">
        <f t="shared" si="43"/>
        <v>313</v>
      </c>
      <c r="Q359" s="281">
        <f t="shared" si="44"/>
        <v>315</v>
      </c>
      <c r="R359" s="282">
        <f t="shared" si="45"/>
        <v>318</v>
      </c>
      <c r="S359" s="270">
        <f t="shared" si="46"/>
        <v>900</v>
      </c>
      <c r="T359" s="265"/>
      <c r="U359" s="265"/>
      <c r="V359" s="265"/>
      <c r="W359" s="265"/>
    </row>
    <row r="360" spans="1:23" x14ac:dyDescent="0.2">
      <c r="A360" s="265"/>
      <c r="B360" s="265">
        <v>19</v>
      </c>
      <c r="C360" s="276">
        <v>950</v>
      </c>
      <c r="D360" s="280">
        <f t="shared" si="31"/>
        <v>286</v>
      </c>
      <c r="E360" s="281">
        <f t="shared" si="32"/>
        <v>290</v>
      </c>
      <c r="F360" s="281">
        <f t="shared" si="33"/>
        <v>294</v>
      </c>
      <c r="G360" s="281">
        <f t="shared" si="34"/>
        <v>298</v>
      </c>
      <c r="H360" s="281">
        <f t="shared" si="35"/>
        <v>301</v>
      </c>
      <c r="I360" s="281">
        <f t="shared" si="36"/>
        <v>305</v>
      </c>
      <c r="J360" s="281">
        <f t="shared" si="37"/>
        <v>308</v>
      </c>
      <c r="K360" s="281">
        <f t="shared" si="38"/>
        <v>311</v>
      </c>
      <c r="L360" s="281">
        <f t="shared" si="39"/>
        <v>314</v>
      </c>
      <c r="M360" s="281">
        <f t="shared" si="40"/>
        <v>318</v>
      </c>
      <c r="N360" s="281">
        <f t="shared" si="41"/>
        <v>321</v>
      </c>
      <c r="O360" s="281">
        <f t="shared" si="42"/>
        <v>324</v>
      </c>
      <c r="P360" s="281">
        <f t="shared" si="43"/>
        <v>327</v>
      </c>
      <c r="Q360" s="281">
        <f t="shared" si="44"/>
        <v>329</v>
      </c>
      <c r="R360" s="282">
        <f t="shared" si="45"/>
        <v>332</v>
      </c>
      <c r="S360" s="270">
        <f t="shared" si="46"/>
        <v>950</v>
      </c>
      <c r="T360" s="265"/>
      <c r="U360" s="265"/>
      <c r="V360" s="265"/>
      <c r="W360" s="265"/>
    </row>
    <row r="361" spans="1:23" ht="15" thickBot="1" x14ac:dyDescent="0.25">
      <c r="A361" s="265"/>
      <c r="B361" s="265">
        <v>20</v>
      </c>
      <c r="C361" s="276">
        <v>1000</v>
      </c>
      <c r="D361" s="283">
        <f t="shared" si="31"/>
        <v>300</v>
      </c>
      <c r="E361" s="284">
        <f t="shared" si="32"/>
        <v>304</v>
      </c>
      <c r="F361" s="284">
        <f t="shared" si="33"/>
        <v>308</v>
      </c>
      <c r="G361" s="284">
        <f t="shared" si="34"/>
        <v>311</v>
      </c>
      <c r="H361" s="284">
        <f t="shared" si="35"/>
        <v>315</v>
      </c>
      <c r="I361" s="284">
        <f t="shared" si="36"/>
        <v>318</v>
      </c>
      <c r="J361" s="284">
        <f t="shared" si="37"/>
        <v>322</v>
      </c>
      <c r="K361" s="284">
        <f t="shared" si="38"/>
        <v>325</v>
      </c>
      <c r="L361" s="284">
        <f t="shared" si="39"/>
        <v>328</v>
      </c>
      <c r="M361" s="284">
        <f t="shared" si="40"/>
        <v>331</v>
      </c>
      <c r="N361" s="284">
        <f t="shared" si="41"/>
        <v>335</v>
      </c>
      <c r="O361" s="284">
        <f t="shared" si="42"/>
        <v>338</v>
      </c>
      <c r="P361" s="284">
        <f t="shared" si="43"/>
        <v>341</v>
      </c>
      <c r="Q361" s="284">
        <f t="shared" si="44"/>
        <v>344</v>
      </c>
      <c r="R361" s="285">
        <f t="shared" si="45"/>
        <v>346</v>
      </c>
      <c r="S361" s="270">
        <f t="shared" si="46"/>
        <v>1000</v>
      </c>
      <c r="T361" s="265"/>
      <c r="U361" s="265"/>
      <c r="V361" s="265"/>
      <c r="W361" s="265"/>
    </row>
    <row r="362" spans="1:23" x14ac:dyDescent="0.2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3" x14ac:dyDescent="0.2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218</v>
      </c>
      <c r="W363" s="270">
        <f>Dados!B224</f>
        <v>45</v>
      </c>
    </row>
    <row r="364" spans="1:23" x14ac:dyDescent="0.2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219</v>
      </c>
      <c r="W364" s="265">
        <f>(Dados!B227)*1000</f>
        <v>700000</v>
      </c>
    </row>
    <row r="365" spans="1:23" x14ac:dyDescent="0.2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3" x14ac:dyDescent="0.2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4</v>
      </c>
      <c r="T366" s="265">
        <f>S366-2</f>
        <v>2</v>
      </c>
      <c r="U366" s="265"/>
      <c r="V366" s="265">
        <f>MATCH(W363,D374:R374,0)</f>
        <v>4</v>
      </c>
      <c r="W366" s="265">
        <f>V366-2</f>
        <v>2</v>
      </c>
    </row>
    <row r="367" spans="1:23" x14ac:dyDescent="0.2">
      <c r="A367" s="265"/>
      <c r="B367" s="265"/>
      <c r="C367" s="265"/>
      <c r="D367" s="270"/>
      <c r="E367" s="270"/>
      <c r="F367" s="266" t="s">
        <v>198</v>
      </c>
      <c r="G367" s="265"/>
      <c r="H367" s="265">
        <f>G334</f>
        <v>45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0</v>
      </c>
      <c r="T367" s="265"/>
      <c r="U367" s="265"/>
      <c r="V367" s="265">
        <f>V371</f>
        <v>20</v>
      </c>
      <c r="W367" s="265"/>
    </row>
    <row r="368" spans="1:23" x14ac:dyDescent="0.2">
      <c r="A368" s="265"/>
      <c r="B368" s="265"/>
      <c r="C368" s="265"/>
      <c r="D368" s="265"/>
      <c r="E368" s="265"/>
      <c r="F368" s="265" t="s">
        <v>199</v>
      </c>
      <c r="G368" s="265"/>
      <c r="H368" s="270" t="e">
        <f>Dados!F242</f>
        <v>#N/A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-1</v>
      </c>
      <c r="T368" s="265" t="str">
        <f>IFERROR(VLOOKUP(S367,B375:N394,MATCH(S366,D372:R372,0)-T366,0),"")</f>
        <v/>
      </c>
      <c r="U368" s="265"/>
      <c r="V368" s="265">
        <f>MATCH(V366,D372:R372,0)-5</f>
        <v>-1</v>
      </c>
      <c r="W368" s="265">
        <f>IFERROR(VLOOKUP(V367,B375:R394,MATCH(V366,D372:R372,0)-W366,0),"")</f>
        <v>1000</v>
      </c>
    </row>
    <row r="369" spans="1:23" x14ac:dyDescent="0.2">
      <c r="A369" s="265"/>
      <c r="B369" s="265"/>
      <c r="C369" s="265"/>
      <c r="D369" s="265"/>
      <c r="E369" s="265"/>
      <c r="F369" s="268" t="s">
        <v>200</v>
      </c>
      <c r="G369" s="268"/>
      <c r="H369" s="268" t="str">
        <f>T368</f>
        <v/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3" x14ac:dyDescent="0.2">
      <c r="A370" s="265"/>
      <c r="B370" s="265"/>
      <c r="C370" s="265"/>
      <c r="D370" s="265">
        <f>IFERROR(IF($V$366=1,MATCH($W$364,D375:D394,1),0),0)</f>
        <v>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20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3" x14ac:dyDescent="0.2">
      <c r="A371" s="265"/>
      <c r="B371" s="265"/>
      <c r="C371" s="265"/>
      <c r="D371" s="265">
        <f>IFERROR(IF($S$366=1,MATCH($H$368,D375:D394,1),0),0)</f>
        <v>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0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3" x14ac:dyDescent="0.2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3" ht="15" thickBot="1" x14ac:dyDescent="0.25">
      <c r="A373" s="58"/>
      <c r="B373" s="58"/>
      <c r="C373" s="58"/>
      <c r="D373" s="58"/>
      <c r="E373" s="58"/>
      <c r="F373" s="58"/>
      <c r="G373" s="58"/>
      <c r="H373" s="58" t="s">
        <v>192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3" ht="15" thickBot="1" x14ac:dyDescent="0.25">
      <c r="A374" s="265"/>
      <c r="B374" s="265"/>
      <c r="C374" s="265" t="s">
        <v>201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201</v>
      </c>
      <c r="T374" s="265"/>
      <c r="U374" s="265"/>
      <c r="V374" s="265"/>
      <c r="W374" s="265"/>
    </row>
    <row r="375" spans="1:23" x14ac:dyDescent="0.2">
      <c r="A375" s="270"/>
      <c r="B375" s="270">
        <v>1</v>
      </c>
      <c r="C375" s="270">
        <v>50</v>
      </c>
      <c r="D375" s="289">
        <f t="shared" ref="D375:D394" si="47">((0.1*($C$312^0.75)+(0.84*($C$312^0.355))*((C342/1000)^1.2))*1000)*1.2</f>
        <v>1630.8314311601123</v>
      </c>
      <c r="E375" s="270">
        <f t="shared" ref="E375:E394" si="48">((0.1*($D$312^0.75)+(0.84*($D$312^0.355))*((C342/1000)^1.2))*1000)*1.2</f>
        <v>1824.5679105771255</v>
      </c>
      <c r="F375" s="270">
        <f t="shared" ref="F375:F394" si="49">((0.1*($E$312^0.75)+(0.84*($E$312^0.355))*((C342/1000)^1.2))*1000)*1.2</f>
        <v>2011.2045117846244</v>
      </c>
      <c r="G375" s="270">
        <f t="shared" ref="G375:G394" si="50">((0.1*($F$312^0.75)+(0.84*($F$312^0.355))*((C342/1000)^1.2))*1000)*1.2</f>
        <v>2191.8597284748685</v>
      </c>
      <c r="H375" s="270">
        <f t="shared" ref="H375:H394" si="51">((0.1*($G$312^0.75)+(0.84*($G$312^0.355))*((C342/1000)^1.2))*1000)*1.2</f>
        <v>2367.3710343752095</v>
      </c>
      <c r="I375" s="270">
        <f t="shared" ref="I375:I394" si="52">((0.1*($H$312^0.75)+(0.84*($H$312^0.355))*((C342/1000)^1.2))*1000)*1.2</f>
        <v>2538.3865900860656</v>
      </c>
      <c r="J375" s="270">
        <f t="shared" ref="J375:J394" si="53">((0.1*($I$312^0.75)+(0.84*($I$312^0.355))*((C342/1000)^1.2))*1000)*1.2</f>
        <v>2705.4213791892948</v>
      </c>
      <c r="K375" s="270">
        <f t="shared" ref="K375:K394" si="54">((0.1*($J$312^0.75)+(0.84*($J$312^0.355))*((C342/1000)^1.2))*1000)*1.2</f>
        <v>2868.8933971948413</v>
      </c>
      <c r="L375" s="270">
        <f t="shared" ref="L375:L394" si="55">((0.1*($K$312^0.75)+(0.84*($K$312^0.355))*((C342/1000)^1.2))*1000)*1.2</f>
        <v>3029.147975106282</v>
      </c>
      <c r="M375" s="270">
        <f t="shared" ref="M375:M394" si="56">((0.1*($L$312^0.75)+(0.84*($L$312^0.355))*((C342/1000)^1.2))*1000)*1.2</f>
        <v>3186.4746995030082</v>
      </c>
      <c r="N375" s="270">
        <f t="shared" ref="N375:N394" si="57">((0.1*($M$312^0.75)+(0.84*($M$312^0.355))*((C342/1000)^1.2))*1000)*1.2</f>
        <v>3341.1195267273479</v>
      </c>
      <c r="O375" s="270">
        <f t="shared" ref="O375:O394" si="58">((0.1*($O$374^0.75)+(0.84*($O$374^0.355))*((C375/1000)^1.2))*1000)*1.2</f>
        <v>3493.2936716300223</v>
      </c>
      <c r="P375" s="270">
        <f t="shared" ref="P375:P394" si="59">((0.1*($P$374^0.75)+(0.84*($P$374^0.355))*((C375/1000)^1.2))*1000)*1.2</f>
        <v>3643.1802690310501</v>
      </c>
      <c r="Q375" s="270">
        <f t="shared" ref="Q375:Q394" si="60">((0.1*($Q$374^0.75)+(0.84*($Q$374^0.355))*((C375/1000)^1.2))*1000)*1.2</f>
        <v>3790.9394587951751</v>
      </c>
      <c r="R375" s="290">
        <f t="shared" ref="R375:R394" si="61">((0.1*($R$374^0.75)+(0.84*($R$374^0.355))*((C375/1000)^1.2))*1000)*1.2</f>
        <v>3936.7123309229032</v>
      </c>
      <c r="S375" s="265">
        <v>50</v>
      </c>
      <c r="T375" s="265"/>
      <c r="U375" s="265"/>
      <c r="V375" s="265"/>
      <c r="W375" s="265"/>
    </row>
    <row r="376" spans="1:23" x14ac:dyDescent="0.2">
      <c r="A376" s="270"/>
      <c r="B376" s="270">
        <v>2</v>
      </c>
      <c r="C376" s="270">
        <v>100</v>
      </c>
      <c r="D376" s="289">
        <f t="shared" si="47"/>
        <v>1750.968041744082</v>
      </c>
      <c r="E376" s="270">
        <f t="shared" si="48"/>
        <v>1951.4620267949165</v>
      </c>
      <c r="F376" s="270">
        <f t="shared" si="49"/>
        <v>2144.2587235625265</v>
      </c>
      <c r="G376" s="270">
        <f t="shared" si="50"/>
        <v>2330.5952822379436</v>
      </c>
      <c r="H376" s="270">
        <f t="shared" si="51"/>
        <v>2511.3939773705788</v>
      </c>
      <c r="I376" s="270">
        <f t="shared" si="52"/>
        <v>2687.3659432645859</v>
      </c>
      <c r="J376" s="270">
        <f t="shared" si="53"/>
        <v>2859.0743719097327</v>
      </c>
      <c r="K376" s="270">
        <f t="shared" si="54"/>
        <v>3026.9750875735594</v>
      </c>
      <c r="L376" s="270">
        <f t="shared" si="55"/>
        <v>3191.4437200977786</v>
      </c>
      <c r="M376" s="270">
        <f t="shared" si="56"/>
        <v>3352.7945469993269</v>
      </c>
      <c r="N376" s="270">
        <f t="shared" si="57"/>
        <v>3511.2939451195184</v>
      </c>
      <c r="O376" s="270">
        <f t="shared" si="58"/>
        <v>3667.1702351428034</v>
      </c>
      <c r="P376" s="270">
        <f t="shared" si="59"/>
        <v>3820.6210419045624</v>
      </c>
      <c r="Q376" s="270">
        <f t="shared" si="60"/>
        <v>3971.818900756477</v>
      </c>
      <c r="R376" s="290">
        <f t="shared" si="61"/>
        <v>4120.9155983871224</v>
      </c>
      <c r="S376" s="265">
        <v>100</v>
      </c>
      <c r="T376" s="265"/>
      <c r="U376" s="265"/>
      <c r="V376" s="265"/>
      <c r="W376" s="265"/>
    </row>
    <row r="377" spans="1:23" x14ac:dyDescent="0.2">
      <c r="A377" s="270"/>
      <c r="B377" s="270">
        <v>3</v>
      </c>
      <c r="C377" s="270">
        <v>150</v>
      </c>
      <c r="D377" s="289">
        <f t="shared" si="47"/>
        <v>1884.2905815016518</v>
      </c>
      <c r="E377" s="270">
        <f t="shared" si="48"/>
        <v>2092.2837610873398</v>
      </c>
      <c r="F377" s="270">
        <f t="shared" si="49"/>
        <v>2291.9166719051991</v>
      </c>
      <c r="G377" s="270">
        <f t="shared" si="50"/>
        <v>2484.5581441203994</v>
      </c>
      <c r="H377" s="270">
        <f t="shared" si="51"/>
        <v>2671.2245606554425</v>
      </c>
      <c r="I377" s="270">
        <f t="shared" si="52"/>
        <v>2852.6969413729234</v>
      </c>
      <c r="J377" s="270">
        <f t="shared" si="53"/>
        <v>3029.5919779189521</v>
      </c>
      <c r="K377" s="270">
        <f t="shared" si="54"/>
        <v>3202.4074753195873</v>
      </c>
      <c r="L377" s="270">
        <f t="shared" si="55"/>
        <v>3371.5526877882703</v>
      </c>
      <c r="M377" s="270">
        <f t="shared" si="56"/>
        <v>3537.3692938022782</v>
      </c>
      <c r="N377" s="270">
        <f t="shared" si="57"/>
        <v>3700.1463320108041</v>
      </c>
      <c r="O377" s="270">
        <f t="shared" si="58"/>
        <v>3860.1311064305751</v>
      </c>
      <c r="P377" s="270">
        <f t="shared" si="59"/>
        <v>4017.5373223044321</v>
      </c>
      <c r="Q377" s="270">
        <f t="shared" si="60"/>
        <v>4172.551270972278</v>
      </c>
      <c r="R377" s="290">
        <f t="shared" si="61"/>
        <v>4325.3366098556244</v>
      </c>
      <c r="S377" s="265">
        <v>150</v>
      </c>
      <c r="T377" s="265"/>
      <c r="U377" s="265"/>
      <c r="V377" s="265"/>
      <c r="W377" s="265"/>
    </row>
    <row r="378" spans="1:23" x14ac:dyDescent="0.2">
      <c r="A378" s="270"/>
      <c r="B378" s="270">
        <v>4</v>
      </c>
      <c r="C378" s="270">
        <v>200</v>
      </c>
      <c r="D378" s="289">
        <f t="shared" si="47"/>
        <v>2026.9694956495314</v>
      </c>
      <c r="E378" s="270">
        <f t="shared" si="48"/>
        <v>2242.9881519112737</v>
      </c>
      <c r="F378" s="270">
        <f t="shared" si="49"/>
        <v>2449.9370319519335</v>
      </c>
      <c r="G378" s="270">
        <f t="shared" si="50"/>
        <v>2649.3258870124373</v>
      </c>
      <c r="H378" s="270">
        <f t="shared" si="51"/>
        <v>2842.2718127718035</v>
      </c>
      <c r="I378" s="270">
        <f t="shared" si="52"/>
        <v>3029.630619113962</v>
      </c>
      <c r="J378" s="270">
        <f t="shared" si="53"/>
        <v>3212.0762518664096</v>
      </c>
      <c r="K378" s="270">
        <f t="shared" si="54"/>
        <v>3390.1514429599274</v>
      </c>
      <c r="L378" s="270">
        <f t="shared" si="55"/>
        <v>3564.3014306872801</v>
      </c>
      <c r="M378" s="270">
        <f t="shared" si="56"/>
        <v>3734.8972174440842</v>
      </c>
      <c r="N378" s="270">
        <f t="shared" si="57"/>
        <v>3902.2520940588452</v>
      </c>
      <c r="O378" s="270">
        <f t="shared" si="58"/>
        <v>4066.6336801021425</v>
      </c>
      <c r="P378" s="270">
        <f t="shared" si="59"/>
        <v>4228.2728897229754</v>
      </c>
      <c r="Q378" s="270">
        <f t="shared" si="60"/>
        <v>4387.3707356239365</v>
      </c>
      <c r="R378" s="290">
        <f t="shared" si="61"/>
        <v>4544.1035790295755</v>
      </c>
      <c r="S378" s="265">
        <v>200</v>
      </c>
      <c r="T378" s="265"/>
      <c r="U378" s="265"/>
      <c r="V378" s="265"/>
      <c r="W378" s="265"/>
    </row>
    <row r="379" spans="1:23" x14ac:dyDescent="0.2">
      <c r="A379" s="270"/>
      <c r="B379" s="270">
        <v>5</v>
      </c>
      <c r="C379" s="270">
        <v>250</v>
      </c>
      <c r="D379" s="289">
        <f t="shared" si="47"/>
        <v>2177.0356948273584</v>
      </c>
      <c r="E379" s="270">
        <f t="shared" si="48"/>
        <v>2401.4953515589918</v>
      </c>
      <c r="F379" s="270">
        <f t="shared" si="49"/>
        <v>2616.1389894489416</v>
      </c>
      <c r="G379" s="270">
        <f t="shared" si="50"/>
        <v>2822.6245770858022</v>
      </c>
      <c r="H379" s="270">
        <f t="shared" si="51"/>
        <v>3022.1751373675452</v>
      </c>
      <c r="I379" s="270">
        <f t="shared" si="52"/>
        <v>3215.7251424969522</v>
      </c>
      <c r="J379" s="270">
        <f t="shared" si="53"/>
        <v>3404.008756851958</v>
      </c>
      <c r="K379" s="270">
        <f t="shared" si="54"/>
        <v>3587.6159653850818</v>
      </c>
      <c r="L379" s="270">
        <f t="shared" si="55"/>
        <v>3767.0298535653742</v>
      </c>
      <c r="M379" s="270">
        <f t="shared" si="56"/>
        <v>3942.6522659699731</v>
      </c>
      <c r="N379" s="270">
        <f t="shared" si="57"/>
        <v>4114.8220012776028</v>
      </c>
      <c r="O379" s="270">
        <f t="shared" si="58"/>
        <v>4283.8280464624913</v>
      </c>
      <c r="P379" s="270">
        <f t="shared" si="59"/>
        <v>4449.9194155810746</v>
      </c>
      <c r="Q379" s="270">
        <f t="shared" si="60"/>
        <v>4613.312604905881</v>
      </c>
      <c r="R379" s="290">
        <f t="shared" si="61"/>
        <v>4774.1973372114007</v>
      </c>
      <c r="S379" s="265">
        <v>250</v>
      </c>
      <c r="T379" s="265"/>
      <c r="U379" s="265"/>
      <c r="V379" s="265"/>
      <c r="W379" s="265"/>
    </row>
    <row r="380" spans="1:23" x14ac:dyDescent="0.2">
      <c r="A380" s="270"/>
      <c r="B380" s="270">
        <v>6</v>
      </c>
      <c r="C380" s="270">
        <v>300</v>
      </c>
      <c r="D380" s="289">
        <f t="shared" si="47"/>
        <v>2333.2642598566258</v>
      </c>
      <c r="E380" s="270">
        <f t="shared" si="48"/>
        <v>2566.5115409703471</v>
      </c>
      <c r="F380" s="270">
        <f t="shared" si="49"/>
        <v>2789.1659166788627</v>
      </c>
      <c r="G380" s="270">
        <f t="shared" si="50"/>
        <v>3003.0396593624632</v>
      </c>
      <c r="H380" s="270">
        <f t="shared" si="51"/>
        <v>3209.4660689668831</v>
      </c>
      <c r="I380" s="270">
        <f t="shared" si="52"/>
        <v>3409.4615102280914</v>
      </c>
      <c r="J380" s="270">
        <f t="shared" si="53"/>
        <v>3603.8228389080537</v>
      </c>
      <c r="K380" s="270">
        <f t="shared" si="54"/>
        <v>3793.1892333940555</v>
      </c>
      <c r="L380" s="270">
        <f t="shared" si="55"/>
        <v>3978.0831804998434</v>
      </c>
      <c r="M380" s="270">
        <f t="shared" si="56"/>
        <v>4158.9386334971723</v>
      </c>
      <c r="N380" s="270">
        <f t="shared" si="57"/>
        <v>4336.1209463774112</v>
      </c>
      <c r="O380" s="270">
        <f t="shared" si="58"/>
        <v>4509.9413509562582</v>
      </c>
      <c r="P380" s="270">
        <f t="shared" si="59"/>
        <v>4680.6677044579046</v>
      </c>
      <c r="Q380" s="270">
        <f t="shared" si="60"/>
        <v>4848.532622547028</v>
      </c>
      <c r="R380" s="290">
        <f t="shared" si="61"/>
        <v>5013.7397382309709</v>
      </c>
      <c r="S380" s="265">
        <v>300</v>
      </c>
      <c r="T380" s="265"/>
      <c r="U380" s="265"/>
      <c r="V380" s="265"/>
      <c r="W380" s="265"/>
    </row>
    <row r="381" spans="1:23" x14ac:dyDescent="0.2">
      <c r="A381" s="270"/>
      <c r="B381" s="270">
        <v>7</v>
      </c>
      <c r="C381" s="270">
        <v>350</v>
      </c>
      <c r="D381" s="289">
        <f t="shared" si="47"/>
        <v>2494.8108756543552</v>
      </c>
      <c r="E381" s="270">
        <f t="shared" si="48"/>
        <v>2737.1449135949219</v>
      </c>
      <c r="F381" s="270">
        <f t="shared" si="49"/>
        <v>2968.0827141968939</v>
      </c>
      <c r="G381" s="270">
        <f t="shared" si="50"/>
        <v>3189.5961061633629</v>
      </c>
      <c r="H381" s="270">
        <f t="shared" si="51"/>
        <v>3403.1324203400072</v>
      </c>
      <c r="I381" s="270">
        <f t="shared" si="52"/>
        <v>3609.792701633753</v>
      </c>
      <c r="J381" s="270">
        <f t="shared" si="53"/>
        <v>3810.4386312175138</v>
      </c>
      <c r="K381" s="270">
        <f t="shared" si="54"/>
        <v>4005.7602554674395</v>
      </c>
      <c r="L381" s="270">
        <f t="shared" si="55"/>
        <v>4196.320803771413</v>
      </c>
      <c r="M381" s="270">
        <f t="shared" si="56"/>
        <v>4382.5874310820273</v>
      </c>
      <c r="N381" s="270">
        <f t="shared" si="57"/>
        <v>4564.9529506513045</v>
      </c>
      <c r="O381" s="270">
        <f t="shared" si="58"/>
        <v>4743.7515963551477</v>
      </c>
      <c r="P381" s="270">
        <f t="shared" si="59"/>
        <v>4919.2707100106063</v>
      </c>
      <c r="Q381" s="270">
        <f t="shared" si="60"/>
        <v>5091.7595753817486</v>
      </c>
      <c r="R381" s="290">
        <f t="shared" si="61"/>
        <v>5261.4362092158062</v>
      </c>
      <c r="S381" s="265">
        <v>350</v>
      </c>
      <c r="T381" s="265"/>
      <c r="U381" s="265"/>
      <c r="V381" s="265"/>
      <c r="W381" s="265"/>
    </row>
    <row r="382" spans="1:23" x14ac:dyDescent="0.2">
      <c r="A382" s="270"/>
      <c r="B382" s="270">
        <v>8</v>
      </c>
      <c r="C382" s="270">
        <v>400</v>
      </c>
      <c r="D382" s="289">
        <f t="shared" si="47"/>
        <v>2661.0543278054915</v>
      </c>
      <c r="E382" s="270">
        <f t="shared" si="48"/>
        <v>2912.7393126309134</v>
      </c>
      <c r="F382" s="270">
        <f t="shared" si="49"/>
        <v>3152.2013719623083</v>
      </c>
      <c r="G382" s="270">
        <f t="shared" si="50"/>
        <v>3381.5765297957805</v>
      </c>
      <c r="H382" s="270">
        <f t="shared" si="51"/>
        <v>3602.4294632325377</v>
      </c>
      <c r="I382" s="270">
        <f t="shared" si="52"/>
        <v>3815.9483593575051</v>
      </c>
      <c r="J382" s="270">
        <f t="shared" si="53"/>
        <v>4023.0616095006008</v>
      </c>
      <c r="K382" s="270">
        <f t="shared" si="54"/>
        <v>4224.5116069722053</v>
      </c>
      <c r="L382" s="270">
        <f t="shared" si="55"/>
        <v>4420.9035082915207</v>
      </c>
      <c r="M382" s="270">
        <f t="shared" si="56"/>
        <v>4612.7386354038172</v>
      </c>
      <c r="N382" s="270">
        <f t="shared" si="57"/>
        <v>4800.4380591774252</v>
      </c>
      <c r="O382" s="270">
        <f t="shared" si="58"/>
        <v>4984.3596843146242</v>
      </c>
      <c r="P382" s="270">
        <f t="shared" si="59"/>
        <v>5164.8109037240001</v>
      </c>
      <c r="Q382" s="270">
        <f t="shared" si="60"/>
        <v>5342.0581538804363</v>
      </c>
      <c r="R382" s="290">
        <f t="shared" si="61"/>
        <v>5516.3342534665808</v>
      </c>
      <c r="S382" s="265">
        <v>400</v>
      </c>
      <c r="T382" s="265"/>
      <c r="U382" s="265"/>
      <c r="V382" s="265"/>
      <c r="W382" s="265"/>
    </row>
    <row r="383" spans="1:23" x14ac:dyDescent="0.2">
      <c r="A383" s="270"/>
      <c r="B383" s="270">
        <v>9</v>
      </c>
      <c r="C383" s="270">
        <v>450</v>
      </c>
      <c r="D383" s="289">
        <f t="shared" si="47"/>
        <v>2831.5162980290002</v>
      </c>
      <c r="E383" s="270">
        <f t="shared" si="48"/>
        <v>3092.7895151055109</v>
      </c>
      <c r="F383" s="270">
        <f t="shared" si="49"/>
        <v>3340.9921408707141</v>
      </c>
      <c r="G383" s="270">
        <f t="shared" si="50"/>
        <v>3578.4285611586406</v>
      </c>
      <c r="H383" s="270">
        <f t="shared" si="51"/>
        <v>3806.7837770511323</v>
      </c>
      <c r="I383" s="270">
        <f t="shared" si="52"/>
        <v>4027.3353290913019</v>
      </c>
      <c r="J383" s="270">
        <f t="shared" si="53"/>
        <v>4241.0800115726115</v>
      </c>
      <c r="K383" s="270">
        <f t="shared" si="54"/>
        <v>4448.8138930716159</v>
      </c>
      <c r="L383" s="270">
        <f t="shared" si="55"/>
        <v>4651.1851211626126</v>
      </c>
      <c r="M383" s="270">
        <f t="shared" si="56"/>
        <v>4848.7300517895819</v>
      </c>
      <c r="N383" s="270">
        <f t="shared" si="57"/>
        <v>5041.8987304895536</v>
      </c>
      <c r="O383" s="270">
        <f t="shared" si="58"/>
        <v>5231.0733334512925</v>
      </c>
      <c r="P383" s="270">
        <f t="shared" si="59"/>
        <v>5416.5818134822703</v>
      </c>
      <c r="Q383" s="270">
        <f t="shared" si="60"/>
        <v>5598.708195027566</v>
      </c>
      <c r="R383" s="290">
        <f t="shared" si="61"/>
        <v>5777.7004743124071</v>
      </c>
      <c r="S383" s="265">
        <v>450</v>
      </c>
      <c r="T383" s="265"/>
      <c r="U383" s="265"/>
      <c r="V383" s="265"/>
      <c r="W383" s="265"/>
    </row>
    <row r="384" spans="1:23" x14ac:dyDescent="0.2">
      <c r="A384" s="270"/>
      <c r="B384" s="270">
        <v>10</v>
      </c>
      <c r="C384" s="270">
        <v>500</v>
      </c>
      <c r="D384" s="289">
        <f t="shared" si="47"/>
        <v>3005.8159200779464</v>
      </c>
      <c r="E384" s="270">
        <f t="shared" si="48"/>
        <v>3276.893231611954</v>
      </c>
      <c r="F384" s="270">
        <f t="shared" si="49"/>
        <v>3534.0332023105098</v>
      </c>
      <c r="G384" s="270">
        <f t="shared" si="50"/>
        <v>3779.7123702166109</v>
      </c>
      <c r="H384" s="270">
        <f t="shared" si="51"/>
        <v>4015.7387692757884</v>
      </c>
      <c r="I384" s="270">
        <f t="shared" si="52"/>
        <v>4243.4813051255005</v>
      </c>
      <c r="J384" s="270">
        <f t="shared" si="53"/>
        <v>4464.0067149953202</v>
      </c>
      <c r="K384" s="270">
        <f t="shared" si="54"/>
        <v>4678.1659511323069</v>
      </c>
      <c r="L384" s="270">
        <f t="shared" si="55"/>
        <v>4886.6511200339419</v>
      </c>
      <c r="M384" s="270">
        <f t="shared" si="56"/>
        <v>5090.0344003718537</v>
      </c>
      <c r="N384" s="270">
        <f t="shared" si="57"/>
        <v>5288.7954646655435</v>
      </c>
      <c r="O384" s="270">
        <f t="shared" si="58"/>
        <v>5483.3413070201377</v>
      </c>
      <c r="P384" s="270">
        <f t="shared" si="59"/>
        <v>5674.0209030120122</v>
      </c>
      <c r="Q384" s="270">
        <f t="shared" si="60"/>
        <v>5861.1362610186861</v>
      </c>
      <c r="R384" s="290">
        <f t="shared" si="61"/>
        <v>6044.9508965036794</v>
      </c>
      <c r="S384" s="265">
        <v>500</v>
      </c>
      <c r="T384" s="265"/>
      <c r="U384" s="265"/>
      <c r="V384" s="265"/>
      <c r="W384" s="265"/>
    </row>
    <row r="385" spans="1:23" x14ac:dyDescent="0.2">
      <c r="A385" s="270"/>
      <c r="B385" s="270">
        <v>11</v>
      </c>
      <c r="C385" s="270">
        <v>550</v>
      </c>
      <c r="D385" s="289">
        <f t="shared" si="47"/>
        <v>3183.6419823034284</v>
      </c>
      <c r="E385" s="270">
        <f t="shared" si="48"/>
        <v>3464.7217453090379</v>
      </c>
      <c r="F385" s="270">
        <f t="shared" si="49"/>
        <v>3730.9798818278423</v>
      </c>
      <c r="G385" s="270">
        <f t="shared" si="50"/>
        <v>3985.0685651053914</v>
      </c>
      <c r="H385" s="270">
        <f t="shared" si="51"/>
        <v>4228.9213511590242</v>
      </c>
      <c r="I385" s="270">
        <f t="shared" si="52"/>
        <v>4464.0003592244893</v>
      </c>
      <c r="J385" s="270">
        <f t="shared" si="53"/>
        <v>4691.4436845570526</v>
      </c>
      <c r="K385" s="270">
        <f t="shared" si="54"/>
        <v>4912.1582734839267</v>
      </c>
      <c r="L385" s="270">
        <f t="shared" si="55"/>
        <v>5126.8810808052813</v>
      </c>
      <c r="M385" s="270">
        <f t="shared" si="56"/>
        <v>5336.2208326879272</v>
      </c>
      <c r="N385" s="270">
        <f t="shared" si="57"/>
        <v>5540.6874280486782</v>
      </c>
      <c r="O385" s="270">
        <f t="shared" si="58"/>
        <v>5740.7131810265664</v>
      </c>
      <c r="P385" s="270">
        <f t="shared" si="59"/>
        <v>5936.6685153007611</v>
      </c>
      <c r="Q385" s="270">
        <f t="shared" si="60"/>
        <v>6128.8737870331979</v>
      </c>
      <c r="R385" s="290">
        <f t="shared" si="61"/>
        <v>6317.6083449118332</v>
      </c>
      <c r="S385" s="265">
        <v>550</v>
      </c>
      <c r="T385" s="265"/>
      <c r="U385" s="265"/>
      <c r="V385" s="265"/>
      <c r="W385" s="265"/>
    </row>
    <row r="386" spans="1:23" x14ac:dyDescent="0.2">
      <c r="A386" s="270"/>
      <c r="B386" s="270">
        <v>12</v>
      </c>
      <c r="C386" s="270">
        <v>600</v>
      </c>
      <c r="D386" s="289">
        <f t="shared" si="47"/>
        <v>3364.7349113832797</v>
      </c>
      <c r="E386" s="270">
        <f t="shared" si="48"/>
        <v>3656.0008822613609</v>
      </c>
      <c r="F386" s="270">
        <f t="shared" si="49"/>
        <v>3931.5446956689152</v>
      </c>
      <c r="G386" s="270">
        <f t="shared" si="50"/>
        <v>4194.1973866723201</v>
      </c>
      <c r="H386" s="270">
        <f t="shared" si="51"/>
        <v>4446.0203393438323</v>
      </c>
      <c r="I386" s="270">
        <f t="shared" si="52"/>
        <v>4688.5705989572225</v>
      </c>
      <c r="J386" s="270">
        <f t="shared" si="53"/>
        <v>4923.0589297214783</v>
      </c>
      <c r="K386" s="270">
        <f t="shared" si="54"/>
        <v>5150.4493007188521</v>
      </c>
      <c r="L386" s="270">
        <f t="shared" si="55"/>
        <v>5371.5243389664929</v>
      </c>
      <c r="M386" s="270">
        <f t="shared" si="56"/>
        <v>5586.9299895454096</v>
      </c>
      <c r="N386" s="270">
        <f t="shared" si="57"/>
        <v>5797.206933063002</v>
      </c>
      <c r="O386" s="270">
        <f t="shared" si="58"/>
        <v>6002.8132688500036</v>
      </c>
      <c r="P386" s="270">
        <f t="shared" si="59"/>
        <v>6204.1412627144036</v>
      </c>
      <c r="Q386" s="270">
        <f t="shared" si="60"/>
        <v>6401.5299556722057</v>
      </c>
      <c r="R386" s="290">
        <f t="shared" si="61"/>
        <v>6595.2748205101207</v>
      </c>
      <c r="S386" s="265">
        <v>600</v>
      </c>
      <c r="T386" s="265"/>
      <c r="U386" s="265"/>
      <c r="V386" s="265"/>
      <c r="W386" s="265"/>
    </row>
    <row r="387" spans="1:23" x14ac:dyDescent="0.2">
      <c r="A387" s="270"/>
      <c r="B387" s="270">
        <v>13</v>
      </c>
      <c r="C387" s="270">
        <v>650</v>
      </c>
      <c r="D387" s="289">
        <f t="shared" si="47"/>
        <v>3548.8745530213509</v>
      </c>
      <c r="E387" s="270">
        <f t="shared" si="48"/>
        <v>3850.4981048211057</v>
      </c>
      <c r="F387" s="270">
        <f t="shared" si="49"/>
        <v>4135.4838176078874</v>
      </c>
      <c r="G387" s="270">
        <f t="shared" si="50"/>
        <v>4406.844597445227</v>
      </c>
      <c r="H387" s="270">
        <f t="shared" si="51"/>
        <v>4666.7718070431083</v>
      </c>
      <c r="I387" s="270">
        <f t="shared" si="52"/>
        <v>4916.919014751672</v>
      </c>
      <c r="J387" s="270">
        <f t="shared" si="53"/>
        <v>5158.5708763181647</v>
      </c>
      <c r="K387" s="270">
        <f t="shared" si="54"/>
        <v>5392.7493429323113</v>
      </c>
      <c r="L387" s="270">
        <f t="shared" si="55"/>
        <v>5620.2834822189125</v>
      </c>
      <c r="M387" s="270">
        <f t="shared" si="56"/>
        <v>5841.8570843452471</v>
      </c>
      <c r="N387" s="270">
        <f t="shared" si="57"/>
        <v>6058.0421294813268</v>
      </c>
      <c r="O387" s="270">
        <f t="shared" si="58"/>
        <v>6269.322935960382</v>
      </c>
      <c r="P387" s="270">
        <f t="shared" si="59"/>
        <v>6476.1139791918149</v>
      </c>
      <c r="Q387" s="270">
        <f t="shared" si="60"/>
        <v>6678.7732994002063</v>
      </c>
      <c r="R387" s="290">
        <f t="shared" si="61"/>
        <v>6877.612764743325</v>
      </c>
      <c r="S387" s="265">
        <v>650</v>
      </c>
      <c r="T387" s="265"/>
      <c r="U387" s="265"/>
      <c r="V387" s="265"/>
      <c r="W387" s="265"/>
    </row>
    <row r="388" spans="1:23" x14ac:dyDescent="0.2">
      <c r="A388" s="270"/>
      <c r="B388" s="270">
        <v>14</v>
      </c>
      <c r="C388" s="270">
        <v>700</v>
      </c>
      <c r="D388" s="289">
        <f t="shared" si="47"/>
        <v>3735.8715750276601</v>
      </c>
      <c r="E388" s="270">
        <f t="shared" si="48"/>
        <v>4048.0134311442516</v>
      </c>
      <c r="F388" s="270">
        <f t="shared" si="49"/>
        <v>4342.5875576495137</v>
      </c>
      <c r="G388" s="270">
        <f t="shared" si="50"/>
        <v>4622.7915537808922</v>
      </c>
      <c r="H388" s="270">
        <f t="shared" si="51"/>
        <v>4890.9487778250041</v>
      </c>
      <c r="I388" s="270">
        <f t="shared" si="52"/>
        <v>5148.8108190017811</v>
      </c>
      <c r="J388" s="270">
        <f t="shared" si="53"/>
        <v>5397.7373712060526</v>
      </c>
      <c r="K388" s="270">
        <f t="shared" si="54"/>
        <v>5638.8092674703203</v>
      </c>
      <c r="L388" s="270">
        <f t="shared" si="55"/>
        <v>5872.9027366675227</v>
      </c>
      <c r="M388" s="270">
        <f t="shared" si="56"/>
        <v>6100.7400013109846</v>
      </c>
      <c r="N388" s="270">
        <f t="shared" si="57"/>
        <v>6322.9248268231959</v>
      </c>
      <c r="O388" s="270">
        <f t="shared" si="58"/>
        <v>6539.9681573923208</v>
      </c>
      <c r="P388" s="270">
        <f t="shared" si="59"/>
        <v>6752.3070226658774</v>
      </c>
      <c r="Q388" s="270">
        <f t="shared" si="60"/>
        <v>6960.3187568965732</v>
      </c>
      <c r="R388" s="290">
        <f t="shared" si="61"/>
        <v>7164.3318780278232</v>
      </c>
      <c r="S388" s="265">
        <v>700</v>
      </c>
      <c r="T388" s="265"/>
      <c r="U388" s="265"/>
      <c r="V388" s="265"/>
      <c r="W388" s="265"/>
    </row>
    <row r="389" spans="1:23" x14ac:dyDescent="0.2">
      <c r="A389" s="270"/>
      <c r="B389" s="270">
        <v>15</v>
      </c>
      <c r="C389" s="270">
        <v>750</v>
      </c>
      <c r="D389" s="289">
        <f t="shared" si="47"/>
        <v>3925.5612333022527</v>
      </c>
      <c r="E389" s="270">
        <f t="shared" si="48"/>
        <v>4248.3728505202898</v>
      </c>
      <c r="F389" s="270">
        <f t="shared" si="49"/>
        <v>4552.6734577049747</v>
      </c>
      <c r="G389" s="270">
        <f t="shared" si="50"/>
        <v>4841.8480067300143</v>
      </c>
      <c r="H389" s="270">
        <f t="shared" si="51"/>
        <v>5118.3537521096569</v>
      </c>
      <c r="I389" s="270">
        <f t="shared" si="52"/>
        <v>5384.0417153708049</v>
      </c>
      <c r="J389" s="270">
        <f t="shared" si="53"/>
        <v>5640.3477090566994</v>
      </c>
      <c r="K389" s="270">
        <f t="shared" si="54"/>
        <v>5888.4122959031074</v>
      </c>
      <c r="L389" s="270">
        <f t="shared" si="55"/>
        <v>6129.159545122594</v>
      </c>
      <c r="M389" s="270">
        <f t="shared" si="56"/>
        <v>6363.35066497548</v>
      </c>
      <c r="N389" s="270">
        <f t="shared" si="57"/>
        <v>6591.6216638238202</v>
      </c>
      <c r="O389" s="270">
        <f t="shared" si="58"/>
        <v>6814.5104951058283</v>
      </c>
      <c r="P389" s="270">
        <f t="shared" si="59"/>
        <v>7032.4770674735801</v>
      </c>
      <c r="Q389" s="270">
        <f t="shared" si="60"/>
        <v>7245.9182870294544</v>
      </c>
      <c r="R389" s="290">
        <f t="shared" si="61"/>
        <v>7455.1795612486567</v>
      </c>
      <c r="S389" s="265">
        <v>750</v>
      </c>
      <c r="T389" s="265"/>
      <c r="U389" s="265"/>
      <c r="V389" s="265"/>
      <c r="W389" s="265"/>
    </row>
    <row r="390" spans="1:23" x14ac:dyDescent="0.2">
      <c r="A390" s="270"/>
      <c r="B390" s="270">
        <v>16</v>
      </c>
      <c r="C390" s="270">
        <v>800</v>
      </c>
      <c r="D390" s="289">
        <f t="shared" si="47"/>
        <v>4117.7987350577359</v>
      </c>
      <c r="E390" s="270">
        <f t="shared" si="48"/>
        <v>4451.423425782923</v>
      </c>
      <c r="F390" s="270">
        <f t="shared" si="49"/>
        <v>4765.5811562483022</v>
      </c>
      <c r="G390" s="270">
        <f t="shared" si="50"/>
        <v>5063.8467474172749</v>
      </c>
      <c r="H390" s="270">
        <f t="shared" si="51"/>
        <v>5348.8131484778487</v>
      </c>
      <c r="I390" s="270">
        <f t="shared" si="52"/>
        <v>5622.4321488029937</v>
      </c>
      <c r="J390" s="270">
        <f t="shared" si="53"/>
        <v>5886.2167019827557</v>
      </c>
      <c r="K390" s="270">
        <f t="shared" si="54"/>
        <v>6141.367902724126</v>
      </c>
      <c r="L390" s="270">
        <f t="shared" si="55"/>
        <v>6388.85830315359</v>
      </c>
      <c r="M390" s="270">
        <f t="shared" si="56"/>
        <v>6629.488620921039</v>
      </c>
      <c r="N390" s="270">
        <f t="shared" si="57"/>
        <v>6863.9275404036989</v>
      </c>
      <c r="O390" s="270">
        <f t="shared" si="58"/>
        <v>7092.7403870683856</v>
      </c>
      <c r="P390" s="270">
        <f t="shared" si="59"/>
        <v>7316.4102558743334</v>
      </c>
      <c r="Q390" s="270">
        <f t="shared" si="60"/>
        <v>7535.3538876556504</v>
      </c>
      <c r="R390" s="290">
        <f t="shared" si="61"/>
        <v>7749.9338062734751</v>
      </c>
      <c r="S390" s="265">
        <v>800</v>
      </c>
      <c r="T390" s="265"/>
      <c r="U390" s="265"/>
      <c r="V390" s="265"/>
      <c r="W390" s="265"/>
    </row>
    <row r="391" spans="1:23" x14ac:dyDescent="0.2">
      <c r="A391" s="270"/>
      <c r="B391" s="270">
        <v>17</v>
      </c>
      <c r="C391" s="270">
        <v>850</v>
      </c>
      <c r="D391" s="289">
        <f t="shared" si="47"/>
        <v>4312.4557146524348</v>
      </c>
      <c r="E391" s="270">
        <f t="shared" si="48"/>
        <v>4657.0295709140892</v>
      </c>
      <c r="F391" s="270">
        <f t="shared" si="49"/>
        <v>4981.1684852160797</v>
      </c>
      <c r="G391" s="270">
        <f t="shared" si="50"/>
        <v>5288.6395372807992</v>
      </c>
      <c r="H391" s="270">
        <f t="shared" si="51"/>
        <v>5582.1730788066898</v>
      </c>
      <c r="I391" s="270">
        <f t="shared" si="52"/>
        <v>5863.822935264654</v>
      </c>
      <c r="J391" s="270">
        <f t="shared" si="53"/>
        <v>6135.1801721793909</v>
      </c>
      <c r="K391" s="270">
        <f t="shared" si="54"/>
        <v>6397.5071780771459</v>
      </c>
      <c r="L391" s="270">
        <f t="shared" si="55"/>
        <v>6651.8255981983848</v>
      </c>
      <c r="M391" s="270">
        <f t="shared" si="56"/>
        <v>6898.9761568429522</v>
      </c>
      <c r="N391" s="270">
        <f t="shared" si="57"/>
        <v>7139.6606256595996</v>
      </c>
      <c r="O391" s="270">
        <f t="shared" si="58"/>
        <v>7374.4720466447734</v>
      </c>
      <c r="P391" s="270">
        <f t="shared" si="59"/>
        <v>7603.9169928849087</v>
      </c>
      <c r="Q391" s="270">
        <f t="shared" si="60"/>
        <v>7828.4322895833657</v>
      </c>
      <c r="R391" s="290">
        <f t="shared" si="61"/>
        <v>8048.3977924119681</v>
      </c>
      <c r="S391" s="265">
        <v>850</v>
      </c>
      <c r="T391" s="265"/>
      <c r="U391" s="265"/>
      <c r="V391" s="265"/>
      <c r="W391" s="265"/>
    </row>
    <row r="392" spans="1:23" x14ac:dyDescent="0.2">
      <c r="A392" s="270"/>
      <c r="B392" s="270">
        <v>18</v>
      </c>
      <c r="C392" s="270">
        <v>900</v>
      </c>
      <c r="D392" s="289">
        <f t="shared" si="47"/>
        <v>4509.4175046283326</v>
      </c>
      <c r="E392" s="270">
        <f t="shared" si="48"/>
        <v>4865.0701685818294</v>
      </c>
      <c r="F392" s="270">
        <f t="shared" si="49"/>
        <v>5199.3084476157237</v>
      </c>
      <c r="G392" s="270">
        <f t="shared" si="50"/>
        <v>5516.0939566259603</v>
      </c>
      <c r="H392" s="270">
        <f t="shared" si="51"/>
        <v>5818.2960767177838</v>
      </c>
      <c r="I392" s="270">
        <f t="shared" si="52"/>
        <v>6108.0718776050353</v>
      </c>
      <c r="J392" s="270">
        <f t="shared" si="53"/>
        <v>6387.0914616211567</v>
      </c>
      <c r="K392" s="270">
        <f t="shared" si="54"/>
        <v>6656.6792368530605</v>
      </c>
      <c r="L392" s="270">
        <f t="shared" si="55"/>
        <v>6917.906522935763</v>
      </c>
      <c r="M392" s="270">
        <f t="shared" si="56"/>
        <v>7171.6545245125353</v>
      </c>
      <c r="N392" s="270">
        <f t="shared" si="57"/>
        <v>7418.6584922691436</v>
      </c>
      <c r="O392" s="270">
        <f t="shared" si="58"/>
        <v>7659.539512905596</v>
      </c>
      <c r="P392" s="270">
        <f t="shared" si="59"/>
        <v>7894.8279156252001</v>
      </c>
      <c r="Q392" s="270">
        <f t="shared" si="60"/>
        <v>8124.9808478069099</v>
      </c>
      <c r="R392" s="290">
        <f t="shared" si="61"/>
        <v>8350.3957021482584</v>
      </c>
      <c r="S392" s="265">
        <v>900</v>
      </c>
      <c r="T392" s="265"/>
      <c r="U392" s="265"/>
      <c r="V392" s="265"/>
      <c r="W392" s="265"/>
    </row>
    <row r="393" spans="1:23" x14ac:dyDescent="0.2">
      <c r="A393" s="270"/>
      <c r="B393" s="270">
        <v>19</v>
      </c>
      <c r="C393" s="270">
        <v>950</v>
      </c>
      <c r="D393" s="289">
        <f t="shared" si="47"/>
        <v>4708.5809878832442</v>
      </c>
      <c r="E393" s="270">
        <f t="shared" si="48"/>
        <v>5075.4363015003591</v>
      </c>
      <c r="F393" s="270">
        <f t="shared" si="49"/>
        <v>5419.8868387540506</v>
      </c>
      <c r="G393" s="270">
        <f t="shared" si="50"/>
        <v>5746.0909242817152</v>
      </c>
      <c r="H393" s="270">
        <f t="shared" si="51"/>
        <v>6057.0585227044949</v>
      </c>
      <c r="I393" s="270">
        <f t="shared" si="52"/>
        <v>6355.0511020718277</v>
      </c>
      <c r="J393" s="270">
        <f t="shared" si="53"/>
        <v>6641.8186850211778</v>
      </c>
      <c r="K393" s="270">
        <f t="shared" si="54"/>
        <v>6918.748392471899</v>
      </c>
      <c r="L393" s="270">
        <f t="shared" si="55"/>
        <v>7186.961773727654</v>
      </c>
      <c r="M393" s="270">
        <f t="shared" si="56"/>
        <v>7447.3809662755975</v>
      </c>
      <c r="N393" s="270">
        <f t="shared" si="57"/>
        <v>7700.7750740764377</v>
      </c>
      <c r="O393" s="270">
        <f t="shared" si="58"/>
        <v>7947.7935420251779</v>
      </c>
      <c r="P393" s="270">
        <f t="shared" si="59"/>
        <v>8188.9907209944404</v>
      </c>
      <c r="Q393" s="270">
        <f t="shared" si="60"/>
        <v>8424.8443077056581</v>
      </c>
      <c r="R393" s="290">
        <f t="shared" si="61"/>
        <v>8655.7694279157913</v>
      </c>
      <c r="S393" s="265">
        <v>950</v>
      </c>
      <c r="T393" s="265"/>
      <c r="U393" s="265"/>
      <c r="V393" s="265"/>
      <c r="W393" s="265"/>
    </row>
    <row r="394" spans="1:23" ht="15" thickBot="1" x14ac:dyDescent="0.25">
      <c r="A394" s="270"/>
      <c r="B394" s="270">
        <v>20</v>
      </c>
      <c r="C394" s="270">
        <v>1000</v>
      </c>
      <c r="D394" s="291">
        <f t="shared" si="47"/>
        <v>4909.852882876793</v>
      </c>
      <c r="E394" s="292">
        <f t="shared" si="48"/>
        <v>5288.0294411814129</v>
      </c>
      <c r="F394" s="292">
        <f t="shared" si="49"/>
        <v>5642.8003470612739</v>
      </c>
      <c r="G394" s="292">
        <f t="shared" si="50"/>
        <v>5978.5227173308149</v>
      </c>
      <c r="H394" s="292">
        <f t="shared" si="51"/>
        <v>6298.3485883915473</v>
      </c>
      <c r="I394" s="292">
        <f t="shared" si="52"/>
        <v>6604.6449318244622</v>
      </c>
      <c r="J394" s="292">
        <f t="shared" si="53"/>
        <v>6899.2425366343114</v>
      </c>
      <c r="K394" s="292">
        <f t="shared" si="54"/>
        <v>7183.5919004720618</v>
      </c>
      <c r="L394" s="292">
        <f t="shared" si="55"/>
        <v>7458.8653340582214</v>
      </c>
      <c r="M394" s="292">
        <f t="shared" si="56"/>
        <v>7726.0263410527086</v>
      </c>
      <c r="N394" s="292">
        <f t="shared" si="57"/>
        <v>7985.8782370733434</v>
      </c>
      <c r="O394" s="292">
        <f t="shared" si="58"/>
        <v>8239.0991254195342</v>
      </c>
      <c r="P394" s="292">
        <f t="shared" si="59"/>
        <v>8486.2676329346996</v>
      </c>
      <c r="Q394" s="292">
        <f t="shared" si="60"/>
        <v>8727.8822232250168</v>
      </c>
      <c r="R394" s="293">
        <f t="shared" si="61"/>
        <v>8964.3759428350149</v>
      </c>
      <c r="S394" s="265">
        <v>1000</v>
      </c>
      <c r="T394" s="265"/>
      <c r="U394" s="265"/>
      <c r="V394" s="265"/>
      <c r="W394" s="265"/>
    </row>
    <row r="395" spans="1:23" x14ac:dyDescent="0.2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3" x14ac:dyDescent="0.2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3" x14ac:dyDescent="0.2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3" x14ac:dyDescent="0.2">
      <c r="A398" s="295">
        <v>500</v>
      </c>
      <c r="B398" s="296">
        <v>2.1</v>
      </c>
      <c r="C398" s="297">
        <v>51</v>
      </c>
      <c r="E398" s="178">
        <v>4.2000000000000006E-3</v>
      </c>
      <c r="F398" s="178">
        <v>0.10199999999999999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3" x14ac:dyDescent="0.2">
      <c r="A399" s="295">
        <v>550</v>
      </c>
      <c r="B399" s="296">
        <v>2.3000000000000003</v>
      </c>
      <c r="C399" s="297">
        <v>56.1</v>
      </c>
      <c r="E399" s="178">
        <v>4.1818181818181824E-3</v>
      </c>
      <c r="F399" s="178">
        <v>0.10200000000000001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3" x14ac:dyDescent="0.2">
      <c r="A400" s="295">
        <v>600</v>
      </c>
      <c r="B400" s="296">
        <v>2.5</v>
      </c>
      <c r="C400" s="297">
        <v>61.2</v>
      </c>
      <c r="E400" s="178">
        <v>4.1666666666666666E-3</v>
      </c>
      <c r="F400" s="178">
        <v>0.10200000000000001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3" x14ac:dyDescent="0.2">
      <c r="A401" s="295">
        <v>650</v>
      </c>
      <c r="B401" s="296">
        <v>2.8000000000000003</v>
      </c>
      <c r="C401" s="297">
        <v>66.3</v>
      </c>
      <c r="E401" s="178">
        <v>4.3076923076923084E-3</v>
      </c>
      <c r="F401" s="178">
        <v>0.10199999999999999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3" x14ac:dyDescent="0.2">
      <c r="A402" s="295">
        <v>700</v>
      </c>
      <c r="B402" s="296">
        <v>3</v>
      </c>
      <c r="C402" s="297">
        <v>71.399999999999991</v>
      </c>
      <c r="E402" s="178">
        <v>4.2857142857142859E-3</v>
      </c>
      <c r="F402" s="178">
        <v>0.10199999999999999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3" x14ac:dyDescent="0.2">
      <c r="A403" s="295">
        <v>750</v>
      </c>
      <c r="B403" s="296">
        <v>3.2</v>
      </c>
      <c r="C403" s="297">
        <v>76.499999999999986</v>
      </c>
      <c r="E403" s="178">
        <v>4.2666666666666669E-3</v>
      </c>
      <c r="F403" s="178">
        <v>0.10199999999999998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3" x14ac:dyDescent="0.2">
      <c r="A404" s="295">
        <v>800</v>
      </c>
      <c r="B404" s="296">
        <v>3.33</v>
      </c>
      <c r="C404" s="297">
        <v>81.599999999999994</v>
      </c>
      <c r="E404" s="178">
        <v>4.1625000000000004E-3</v>
      </c>
      <c r="F404" s="178">
        <v>0.10199999999999999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3" x14ac:dyDescent="0.2">
      <c r="A405" s="295">
        <v>850</v>
      </c>
      <c r="B405" s="296">
        <v>3.6</v>
      </c>
      <c r="C405" s="297">
        <v>86.7</v>
      </c>
      <c r="E405" s="178">
        <v>4.2352941176470593E-3</v>
      </c>
      <c r="F405" s="178">
        <v>0.10200000000000001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3" x14ac:dyDescent="0.2">
      <c r="A406" s="295">
        <v>900</v>
      </c>
      <c r="B406" s="296">
        <v>3.8000000000000003</v>
      </c>
      <c r="C406" s="297">
        <v>91.8</v>
      </c>
      <c r="E406" s="178">
        <v>4.2222222222222227E-3</v>
      </c>
      <c r="F406" s="178">
        <v>0.10199999999999999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3" x14ac:dyDescent="0.2">
      <c r="A407" s="295">
        <v>950</v>
      </c>
      <c r="B407" s="296">
        <v>4</v>
      </c>
      <c r="C407" s="297">
        <v>96.9</v>
      </c>
      <c r="E407" s="178">
        <v>4.2105263157894736E-3</v>
      </c>
      <c r="F407" s="178">
        <v>0.10200000000000001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3" x14ac:dyDescent="0.2">
      <c r="A408" s="295">
        <v>1000</v>
      </c>
      <c r="B408" s="296">
        <v>4.1999999999999993</v>
      </c>
      <c r="C408" s="297">
        <v>102</v>
      </c>
      <c r="E408" s="178">
        <v>4.1999999999999989E-3</v>
      </c>
      <c r="F408" s="178">
        <v>0.10199999999999999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3" x14ac:dyDescent="0.2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3" ht="19" x14ac:dyDescent="0.25">
      <c r="A411" s="100" t="s">
        <v>252</v>
      </c>
    </row>
    <row r="412" spans="1:23" x14ac:dyDescent="0.2">
      <c r="B412" s="69" t="s">
        <v>8</v>
      </c>
    </row>
    <row r="413" spans="1:23" x14ac:dyDescent="0.2">
      <c r="A413" s="69" t="s">
        <v>154</v>
      </c>
      <c r="B413" s="69" t="s">
        <v>6</v>
      </c>
    </row>
    <row r="414" spans="1:23" x14ac:dyDescent="0.2">
      <c r="A414" s="69">
        <v>1</v>
      </c>
      <c r="B414" s="69">
        <v>0</v>
      </c>
    </row>
    <row r="415" spans="1:23" x14ac:dyDescent="0.2">
      <c r="A415" s="69">
        <v>2</v>
      </c>
      <c r="B415" s="124">
        <v>4</v>
      </c>
    </row>
    <row r="416" spans="1:23" x14ac:dyDescent="0.2">
      <c r="A416" s="69">
        <v>3</v>
      </c>
      <c r="B416" s="124">
        <v>5</v>
      </c>
    </row>
    <row r="417" spans="1:3" x14ac:dyDescent="0.2">
      <c r="A417" s="69">
        <v>4</v>
      </c>
      <c r="B417" s="124">
        <v>6</v>
      </c>
    </row>
    <row r="418" spans="1:3" x14ac:dyDescent="0.2">
      <c r="A418" s="69">
        <v>5</v>
      </c>
      <c r="B418" s="124">
        <v>7</v>
      </c>
    </row>
    <row r="419" spans="1:3" x14ac:dyDescent="0.2">
      <c r="A419" s="69">
        <v>6</v>
      </c>
      <c r="B419" s="124">
        <v>8</v>
      </c>
    </row>
    <row r="421" spans="1:3" x14ac:dyDescent="0.2">
      <c r="A421" s="69" t="s">
        <v>154</v>
      </c>
      <c r="B421" s="69" t="s">
        <v>7</v>
      </c>
    </row>
    <row r="422" spans="1:3" x14ac:dyDescent="0.2">
      <c r="A422" s="124">
        <v>1</v>
      </c>
      <c r="B422" s="124">
        <v>0</v>
      </c>
    </row>
    <row r="423" spans="1:3" x14ac:dyDescent="0.2">
      <c r="A423" s="124">
        <v>2</v>
      </c>
      <c r="B423" s="223">
        <v>0.25</v>
      </c>
    </row>
    <row r="424" spans="1:3" x14ac:dyDescent="0.2">
      <c r="A424" s="124">
        <v>3</v>
      </c>
      <c r="B424" s="223">
        <v>0.3</v>
      </c>
    </row>
    <row r="425" spans="1:3" x14ac:dyDescent="0.2">
      <c r="A425" s="124">
        <v>4</v>
      </c>
      <c r="B425" s="223">
        <v>0.35</v>
      </c>
    </row>
    <row r="426" spans="1:3" x14ac:dyDescent="0.2">
      <c r="A426" s="124">
        <v>5</v>
      </c>
      <c r="B426" s="223">
        <v>0.4</v>
      </c>
      <c r="C426" s="176"/>
    </row>
    <row r="427" spans="1:3" x14ac:dyDescent="0.2">
      <c r="A427" s="124">
        <v>6</v>
      </c>
      <c r="B427" s="223">
        <v>0.45</v>
      </c>
    </row>
    <row r="428" spans="1:3" x14ac:dyDescent="0.2">
      <c r="A428" s="124">
        <v>7</v>
      </c>
      <c r="B428" s="223">
        <v>0.5</v>
      </c>
    </row>
    <row r="429" spans="1:3" x14ac:dyDescent="0.2">
      <c r="A429" s="124">
        <v>8</v>
      </c>
      <c r="B429" s="223">
        <v>0.75</v>
      </c>
    </row>
    <row r="430" spans="1:3" x14ac:dyDescent="0.2">
      <c r="A430" s="124">
        <v>9</v>
      </c>
      <c r="B430" s="223">
        <v>1</v>
      </c>
    </row>
    <row r="432" spans="1:3" x14ac:dyDescent="0.2">
      <c r="A432" s="124">
        <v>1</v>
      </c>
      <c r="B432" s="69" t="s">
        <v>193</v>
      </c>
    </row>
    <row r="433" spans="1:2" x14ac:dyDescent="0.2">
      <c r="A433" s="69">
        <v>2</v>
      </c>
      <c r="B433" s="124" t="s">
        <v>254</v>
      </c>
    </row>
    <row r="434" spans="1:2" x14ac:dyDescent="0.2">
      <c r="A434" s="69">
        <v>3</v>
      </c>
      <c r="B434" s="69" t="s">
        <v>32</v>
      </c>
    </row>
    <row r="436" spans="1:2" x14ac:dyDescent="0.2">
      <c r="A436" s="69">
        <v>1</v>
      </c>
      <c r="B436" s="69">
        <v>30</v>
      </c>
    </row>
    <row r="437" spans="1:2" x14ac:dyDescent="0.2">
      <c r="A437" s="69">
        <v>2</v>
      </c>
      <c r="B437" s="69">
        <v>35</v>
      </c>
    </row>
    <row r="438" spans="1:2" x14ac:dyDescent="0.2">
      <c r="A438" s="69">
        <v>3</v>
      </c>
      <c r="B438" s="69">
        <v>40</v>
      </c>
    </row>
    <row r="439" spans="1:2" x14ac:dyDescent="0.2">
      <c r="A439" s="69">
        <v>4</v>
      </c>
      <c r="B439" s="69">
        <v>45</v>
      </c>
    </row>
    <row r="440" spans="1:2" x14ac:dyDescent="0.2">
      <c r="A440" s="124">
        <v>5</v>
      </c>
      <c r="B440" s="69">
        <v>50</v>
      </c>
    </row>
    <row r="441" spans="1:2" x14ac:dyDescent="0.2">
      <c r="A441" s="124">
        <v>6</v>
      </c>
      <c r="B441" s="69">
        <v>55</v>
      </c>
    </row>
    <row r="442" spans="1:2" x14ac:dyDescent="0.2">
      <c r="A442" s="124">
        <v>7</v>
      </c>
      <c r="B442" s="69">
        <v>60</v>
      </c>
    </row>
    <row r="443" spans="1:2" x14ac:dyDescent="0.2">
      <c r="A443" s="124">
        <v>8</v>
      </c>
      <c r="B443" s="69">
        <v>65</v>
      </c>
    </row>
    <row r="444" spans="1:2" x14ac:dyDescent="0.2">
      <c r="A444" s="124">
        <v>9</v>
      </c>
      <c r="B444" s="69">
        <v>70</v>
      </c>
    </row>
    <row r="445" spans="1:2" x14ac:dyDescent="0.2">
      <c r="A445" s="124">
        <v>10</v>
      </c>
      <c r="B445" s="69">
        <v>75</v>
      </c>
    </row>
    <row r="446" spans="1:2" x14ac:dyDescent="0.2">
      <c r="A446" s="124">
        <v>11</v>
      </c>
      <c r="B446" s="69">
        <v>80</v>
      </c>
    </row>
    <row r="447" spans="1:2" x14ac:dyDescent="0.2">
      <c r="A447" s="124">
        <v>12</v>
      </c>
      <c r="B447" s="69">
        <v>85</v>
      </c>
    </row>
    <row r="448" spans="1:2" x14ac:dyDescent="0.2">
      <c r="A448" s="124">
        <v>13</v>
      </c>
      <c r="B448" s="69">
        <v>90</v>
      </c>
    </row>
    <row r="449" spans="1:5" x14ac:dyDescent="0.2">
      <c r="A449" s="124">
        <v>14</v>
      </c>
      <c r="B449" s="69">
        <v>95</v>
      </c>
    </row>
    <row r="450" spans="1:5" x14ac:dyDescent="0.2">
      <c r="A450" s="124">
        <v>15</v>
      </c>
      <c r="B450" s="69">
        <v>100</v>
      </c>
    </row>
    <row r="452" spans="1:5" x14ac:dyDescent="0.2">
      <c r="B452" s="69" t="s">
        <v>11</v>
      </c>
    </row>
    <row r="453" spans="1:5" x14ac:dyDescent="0.2">
      <c r="A453" s="69">
        <v>1</v>
      </c>
      <c r="B453" s="69" t="s">
        <v>12</v>
      </c>
    </row>
    <row r="454" spans="1:5" x14ac:dyDescent="0.2">
      <c r="A454" s="69">
        <v>2</v>
      </c>
      <c r="B454" s="69" t="s">
        <v>13</v>
      </c>
    </row>
    <row r="455" spans="1:5" x14ac:dyDescent="0.2">
      <c r="A455" s="69">
        <v>3</v>
      </c>
      <c r="B455" s="69" t="s">
        <v>14</v>
      </c>
    </row>
    <row r="456" spans="1:5" x14ac:dyDescent="0.2">
      <c r="A456" s="69">
        <v>4</v>
      </c>
      <c r="B456" s="69" t="s">
        <v>152</v>
      </c>
    </row>
    <row r="458" spans="1:5" x14ac:dyDescent="0.2">
      <c r="A458" s="69" t="s">
        <v>10</v>
      </c>
      <c r="B458" s="69" t="s">
        <v>30</v>
      </c>
      <c r="D458" s="69" t="s">
        <v>29</v>
      </c>
      <c r="E458" s="69" t="s">
        <v>31</v>
      </c>
    </row>
    <row r="459" spans="1:5" x14ac:dyDescent="0.2">
      <c r="D459" s="69">
        <v>1</v>
      </c>
      <c r="E459" s="69">
        <v>1</v>
      </c>
    </row>
    <row r="460" spans="1:5" x14ac:dyDescent="0.2">
      <c r="D460" s="69">
        <v>2</v>
      </c>
      <c r="E460" s="69">
        <v>1.01</v>
      </c>
    </row>
    <row r="461" spans="1:5" x14ac:dyDescent="0.2">
      <c r="D461" s="69">
        <v>3</v>
      </c>
      <c r="E461" s="69">
        <v>1.02</v>
      </c>
    </row>
    <row r="462" spans="1:5" x14ac:dyDescent="0.2">
      <c r="D462" s="69">
        <v>4</v>
      </c>
      <c r="E462" s="69">
        <v>1.03</v>
      </c>
    </row>
    <row r="464" spans="1:5" x14ac:dyDescent="0.2">
      <c r="A464" s="69" t="s">
        <v>9</v>
      </c>
    </row>
    <row r="465" spans="1:3" x14ac:dyDescent="0.2">
      <c r="A465" s="69" t="s">
        <v>93</v>
      </c>
    </row>
    <row r="466" spans="1:3" x14ac:dyDescent="0.2">
      <c r="A466" s="69" t="s">
        <v>92</v>
      </c>
    </row>
    <row r="468" spans="1:3" x14ac:dyDescent="0.2">
      <c r="B468" s="351" t="s">
        <v>91</v>
      </c>
      <c r="C468" s="351"/>
    </row>
    <row r="469" spans="1:3" x14ac:dyDescent="0.2">
      <c r="A469" s="69">
        <v>1</v>
      </c>
      <c r="B469" s="222">
        <v>0</v>
      </c>
      <c r="C469" s="222">
        <v>0</v>
      </c>
    </row>
    <row r="470" spans="1:3" x14ac:dyDescent="0.2">
      <c r="A470" s="69">
        <v>2</v>
      </c>
      <c r="B470" s="69" t="str">
        <f>"1 : 6"</f>
        <v>1 : 6</v>
      </c>
      <c r="C470" s="223">
        <f>(1/7)</f>
        <v>0.14285714285714285</v>
      </c>
    </row>
    <row r="471" spans="1:3" x14ac:dyDescent="0.2">
      <c r="A471" s="69">
        <v>3</v>
      </c>
      <c r="B471" s="69" t="str">
        <f>"1 : 7"</f>
        <v>1 : 7</v>
      </c>
      <c r="C471" s="223">
        <f>(1/8)</f>
        <v>0.125</v>
      </c>
    </row>
    <row r="472" spans="1:3" x14ac:dyDescent="0.2">
      <c r="A472" s="69">
        <v>4</v>
      </c>
      <c r="B472" s="69" t="str">
        <f>"1 : 8"</f>
        <v>1 : 8</v>
      </c>
      <c r="C472" s="223">
        <f>(1/9)</f>
        <v>0.1111111111111111</v>
      </c>
    </row>
    <row r="473" spans="1:3" x14ac:dyDescent="0.2">
      <c r="A473" s="69">
        <v>5</v>
      </c>
      <c r="B473" s="69" t="str">
        <f>"1 : 9"</f>
        <v>1 : 9</v>
      </c>
      <c r="C473" s="223">
        <f>(1/10)</f>
        <v>0.1</v>
      </c>
    </row>
    <row r="475" spans="1:3" x14ac:dyDescent="0.2">
      <c r="A475" s="69" t="s">
        <v>154</v>
      </c>
      <c r="B475" s="69" t="s">
        <v>9</v>
      </c>
    </row>
    <row r="476" spans="1:3" x14ac:dyDescent="0.2">
      <c r="A476" s="69">
        <v>1</v>
      </c>
      <c r="B476" s="69">
        <v>0</v>
      </c>
    </row>
    <row r="477" spans="1:3" x14ac:dyDescent="0.2">
      <c r="A477" s="69">
        <v>2</v>
      </c>
      <c r="B477" s="69">
        <v>5</v>
      </c>
    </row>
    <row r="478" spans="1:3" x14ac:dyDescent="0.2">
      <c r="A478" s="69">
        <v>3</v>
      </c>
      <c r="B478" s="69">
        <v>10</v>
      </c>
    </row>
    <row r="479" spans="1:3" x14ac:dyDescent="0.2">
      <c r="A479" s="69">
        <v>4</v>
      </c>
      <c r="B479" s="69">
        <v>15</v>
      </c>
    </row>
    <row r="480" spans="1:3" x14ac:dyDescent="0.2">
      <c r="A480" s="69">
        <v>5</v>
      </c>
      <c r="B480" s="69">
        <v>20</v>
      </c>
    </row>
    <row r="481" spans="1:2" x14ac:dyDescent="0.2">
      <c r="A481" s="69">
        <v>6</v>
      </c>
      <c r="B481" s="69">
        <v>25</v>
      </c>
    </row>
    <row r="482" spans="1:2" x14ac:dyDescent="0.2">
      <c r="A482" s="69">
        <v>7</v>
      </c>
      <c r="B482" s="69">
        <v>30</v>
      </c>
    </row>
    <row r="483" spans="1:2" x14ac:dyDescent="0.2">
      <c r="A483" s="69">
        <v>8</v>
      </c>
      <c r="B483" s="69">
        <v>35</v>
      </c>
    </row>
    <row r="484" spans="1:2" x14ac:dyDescent="0.2">
      <c r="A484" s="69">
        <v>9</v>
      </c>
      <c r="B484" s="69">
        <v>40</v>
      </c>
    </row>
    <row r="485" spans="1:2" x14ac:dyDescent="0.2">
      <c r="A485" s="69">
        <v>10</v>
      </c>
      <c r="B485" s="69">
        <v>45</v>
      </c>
    </row>
    <row r="486" spans="1:2" x14ac:dyDescent="0.2">
      <c r="A486" s="69">
        <v>11</v>
      </c>
      <c r="B486" s="69">
        <v>50</v>
      </c>
    </row>
    <row r="487" spans="1:2" x14ac:dyDescent="0.2">
      <c r="A487" s="69">
        <v>12</v>
      </c>
      <c r="B487" s="69">
        <v>75</v>
      </c>
    </row>
    <row r="488" spans="1:2" x14ac:dyDescent="0.2">
      <c r="A488" s="69">
        <v>13</v>
      </c>
      <c r="B488" s="69">
        <v>100</v>
      </c>
    </row>
    <row r="489" spans="1:2" x14ac:dyDescent="0.2">
      <c r="A489" s="69">
        <v>14</v>
      </c>
      <c r="B489" s="69">
        <v>125</v>
      </c>
    </row>
    <row r="490" spans="1:2" x14ac:dyDescent="0.2">
      <c r="A490" s="69">
        <v>15</v>
      </c>
      <c r="B490" s="69">
        <v>150</v>
      </c>
    </row>
    <row r="492" spans="1:2" x14ac:dyDescent="0.2">
      <c r="A492" s="69" t="str">
        <f>A465</f>
        <v>Substituição.Parcial</v>
      </c>
    </row>
    <row r="493" spans="1:2" x14ac:dyDescent="0.2">
      <c r="A493" s="67">
        <v>0.1</v>
      </c>
      <c r="B493" s="69">
        <v>0.1</v>
      </c>
    </row>
    <row r="494" spans="1:2" x14ac:dyDescent="0.2">
      <c r="A494" s="67">
        <v>0.2</v>
      </c>
      <c r="B494" s="69">
        <v>0.2</v>
      </c>
    </row>
    <row r="495" spans="1:2" x14ac:dyDescent="0.2">
      <c r="A495" s="67">
        <v>0.3</v>
      </c>
      <c r="B495" s="69">
        <v>0.3</v>
      </c>
    </row>
    <row r="496" spans="1:2" x14ac:dyDescent="0.2">
      <c r="A496" s="67">
        <v>0.4</v>
      </c>
      <c r="B496" s="69">
        <v>0.4</v>
      </c>
    </row>
    <row r="497" spans="1:5" x14ac:dyDescent="0.2">
      <c r="A497" s="67">
        <v>0.5</v>
      </c>
      <c r="B497" s="69">
        <v>0.5</v>
      </c>
    </row>
    <row r="498" spans="1:5" x14ac:dyDescent="0.2">
      <c r="A498" s="67">
        <v>0.6</v>
      </c>
      <c r="B498" s="69">
        <v>0.6</v>
      </c>
    </row>
    <row r="499" spans="1:5" x14ac:dyDescent="0.2">
      <c r="A499" s="67">
        <v>0.7</v>
      </c>
      <c r="B499" s="69">
        <v>0.7</v>
      </c>
    </row>
    <row r="500" spans="1:5" x14ac:dyDescent="0.2">
      <c r="A500" s="67">
        <v>0.8</v>
      </c>
      <c r="B500" s="69">
        <v>0.8</v>
      </c>
    </row>
    <row r="501" spans="1:5" x14ac:dyDescent="0.2">
      <c r="A501" s="67">
        <v>0.9</v>
      </c>
      <c r="B501" s="69">
        <v>0.9</v>
      </c>
    </row>
    <row r="503" spans="1:5" x14ac:dyDescent="0.2">
      <c r="E503" s="69">
        <f>0.16*60^0.75</f>
        <v>3.4493194748456069</v>
      </c>
    </row>
    <row r="504" spans="1:5" x14ac:dyDescent="0.2">
      <c r="C504" s="69" t="s">
        <v>189</v>
      </c>
      <c r="D504" s="69" t="s">
        <v>203</v>
      </c>
      <c r="E504" s="69" t="s">
        <v>204</v>
      </c>
    </row>
    <row r="505" spans="1:5" x14ac:dyDescent="0.2">
      <c r="A505" s="69">
        <v>1</v>
      </c>
      <c r="B505" s="69" t="s">
        <v>174</v>
      </c>
      <c r="C505" s="176">
        <v>2.6</v>
      </c>
      <c r="D505" s="69">
        <v>200</v>
      </c>
      <c r="E505" s="222">
        <f>D505*0.75</f>
        <v>150</v>
      </c>
    </row>
    <row r="506" spans="1:5" x14ac:dyDescent="0.2">
      <c r="A506" s="69">
        <v>2</v>
      </c>
      <c r="B506" s="69" t="s">
        <v>175</v>
      </c>
      <c r="C506" s="69">
        <v>2.77</v>
      </c>
      <c r="D506" s="69">
        <v>224</v>
      </c>
      <c r="E506" s="222">
        <f>D506*0.75</f>
        <v>168</v>
      </c>
    </row>
    <row r="507" spans="1:5" x14ac:dyDescent="0.2">
      <c r="A507" s="69">
        <v>3</v>
      </c>
      <c r="B507" s="69" t="s">
        <v>187</v>
      </c>
      <c r="C507" s="69">
        <v>2.82</v>
      </c>
      <c r="D507" s="69">
        <v>246</v>
      </c>
      <c r="E507" s="222">
        <f>D507*0.75</f>
        <v>184.5</v>
      </c>
    </row>
    <row r="508" spans="1:5" x14ac:dyDescent="0.2">
      <c r="A508" s="69">
        <v>4</v>
      </c>
      <c r="B508" s="69" t="s">
        <v>188</v>
      </c>
      <c r="C508" s="69">
        <v>2.87</v>
      </c>
      <c r="D508" s="69">
        <v>267</v>
      </c>
      <c r="E508" s="222">
        <f>D508*0.75</f>
        <v>200.25</v>
      </c>
    </row>
    <row r="509" spans="1:5" x14ac:dyDescent="0.2">
      <c r="A509" s="69">
        <v>5</v>
      </c>
      <c r="B509" s="69" t="s">
        <v>190</v>
      </c>
      <c r="C509" s="69">
        <v>2.96</v>
      </c>
      <c r="D509" s="69">
        <v>237</v>
      </c>
      <c r="E509" s="222">
        <f>D509*0.8</f>
        <v>189.60000000000002</v>
      </c>
    </row>
    <row r="511" spans="1:5" x14ac:dyDescent="0.2">
      <c r="A511" s="69" t="s">
        <v>194</v>
      </c>
    </row>
    <row r="512" spans="1:5" x14ac:dyDescent="0.2">
      <c r="A512" s="69" t="s">
        <v>195</v>
      </c>
    </row>
    <row r="513" spans="1:7" x14ac:dyDescent="0.2">
      <c r="A513" s="69" t="s">
        <v>196</v>
      </c>
    </row>
    <row r="516" spans="1:7" ht="19" x14ac:dyDescent="0.25">
      <c r="A516" s="100" t="s">
        <v>253</v>
      </c>
    </row>
    <row r="517" spans="1:7" x14ac:dyDescent="0.2">
      <c r="C517" s="116" t="s">
        <v>97</v>
      </c>
      <c r="D517" s="116" t="s">
        <v>34</v>
      </c>
      <c r="E517" s="116" t="s">
        <v>37</v>
      </c>
      <c r="F517" s="116" t="s">
        <v>38</v>
      </c>
      <c r="G517" s="116" t="s">
        <v>186</v>
      </c>
    </row>
    <row r="518" spans="1:7" x14ac:dyDescent="0.2">
      <c r="A518" s="69">
        <v>1</v>
      </c>
      <c r="G518" s="139" t="s">
        <v>6</v>
      </c>
    </row>
    <row r="519" spans="1:7" x14ac:dyDescent="0.2">
      <c r="A519" s="69">
        <v>2</v>
      </c>
      <c r="B519" s="139" t="s">
        <v>33</v>
      </c>
      <c r="C519" s="298">
        <v>0.125</v>
      </c>
      <c r="D519" s="299">
        <v>3.2000000000000001E-2</v>
      </c>
      <c r="E519" s="299">
        <v>3.7999999999999999E-2</v>
      </c>
      <c r="F519" s="299">
        <v>4.4999999999999998E-2</v>
      </c>
      <c r="G519" s="139" t="s">
        <v>6</v>
      </c>
    </row>
    <row r="520" spans="1:7" x14ac:dyDescent="0.2">
      <c r="A520" s="69">
        <v>3</v>
      </c>
      <c r="B520" s="139" t="s">
        <v>32</v>
      </c>
      <c r="C520" s="298">
        <v>0.1</v>
      </c>
      <c r="D520" s="299">
        <v>2.8000000000000001E-2</v>
      </c>
      <c r="E520" s="299">
        <v>3.7999999999999999E-2</v>
      </c>
      <c r="F520" s="299">
        <v>3.5000000000000003E-2</v>
      </c>
      <c r="G520" s="69" t="s">
        <v>40</v>
      </c>
    </row>
    <row r="521" spans="1:7" x14ac:dyDescent="0.2">
      <c r="B521" s="69" t="s">
        <v>25</v>
      </c>
      <c r="D521" s="300">
        <v>0.22</v>
      </c>
      <c r="E521" s="300">
        <v>0.2</v>
      </c>
      <c r="F521" s="300">
        <v>0.43</v>
      </c>
      <c r="G521" s="69" t="s">
        <v>40</v>
      </c>
    </row>
    <row r="522" spans="1:7" x14ac:dyDescent="0.2">
      <c r="B522" s="69" t="s">
        <v>24</v>
      </c>
      <c r="D522" s="300">
        <v>0.21</v>
      </c>
      <c r="E522" s="300">
        <v>0.15</v>
      </c>
      <c r="F522" s="300">
        <v>0.27</v>
      </c>
      <c r="G522" s="69" t="s">
        <v>40</v>
      </c>
    </row>
    <row r="523" spans="1:7" x14ac:dyDescent="0.2">
      <c r="B523" s="69" t="s">
        <v>23</v>
      </c>
      <c r="D523" s="300">
        <v>0.2</v>
      </c>
      <c r="E523" s="300">
        <v>0.14000000000000001</v>
      </c>
      <c r="F523" s="300">
        <v>0.16</v>
      </c>
      <c r="G523" s="139" t="s">
        <v>40</v>
      </c>
    </row>
    <row r="524" spans="1:7" x14ac:dyDescent="0.2">
      <c r="B524" s="301" t="s">
        <v>94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7" x14ac:dyDescent="0.2">
      <c r="G525" s="69">
        <v>2.87</v>
      </c>
    </row>
    <row r="526" spans="1:7" x14ac:dyDescent="0.2">
      <c r="B526" s="69" t="s">
        <v>41</v>
      </c>
      <c r="C526" s="69">
        <v>88</v>
      </c>
      <c r="D526" s="303">
        <v>21</v>
      </c>
      <c r="E526" s="300">
        <v>0.04</v>
      </c>
      <c r="F526" s="300">
        <f>1.5%</f>
        <v>1.4999999999999999E-2</v>
      </c>
      <c r="G526" s="139" t="s">
        <v>100</v>
      </c>
    </row>
    <row r="527" spans="1:7" x14ac:dyDescent="0.2">
      <c r="B527" s="139" t="s">
        <v>39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7" x14ac:dyDescent="0.2">
      <c r="B528" s="139"/>
      <c r="C528" s="139"/>
      <c r="D528" s="302"/>
      <c r="E528" s="302"/>
      <c r="F528" s="302"/>
      <c r="G528" s="139" t="s">
        <v>99</v>
      </c>
    </row>
    <row r="529" spans="1:7" x14ac:dyDescent="0.2">
      <c r="B529" s="139" t="s">
        <v>98</v>
      </c>
      <c r="C529" s="298">
        <v>0.33</v>
      </c>
      <c r="D529" s="302">
        <v>0.09</v>
      </c>
      <c r="E529" s="302">
        <v>3.5000000000000003E-2</v>
      </c>
      <c r="F529" s="302"/>
      <c r="G529" s="139" t="s">
        <v>99</v>
      </c>
    </row>
    <row r="530" spans="1:7" x14ac:dyDescent="0.2">
      <c r="B530" s="139" t="s">
        <v>101</v>
      </c>
      <c r="C530" s="298"/>
      <c r="D530" s="302"/>
      <c r="E530" s="302"/>
      <c r="F530" s="302"/>
      <c r="G530" s="139"/>
    </row>
    <row r="532" spans="1:7" ht="15" x14ac:dyDescent="0.2">
      <c r="B532" s="304"/>
      <c r="C532" s="305" t="s">
        <v>109</v>
      </c>
      <c r="D532" s="305" t="s">
        <v>110</v>
      </c>
      <c r="E532" s="305" t="s">
        <v>111</v>
      </c>
      <c r="F532" s="305" t="s">
        <v>112</v>
      </c>
    </row>
    <row r="533" spans="1:7" x14ac:dyDescent="0.2">
      <c r="A533" s="69">
        <v>1</v>
      </c>
      <c r="B533" s="306" t="s">
        <v>113</v>
      </c>
      <c r="C533" s="306" t="s">
        <v>96</v>
      </c>
      <c r="D533" s="306">
        <v>22</v>
      </c>
      <c r="E533" s="306">
        <v>20</v>
      </c>
      <c r="F533" s="306">
        <v>42</v>
      </c>
    </row>
    <row r="534" spans="1:7" x14ac:dyDescent="0.2">
      <c r="A534" s="69">
        <v>2</v>
      </c>
      <c r="B534" s="306" t="s">
        <v>114</v>
      </c>
      <c r="C534" s="306" t="s">
        <v>96</v>
      </c>
      <c r="D534" s="306">
        <v>19.600000000000001</v>
      </c>
      <c r="E534" s="306">
        <v>15.6</v>
      </c>
      <c r="F534" s="306">
        <v>40</v>
      </c>
    </row>
    <row r="535" spans="1:7" x14ac:dyDescent="0.2">
      <c r="A535" s="69">
        <v>3</v>
      </c>
      <c r="B535" s="306" t="s">
        <v>24</v>
      </c>
      <c r="C535" s="306" t="s">
        <v>96</v>
      </c>
      <c r="D535" s="306">
        <v>19</v>
      </c>
      <c r="E535" s="306">
        <v>16</v>
      </c>
      <c r="F535" s="306">
        <v>29</v>
      </c>
    </row>
    <row r="536" spans="1:7" x14ac:dyDescent="0.2">
      <c r="A536" s="69">
        <v>4</v>
      </c>
      <c r="B536" s="306" t="s">
        <v>23</v>
      </c>
      <c r="C536" s="306" t="s">
        <v>96</v>
      </c>
      <c r="D536" s="306">
        <v>20</v>
      </c>
      <c r="E536" s="306">
        <v>13.5</v>
      </c>
      <c r="F536" s="306">
        <v>12</v>
      </c>
    </row>
    <row r="537" spans="1:7" x14ac:dyDescent="0.2">
      <c r="A537" s="69">
        <v>1</v>
      </c>
    </row>
    <row r="538" spans="1:7" x14ac:dyDescent="0.2">
      <c r="A538" s="69">
        <v>2</v>
      </c>
      <c r="B538" s="306" t="s">
        <v>121</v>
      </c>
      <c r="C538" s="306" t="s">
        <v>122</v>
      </c>
      <c r="D538" s="306">
        <v>21</v>
      </c>
      <c r="E538" s="306">
        <v>15</v>
      </c>
      <c r="F538" s="306">
        <v>42</v>
      </c>
    </row>
    <row r="539" spans="1:7" x14ac:dyDescent="0.2">
      <c r="A539" s="69">
        <v>3</v>
      </c>
      <c r="B539" s="306" t="s">
        <v>119</v>
      </c>
      <c r="C539" s="306" t="s">
        <v>120</v>
      </c>
      <c r="D539" s="306">
        <v>20</v>
      </c>
      <c r="E539" s="306">
        <v>16</v>
      </c>
      <c r="F539" s="306">
        <v>40</v>
      </c>
    </row>
    <row r="540" spans="1:7" x14ac:dyDescent="0.2">
      <c r="A540" s="69">
        <v>4</v>
      </c>
      <c r="B540" s="306" t="s">
        <v>136</v>
      </c>
      <c r="C540" s="306" t="s">
        <v>136</v>
      </c>
      <c r="D540" s="306">
        <v>20</v>
      </c>
      <c r="E540" s="306">
        <v>10</v>
      </c>
      <c r="F540" s="306">
        <v>40</v>
      </c>
    </row>
    <row r="541" spans="1:7" x14ac:dyDescent="0.2">
      <c r="A541" s="69">
        <v>5</v>
      </c>
      <c r="B541" s="306" t="s">
        <v>126</v>
      </c>
      <c r="C541" s="306" t="s">
        <v>127</v>
      </c>
      <c r="D541" s="306">
        <v>20</v>
      </c>
      <c r="E541" s="306">
        <v>10</v>
      </c>
      <c r="F541" s="306">
        <v>26</v>
      </c>
    </row>
    <row r="542" spans="1:7" x14ac:dyDescent="0.2">
      <c r="A542" s="69">
        <v>1</v>
      </c>
      <c r="B542" s="306" t="s">
        <v>125</v>
      </c>
      <c r="C542" s="306" t="s">
        <v>124</v>
      </c>
      <c r="D542" s="306">
        <v>20</v>
      </c>
      <c r="E542" s="306">
        <v>15</v>
      </c>
      <c r="F542" s="306">
        <v>46</v>
      </c>
    </row>
    <row r="543" spans="1:7" x14ac:dyDescent="0.2">
      <c r="A543" s="69">
        <v>2</v>
      </c>
      <c r="B543" s="306" t="s">
        <v>123</v>
      </c>
      <c r="C543" s="306" t="s">
        <v>124</v>
      </c>
      <c r="D543" s="306">
        <v>22</v>
      </c>
      <c r="E543" s="306">
        <v>17</v>
      </c>
      <c r="F543" s="306">
        <v>44</v>
      </c>
    </row>
    <row r="544" spans="1:7" x14ac:dyDescent="0.2">
      <c r="A544" s="69">
        <v>3</v>
      </c>
      <c r="B544" s="306" t="s">
        <v>113</v>
      </c>
      <c r="C544" s="306" t="s">
        <v>96</v>
      </c>
      <c r="D544" s="306">
        <v>22</v>
      </c>
      <c r="E544" s="306">
        <v>20</v>
      </c>
      <c r="F544" s="306">
        <v>42</v>
      </c>
    </row>
    <row r="545" spans="1:18" x14ac:dyDescent="0.2">
      <c r="A545" s="69">
        <v>9</v>
      </c>
      <c r="B545" s="306" t="s">
        <v>133</v>
      </c>
      <c r="C545" s="306" t="s">
        <v>134</v>
      </c>
      <c r="D545" s="306">
        <v>22.5</v>
      </c>
      <c r="E545" s="307">
        <v>18</v>
      </c>
      <c r="F545" s="306">
        <v>42</v>
      </c>
    </row>
    <row r="546" spans="1:18" x14ac:dyDescent="0.2">
      <c r="A546" s="69">
        <v>10</v>
      </c>
      <c r="B546" s="306" t="s">
        <v>135</v>
      </c>
      <c r="C546" s="306" t="s">
        <v>134</v>
      </c>
      <c r="D546" s="306">
        <v>21</v>
      </c>
      <c r="E546" s="306">
        <v>13</v>
      </c>
      <c r="F546" s="306">
        <v>47</v>
      </c>
    </row>
    <row r="547" spans="1:18" x14ac:dyDescent="0.2">
      <c r="A547" s="69">
        <v>11</v>
      </c>
      <c r="B547" s="306" t="s">
        <v>118</v>
      </c>
      <c r="C547" s="306" t="s">
        <v>116</v>
      </c>
      <c r="D547" s="306">
        <v>20</v>
      </c>
      <c r="E547" s="306">
        <v>10</v>
      </c>
      <c r="F547" s="306">
        <v>20</v>
      </c>
    </row>
    <row r="548" spans="1:18" x14ac:dyDescent="0.2">
      <c r="A548" s="69">
        <v>12</v>
      </c>
      <c r="B548" s="306" t="s">
        <v>115</v>
      </c>
      <c r="C548" s="306" t="s">
        <v>116</v>
      </c>
      <c r="D548" s="306">
        <v>20</v>
      </c>
      <c r="E548" s="306">
        <v>15</v>
      </c>
      <c r="F548" s="306">
        <v>48</v>
      </c>
    </row>
    <row r="549" spans="1:18" x14ac:dyDescent="0.2">
      <c r="A549" s="69">
        <v>13</v>
      </c>
      <c r="B549" s="306" t="s">
        <v>117</v>
      </c>
      <c r="C549" s="306" t="s">
        <v>116</v>
      </c>
      <c r="D549" s="306">
        <v>22</v>
      </c>
      <c r="E549" s="306">
        <v>18</v>
      </c>
      <c r="F549" s="306">
        <v>38</v>
      </c>
    </row>
    <row r="550" spans="1:18" x14ac:dyDescent="0.2">
      <c r="A550" s="69">
        <v>14</v>
      </c>
      <c r="B550" s="306" t="s">
        <v>128</v>
      </c>
      <c r="C550" s="306" t="s">
        <v>129</v>
      </c>
      <c r="D550" s="306">
        <v>22</v>
      </c>
      <c r="E550" s="306">
        <v>10</v>
      </c>
      <c r="F550" s="306">
        <v>13</v>
      </c>
    </row>
    <row r="551" spans="1:18" x14ac:dyDescent="0.2">
      <c r="A551" s="69">
        <v>15</v>
      </c>
      <c r="B551" s="306" t="s">
        <v>130</v>
      </c>
      <c r="C551" s="306" t="s">
        <v>131</v>
      </c>
      <c r="D551" s="306">
        <v>22</v>
      </c>
      <c r="E551" s="306">
        <v>19</v>
      </c>
      <c r="F551" s="306">
        <v>44</v>
      </c>
    </row>
    <row r="552" spans="1:18" x14ac:dyDescent="0.2">
      <c r="A552" s="69">
        <v>16</v>
      </c>
      <c r="B552" s="306" t="s">
        <v>132</v>
      </c>
      <c r="C552" s="306" t="s">
        <v>131</v>
      </c>
      <c r="D552" s="306">
        <v>20</v>
      </c>
      <c r="E552" s="306">
        <v>16</v>
      </c>
      <c r="F552" s="306">
        <v>47</v>
      </c>
    </row>
    <row r="553" spans="1:18" x14ac:dyDescent="0.2">
      <c r="B553" s="306" t="s">
        <v>137</v>
      </c>
      <c r="C553" s="306"/>
      <c r="D553" s="306"/>
      <c r="E553" s="306"/>
      <c r="F553" s="306"/>
    </row>
    <row r="555" spans="1:18" ht="19" x14ac:dyDescent="0.25">
      <c r="A555" s="100" t="s">
        <v>277</v>
      </c>
    </row>
    <row r="556" spans="1:18" x14ac:dyDescent="0.2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7.0000000000000007E-2</v>
      </c>
      <c r="N556" s="342"/>
      <c r="O556" s="342">
        <v>7.0000000000000007E-2</v>
      </c>
      <c r="P556" s="342"/>
      <c r="Q556" s="341"/>
      <c r="R556" s="341"/>
    </row>
    <row r="557" spans="1:18" x14ac:dyDescent="0.2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108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18" ht="18" customHeight="1" x14ac:dyDescent="0.2">
      <c r="A558" s="343" t="s">
        <v>15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18" ht="15" x14ac:dyDescent="0.2">
      <c r="A559" s="343" t="s">
        <v>16</v>
      </c>
      <c r="B559" s="343" t="s">
        <v>12</v>
      </c>
      <c r="C559" s="343"/>
      <c r="D559" s="343"/>
      <c r="E559" s="343" t="s">
        <v>13</v>
      </c>
      <c r="F559" s="343"/>
      <c r="G559" s="343"/>
      <c r="H559" s="343" t="s">
        <v>14</v>
      </c>
      <c r="I559" s="343"/>
      <c r="J559" s="343"/>
      <c r="M559" s="116">
        <v>0</v>
      </c>
      <c r="N559" s="116"/>
      <c r="O559" s="116"/>
    </row>
    <row r="560" spans="1:18" ht="15" x14ac:dyDescent="0.2">
      <c r="A560" s="343" t="s">
        <v>17</v>
      </c>
      <c r="B560" s="343" t="s">
        <v>18</v>
      </c>
      <c r="C560" s="343" t="s">
        <v>19</v>
      </c>
      <c r="D560" s="343" t="s">
        <v>20</v>
      </c>
      <c r="E560" s="343" t="s">
        <v>18</v>
      </c>
      <c r="F560" s="343" t="s">
        <v>19</v>
      </c>
      <c r="G560" s="343" t="s">
        <v>20</v>
      </c>
      <c r="H560" s="343" t="s">
        <v>18</v>
      </c>
      <c r="I560" s="343" t="s">
        <v>19</v>
      </c>
      <c r="J560" s="343" t="s">
        <v>20</v>
      </c>
      <c r="L560" s="344" t="s">
        <v>21</v>
      </c>
      <c r="M560" s="344" t="s">
        <v>102</v>
      </c>
      <c r="N560" s="116" t="s">
        <v>103</v>
      </c>
      <c r="O560" s="116" t="s">
        <v>104</v>
      </c>
      <c r="P560" s="116" t="s">
        <v>105</v>
      </c>
      <c r="Q560" s="116" t="s">
        <v>107</v>
      </c>
      <c r="R560" s="116" t="s">
        <v>106</v>
      </c>
    </row>
    <row r="561" spans="1:18" x14ac:dyDescent="0.2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18" x14ac:dyDescent="0.2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18" x14ac:dyDescent="0.2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18" x14ac:dyDescent="0.2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18" ht="19" x14ac:dyDescent="0.25">
      <c r="A567" s="100" t="s">
        <v>278</v>
      </c>
    </row>
    <row r="568" spans="1:18" x14ac:dyDescent="0.2">
      <c r="A568" s="329" t="s">
        <v>45</v>
      </c>
      <c r="B568" s="329" t="s">
        <v>46</v>
      </c>
      <c r="C568" s="329" t="s">
        <v>47</v>
      </c>
      <c r="D568" s="329" t="s">
        <v>48</v>
      </c>
      <c r="E568" s="329" t="s">
        <v>49</v>
      </c>
      <c r="F568" s="328"/>
    </row>
    <row r="569" spans="1:18" ht="30" x14ac:dyDescent="0.2">
      <c r="A569" s="330" t="s">
        <v>76</v>
      </c>
      <c r="B569" s="330" t="s">
        <v>50</v>
      </c>
      <c r="C569" s="331" t="s">
        <v>51</v>
      </c>
      <c r="D569" s="331" t="s">
        <v>52</v>
      </c>
      <c r="E569" s="330"/>
      <c r="F569" s="328"/>
    </row>
    <row r="570" spans="1:18" ht="30" x14ac:dyDescent="0.2">
      <c r="A570" s="331" t="e">
        <f>#REF!</f>
        <v>#REF!</v>
      </c>
      <c r="B570" s="331" t="s">
        <v>53</v>
      </c>
      <c r="C570" s="331" t="s">
        <v>51</v>
      </c>
      <c r="D570" s="331" t="s">
        <v>54</v>
      </c>
      <c r="E570" s="331" t="s">
        <v>55</v>
      </c>
      <c r="F570" s="328"/>
    </row>
    <row r="571" spans="1:18" ht="30" x14ac:dyDescent="0.2">
      <c r="A571" s="331" t="s">
        <v>77</v>
      </c>
      <c r="B571" s="331" t="s">
        <v>43</v>
      </c>
      <c r="C571" s="331" t="s">
        <v>56</v>
      </c>
      <c r="D571" s="331" t="s">
        <v>57</v>
      </c>
      <c r="E571" s="331" t="s">
        <v>58</v>
      </c>
      <c r="F571" s="328"/>
    </row>
    <row r="572" spans="1:18" ht="30" x14ac:dyDescent="0.2">
      <c r="A572" s="331" t="s">
        <v>78</v>
      </c>
      <c r="B572" s="331" t="s">
        <v>43</v>
      </c>
      <c r="C572" s="331" t="s">
        <v>59</v>
      </c>
      <c r="D572" s="331" t="s">
        <v>60</v>
      </c>
      <c r="E572" s="331" t="s">
        <v>61</v>
      </c>
      <c r="F572" s="328"/>
    </row>
    <row r="573" spans="1:18" ht="45" x14ac:dyDescent="0.2">
      <c r="A573" s="331" t="s">
        <v>79</v>
      </c>
      <c r="B573" s="331" t="s">
        <v>62</v>
      </c>
      <c r="C573" s="331" t="s">
        <v>63</v>
      </c>
      <c r="D573" s="331" t="s">
        <v>64</v>
      </c>
      <c r="E573" s="331" t="s">
        <v>65</v>
      </c>
      <c r="F573" s="328"/>
    </row>
    <row r="574" spans="1:18" ht="45" x14ac:dyDescent="0.2">
      <c r="A574" s="331" t="s">
        <v>80</v>
      </c>
      <c r="B574" s="331" t="s">
        <v>66</v>
      </c>
      <c r="C574" s="331" t="s">
        <v>67</v>
      </c>
      <c r="D574" s="331" t="s">
        <v>68</v>
      </c>
      <c r="E574" s="331" t="s">
        <v>69</v>
      </c>
      <c r="F574" s="328"/>
    </row>
    <row r="575" spans="1:18" x14ac:dyDescent="0.2">
      <c r="A575" s="332" t="s">
        <v>27</v>
      </c>
      <c r="B575" s="346" t="s">
        <v>70</v>
      </c>
      <c r="C575" s="346"/>
      <c r="D575" s="333"/>
      <c r="E575" s="334"/>
      <c r="F575" s="328"/>
    </row>
    <row r="576" spans="1:18" x14ac:dyDescent="0.2">
      <c r="A576" s="335" t="s">
        <v>26</v>
      </c>
      <c r="B576" s="347" t="s">
        <v>71</v>
      </c>
      <c r="C576" s="347"/>
      <c r="D576" s="336"/>
      <c r="E576" s="337"/>
      <c r="F576" s="328"/>
    </row>
    <row r="577" spans="1:6" x14ac:dyDescent="0.2">
      <c r="A577" s="338" t="s">
        <v>72</v>
      </c>
      <c r="B577" s="348" t="s">
        <v>73</v>
      </c>
      <c r="C577" s="348"/>
      <c r="D577" s="339" t="s">
        <v>74</v>
      </c>
      <c r="E577" s="340" t="s">
        <v>75</v>
      </c>
      <c r="F577" s="328"/>
    </row>
    <row r="578" spans="1:6" x14ac:dyDescent="0.2">
      <c r="A578" s="327"/>
      <c r="B578" s="327"/>
      <c r="C578" s="327"/>
      <c r="D578" s="327"/>
      <c r="E578" s="327"/>
      <c r="F578" s="327"/>
    </row>
    <row r="579" spans="1:6" x14ac:dyDescent="0.2">
      <c r="A579" s="327"/>
      <c r="B579" s="327"/>
      <c r="C579" s="327"/>
      <c r="D579" s="327"/>
      <c r="E579" s="327"/>
      <c r="F579" s="327"/>
    </row>
    <row r="580" spans="1:6" x14ac:dyDescent="0.2">
      <c r="A580" s="327"/>
      <c r="B580" s="327"/>
      <c r="C580" s="327"/>
      <c r="D580" s="327"/>
      <c r="E580" s="327"/>
      <c r="F580" s="327"/>
    </row>
  </sheetData>
  <mergeCells count="7">
    <mergeCell ref="F15:G15"/>
    <mergeCell ref="B468:C468"/>
    <mergeCell ref="B575:C575"/>
    <mergeCell ref="B576:C576"/>
    <mergeCell ref="B577:C577"/>
    <mergeCell ref="A27:B27"/>
    <mergeCell ref="F23:G23"/>
  </mergeCells>
  <phoneticPr fontId="19" type="noConversion"/>
  <conditionalFormatting sqref="C146 C148 C151 B156:C156 C158:C159 C162:C164">
    <cfRule type="cellIs" dxfId="5" priority="8" operator="equal">
      <formula>"Valores inválidos"</formula>
    </cfRule>
  </conditionalFormatting>
  <conditionalFormatting sqref="C168:C169">
    <cfRule type="cellIs" dxfId="4" priority="7" operator="equal">
      <formula>"Valores inválidos"</formula>
    </cfRule>
  </conditionalFormatting>
  <conditionalFormatting sqref="C284:R303">
    <cfRule type="cellIs" dxfId="3" priority="4" operator="equal">
      <formula>$G$3</formula>
    </cfRule>
  </conditionalFormatting>
  <conditionalFormatting sqref="C342:R361">
    <cfRule type="cellIs" dxfId="2" priority="3" operator="equal">
      <formula>$G$3</formula>
    </cfRule>
  </conditionalFormatting>
  <conditionalFormatting sqref="D283:R283">
    <cfRule type="cellIs" dxfId="1" priority="1" operator="equal">
      <formula>$G$1</formula>
    </cfRule>
  </conditionalFormatting>
  <conditionalFormatting sqref="D341:R341">
    <cfRule type="cellIs" dxfId="0" priority="2" operator="equal">
      <formula>$G$1</formula>
    </cfRule>
  </conditionalFormatting>
  <dataValidations count="5">
    <dataValidation type="list" allowBlank="1" showInputMessage="1" showErrorMessage="1" sqref="G14" xr:uid="{00000000-0002-0000-0100-000001000000}">
      <formula1>Ração</formula1>
    </dataValidation>
    <dataValidation type="list" allowBlank="1" showInputMessage="1" showErrorMessage="1" sqref="C185 C237" xr:uid="{1405653E-4E1C-45F1-98C5-D49B14DC2E5B}">
      <formula1>Leites</formula1>
    </dataValidation>
    <dataValidation type="list" allowBlank="1" showInputMessage="1" showErrorMessage="1" sqref="A189" xr:uid="{7A2FD4F3-613E-4924-94F3-6225078BF7C6}">
      <formula1>vetilac2</formula1>
    </dataValidation>
    <dataValidation type="list" allowBlank="1" showInputMessage="1" showErrorMessage="1" sqref="A241" xr:uid="{4463ABA6-A1F1-4A4A-B072-C35DA43A97DB}">
      <formula1>vetilac3</formula1>
    </dataValidation>
    <dataValidation type="list" allowBlank="1" showInputMessage="1" showErrorMessage="1" sqref="G518:G524 G526:G530" xr:uid="{00000000-0002-0000-1100-000000000000}">
      <formula1>classificacao2</formula1>
    </dataValidation>
  </dataValidations>
  <hyperlinks>
    <hyperlink ref="C11" r:id="rId1" xr:uid="{246E76DD-1046-435E-8456-035F738AF184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  <legacy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950EDED-3236-A943-B72B-EADBAF4516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1"/>
              <x14:cfIcon iconSet="3Symbols2" iconId="2"/>
            </x14:iconSet>
          </x14:cfRule>
          <xm:sqref>E192:F192</xm:sqref>
        </x14:conditionalFormatting>
        <x14:conditionalFormatting xmlns:xm="http://schemas.microsoft.com/office/excel/2006/main">
          <x14:cfRule type="iconSet" priority="5" id="{813B9BA7-47E8-8543-A905-23EB3AB4E97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1"/>
              <x14:cfIcon iconSet="3Symbols2" iconId="2"/>
            </x14:iconSet>
          </x14:cfRule>
          <xm:sqref>E244:F244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/>
  <dimension ref="B1:S31"/>
  <sheetViews>
    <sheetView workbookViewId="0">
      <selection activeCell="B1" sqref="B1:S9"/>
    </sheetView>
  </sheetViews>
  <sheetFormatPr baseColWidth="10" defaultColWidth="8.83203125" defaultRowHeight="15" x14ac:dyDescent="0.2"/>
  <cols>
    <col min="13" max="13" width="12.1640625" customWidth="1"/>
    <col min="14" max="14" width="10" bestFit="1" customWidth="1"/>
    <col min="15" max="15" width="10" customWidth="1"/>
    <col min="16" max="16" width="13.5" bestFit="1" customWidth="1"/>
  </cols>
  <sheetData>
    <row r="1" spans="2:19" x14ac:dyDescent="0.2">
      <c r="N1" s="356">
        <v>7.0000000000000007E-2</v>
      </c>
      <c r="O1" s="356"/>
      <c r="P1" s="356">
        <v>7.0000000000000007E-2</v>
      </c>
      <c r="Q1" s="357"/>
    </row>
    <row r="2" spans="2:19" ht="15.75" customHeight="1" thickBot="1" x14ac:dyDescent="0.25">
      <c r="M2" t="s">
        <v>108</v>
      </c>
      <c r="N2">
        <f>1-(1*N1)</f>
        <v>0.92999999999999994</v>
      </c>
      <c r="O2">
        <f>1+(1*N1)</f>
        <v>1.07</v>
      </c>
      <c r="P2">
        <f>1-(1*P1)</f>
        <v>0.92999999999999994</v>
      </c>
      <c r="Q2">
        <f>1+(1*P1)</f>
        <v>1.07</v>
      </c>
    </row>
    <row r="3" spans="2:19" ht="18" thickBot="1" x14ac:dyDescent="0.25">
      <c r="B3" s="360" t="s">
        <v>15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2:19" ht="17.25" customHeight="1" x14ac:dyDescent="0.2">
      <c r="B4" s="2" t="s">
        <v>16</v>
      </c>
      <c r="C4" s="363" t="s">
        <v>12</v>
      </c>
      <c r="D4" s="364"/>
      <c r="E4" s="365"/>
      <c r="F4" s="363" t="s">
        <v>13</v>
      </c>
      <c r="G4" s="364"/>
      <c r="H4" s="365"/>
      <c r="I4" s="363" t="s">
        <v>14</v>
      </c>
      <c r="J4" s="364"/>
      <c r="K4" s="366"/>
      <c r="N4" s="359">
        <f>Dados!C15</f>
        <v>0</v>
      </c>
      <c r="O4" s="359"/>
      <c r="P4" s="359"/>
    </row>
    <row r="5" spans="2:19" ht="18" thickBot="1" x14ac:dyDescent="0.25">
      <c r="B5" s="3" t="s">
        <v>17</v>
      </c>
      <c r="C5" s="4" t="s">
        <v>18</v>
      </c>
      <c r="D5" s="5" t="s">
        <v>19</v>
      </c>
      <c r="E5" s="6" t="s">
        <v>20</v>
      </c>
      <c r="F5" s="4" t="s">
        <v>18</v>
      </c>
      <c r="G5" s="5" t="s">
        <v>19</v>
      </c>
      <c r="H5" s="6" t="s">
        <v>20</v>
      </c>
      <c r="I5" s="4" t="s">
        <v>18</v>
      </c>
      <c r="J5" s="5" t="s">
        <v>19</v>
      </c>
      <c r="K5" s="7" t="s">
        <v>20</v>
      </c>
      <c r="M5" s="36" t="s">
        <v>21</v>
      </c>
      <c r="N5" s="36" t="s">
        <v>102</v>
      </c>
      <c r="O5" s="37" t="s">
        <v>103</v>
      </c>
      <c r="P5" s="37" t="s">
        <v>104</v>
      </c>
      <c r="Q5" s="37" t="s">
        <v>105</v>
      </c>
      <c r="R5" s="37" t="s">
        <v>107</v>
      </c>
      <c r="S5" s="37" t="s">
        <v>106</v>
      </c>
    </row>
    <row r="6" spans="2:19" ht="16" x14ac:dyDescent="0.2">
      <c r="B6" s="8">
        <v>0</v>
      </c>
      <c r="C6" s="9">
        <v>40</v>
      </c>
      <c r="D6" s="10">
        <v>70</v>
      </c>
      <c r="E6" s="23">
        <f>C6/D6</f>
        <v>0.5714285714285714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0.44827586206896552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 t="shared" ref="R6:S9" si="0">N6/P6</f>
        <v>#DIV/0!</v>
      </c>
      <c r="S6" s="35" t="e">
        <f t="shared" si="0"/>
        <v>#DIV/0!</v>
      </c>
    </row>
    <row r="7" spans="2:19" ht="16" x14ac:dyDescent="0.2">
      <c r="B7" s="13">
        <v>30</v>
      </c>
      <c r="C7" s="14">
        <v>64</v>
      </c>
      <c r="D7" s="15">
        <v>78</v>
      </c>
      <c r="E7" s="23">
        <f t="shared" ref="E7:E9" si="1">C7/D7</f>
        <v>0.82051282051282048</v>
      </c>
      <c r="F7" s="16">
        <v>52</v>
      </c>
      <c r="G7" s="17">
        <v>71</v>
      </c>
      <c r="H7" s="23">
        <f t="shared" ref="H7:H9" si="2">F7/G7</f>
        <v>0.73239436619718312</v>
      </c>
      <c r="I7" s="14">
        <v>39</v>
      </c>
      <c r="J7" s="17">
        <v>63</v>
      </c>
      <c r="K7" s="24">
        <f t="shared" ref="K7:K9" si="3">I7/J7</f>
        <v>0.61904761904761907</v>
      </c>
      <c r="M7" s="1">
        <f>B7</f>
        <v>30</v>
      </c>
      <c r="N7" s="1">
        <f t="shared" ref="N7:N9" si="4">IF($N$4="Holandês",VLOOKUP(M7,$B$6:$K$9,2,FALSE),IF($N$4="Girolando",VLOOKUP(M7,$B$6:$K$9,5,FALSE),IF($N$4="Jersey",VLOOKUP(M7,$B$6:$K$9,8,FALSE))))*$N$2</f>
        <v>0</v>
      </c>
      <c r="O7" s="1">
        <f t="shared" ref="O7:O9" si="5">IF($N$4="Holandês",VLOOKUP(M7,$B$6:$K$9,2,FALSE),IF($N$4="Girolando",VLOOKUP(M7,$B$6:$K$9,5,FALSE),IF($N$4="Jersey",VLOOKUP(M7,$B$6:$K$9,8,FALSE))))*$O$2</f>
        <v>0</v>
      </c>
      <c r="P7" s="1">
        <f t="shared" ref="P7:P9" si="6">IF($N$4="Holandês",VLOOKUP(M7,$B$6:$K$9,3,FALSE),IF($N$4="Girolando",VLOOKUP(M7,$B$6:$K$9,6,FALSE),IF($N$4="Jersey",VLOOKUP(M7,$B$6:$K$9,9,FALSE))))*$P$2</f>
        <v>0</v>
      </c>
      <c r="Q7" s="1">
        <f t="shared" ref="Q7:Q9" si="7">IF($N$4="Holandês",VLOOKUP(M7,$B$6:$K$9,3,FALSE),IF($N$4="Girolando",VLOOKUP(M7,$B$6:$K$9,6,FALSE),IF($N$4="Jersey",VLOOKUP(M7,$B$6:$K$9,9,FALSE))))*$Q$2</f>
        <v>0</v>
      </c>
      <c r="R7" s="35" t="e">
        <f t="shared" si="0"/>
        <v>#DIV/0!</v>
      </c>
      <c r="S7" s="35" t="e">
        <f t="shared" si="0"/>
        <v>#DIV/0!</v>
      </c>
    </row>
    <row r="8" spans="2:19" ht="16" x14ac:dyDescent="0.2">
      <c r="B8" s="18">
        <v>60</v>
      </c>
      <c r="C8" s="19">
        <v>86</v>
      </c>
      <c r="D8" s="20">
        <v>85</v>
      </c>
      <c r="E8" s="23">
        <f t="shared" si="1"/>
        <v>1.0117647058823529</v>
      </c>
      <c r="F8" s="21">
        <v>69</v>
      </c>
      <c r="G8" s="22">
        <v>77</v>
      </c>
      <c r="H8" s="23">
        <f t="shared" si="2"/>
        <v>0.89610389610389607</v>
      </c>
      <c r="I8" s="19">
        <v>52</v>
      </c>
      <c r="J8" s="22">
        <v>69</v>
      </c>
      <c r="K8" s="24">
        <f t="shared" si="3"/>
        <v>0.75362318840579712</v>
      </c>
      <c r="M8" s="1">
        <f>B8</f>
        <v>60</v>
      </c>
      <c r="N8" s="1">
        <f t="shared" si="4"/>
        <v>0</v>
      </c>
      <c r="O8" s="1">
        <f t="shared" si="5"/>
        <v>0</v>
      </c>
      <c r="P8" s="1">
        <f t="shared" si="6"/>
        <v>0</v>
      </c>
      <c r="Q8" s="1">
        <f t="shared" si="7"/>
        <v>0</v>
      </c>
      <c r="R8" s="35" t="e">
        <f t="shared" si="0"/>
        <v>#DIV/0!</v>
      </c>
      <c r="S8" s="35" t="e">
        <f t="shared" si="0"/>
        <v>#DIV/0!</v>
      </c>
    </row>
    <row r="9" spans="2:19" ht="17" thickBot="1" x14ac:dyDescent="0.25">
      <c r="B9" s="28">
        <v>90</v>
      </c>
      <c r="C9" s="29">
        <v>104</v>
      </c>
      <c r="D9" s="30">
        <v>90</v>
      </c>
      <c r="E9" s="31">
        <f t="shared" si="1"/>
        <v>1.1555555555555554</v>
      </c>
      <c r="F9" s="32">
        <v>85</v>
      </c>
      <c r="G9" s="33">
        <v>82</v>
      </c>
      <c r="H9" s="31">
        <f t="shared" si="2"/>
        <v>1.0365853658536586</v>
      </c>
      <c r="I9" s="29">
        <v>66</v>
      </c>
      <c r="J9" s="33">
        <v>73</v>
      </c>
      <c r="K9" s="34">
        <f t="shared" si="3"/>
        <v>0.90410958904109584</v>
      </c>
      <c r="M9" s="1">
        <f>B9</f>
        <v>90</v>
      </c>
      <c r="N9" s="1">
        <f t="shared" si="4"/>
        <v>0</v>
      </c>
      <c r="O9" s="1">
        <f t="shared" si="5"/>
        <v>0</v>
      </c>
      <c r="P9" s="1">
        <f t="shared" si="6"/>
        <v>0</v>
      </c>
      <c r="Q9" s="1">
        <f t="shared" si="7"/>
        <v>0</v>
      </c>
      <c r="R9" s="35" t="e">
        <f t="shared" si="0"/>
        <v>#DIV/0!</v>
      </c>
      <c r="S9" s="35" t="e">
        <f t="shared" si="0"/>
        <v>#DIV/0!</v>
      </c>
    </row>
    <row r="10" spans="2:19" ht="16" x14ac:dyDescent="0.2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2:19" ht="16" x14ac:dyDescent="0.2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2:19" ht="16" x14ac:dyDescent="0.2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2:19" ht="16" x14ac:dyDescent="0.2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2:19" ht="16" x14ac:dyDescent="0.2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2:19" ht="16" x14ac:dyDescent="0.2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2:19" ht="16" x14ac:dyDescent="0.2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2:11" ht="16" x14ac:dyDescent="0.2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2:11" ht="16" x14ac:dyDescent="0.2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2:11" ht="16" x14ac:dyDescent="0.2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2:11" ht="16" x14ac:dyDescent="0.2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2:11" ht="16" x14ac:dyDescent="0.2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2:11" ht="16" x14ac:dyDescent="0.2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2:11" ht="16" x14ac:dyDescent="0.2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2:11" ht="16" x14ac:dyDescent="0.2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2:11" ht="16" x14ac:dyDescent="0.2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2:11" ht="16" x14ac:dyDescent="0.2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2:11" ht="16" x14ac:dyDescent="0.2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2:11" ht="16" x14ac:dyDescent="0.2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2:11" ht="16" x14ac:dyDescent="0.2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2:11" ht="16" x14ac:dyDescent="0.2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2:11" ht="19" x14ac:dyDescent="0.2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 count="10"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5">
    <pageSetUpPr fitToPage="1"/>
  </sheetPr>
  <dimension ref="B2:F4"/>
  <sheetViews>
    <sheetView topLeftCell="A3" workbookViewId="0">
      <selection activeCell="B3" sqref="B3:F12"/>
    </sheetView>
  </sheetViews>
  <sheetFormatPr baseColWidth="10" defaultColWidth="8.83203125" defaultRowHeight="15" x14ac:dyDescent="0.2"/>
  <cols>
    <col min="1" max="1" width="3" customWidth="1"/>
    <col min="2" max="2" width="30.33203125" customWidth="1"/>
    <col min="3" max="3" width="20.5" bestFit="1" customWidth="1"/>
    <col min="4" max="4" width="23.1640625" customWidth="1"/>
    <col min="5" max="5" width="39.5" customWidth="1"/>
    <col min="6" max="6" width="29.5" customWidth="1"/>
  </cols>
  <sheetData>
    <row r="2" spans="2:6" ht="72" customHeight="1" x14ac:dyDescent="0.2">
      <c r="B2" s="367" t="s">
        <v>44</v>
      </c>
      <c r="C2" s="368"/>
      <c r="D2" s="368"/>
      <c r="E2" s="368"/>
      <c r="F2" s="369"/>
    </row>
    <row r="4" spans="2:6" ht="32.25" customHeight="1" x14ac:dyDescent="0.2"/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scale="93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6"/>
  <dimension ref="A16"/>
  <sheetViews>
    <sheetView zoomScaleNormal="100" workbookViewId="0">
      <selection activeCell="I30" sqref="I30"/>
    </sheetView>
  </sheetViews>
  <sheetFormatPr baseColWidth="10" defaultColWidth="12.5" defaultRowHeight="15" x14ac:dyDescent="0.2"/>
  <cols>
    <col min="1" max="1" width="5.6640625" customWidth="1"/>
    <col min="2" max="2" width="26.83203125" customWidth="1"/>
    <col min="7" max="7" width="14.33203125" bestFit="1" customWidth="1"/>
    <col min="9" max="9" width="21.33203125" customWidth="1"/>
  </cols>
  <sheetData>
    <row r="16" ht="19" customHeight="1" x14ac:dyDescent="0.2"/>
  </sheetData>
  <sortState xmlns:xlrd2="http://schemas.microsoft.com/office/spreadsheetml/2017/richdata2" ref="B22:F36">
    <sortCondition ref="B22:B36"/>
  </sortState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4964-818A-42E4-9870-34F2B89EDD51}">
  <dimension ref="C2:K73"/>
  <sheetViews>
    <sheetView zoomScale="85" zoomScaleNormal="85" workbookViewId="0">
      <selection activeCell="B47" sqref="B47"/>
    </sheetView>
  </sheetViews>
  <sheetFormatPr baseColWidth="10" defaultColWidth="8.83203125" defaultRowHeight="19" x14ac:dyDescent="0.25"/>
  <cols>
    <col min="1" max="1" width="43.6640625" bestFit="1" customWidth="1"/>
    <col min="2" max="2" width="20.1640625" bestFit="1" customWidth="1"/>
    <col min="3" max="3" width="49.5" style="39" bestFit="1" customWidth="1"/>
    <col min="4" max="4" width="25" style="39" customWidth="1"/>
    <col min="5" max="5" width="12.6640625" style="39" bestFit="1" customWidth="1"/>
    <col min="6" max="6" width="12.6640625" bestFit="1" customWidth="1"/>
    <col min="7" max="7" width="6.6640625" bestFit="1" customWidth="1"/>
    <col min="8" max="8" width="11" bestFit="1" customWidth="1"/>
    <col min="9" max="9" width="32.5" style="39" customWidth="1"/>
    <col min="10" max="11" width="16.83203125" style="39" bestFit="1" customWidth="1"/>
    <col min="13" max="13" width="23.6640625" customWidth="1"/>
    <col min="14" max="14" width="15.33203125" customWidth="1"/>
    <col min="15" max="15" width="15.5" customWidth="1"/>
    <col min="16" max="16" width="14" customWidth="1"/>
    <col min="17" max="17" width="12.6640625" bestFit="1" customWidth="1"/>
  </cols>
  <sheetData>
    <row r="2" spans="10:11" ht="14.25" customHeight="1" x14ac:dyDescent="0.25"/>
    <row r="3" spans="10:11" ht="18.75" customHeight="1" x14ac:dyDescent="0.25"/>
    <row r="4" spans="10:11" ht="15.75" customHeight="1" x14ac:dyDescent="0.25"/>
    <row r="5" spans="10:11" ht="15.75" customHeight="1" x14ac:dyDescent="0.25"/>
    <row r="6" spans="10:11" ht="16.5" customHeight="1" x14ac:dyDescent="0.25"/>
    <row r="7" spans="10:11" ht="17.25" customHeight="1" x14ac:dyDescent="0.25"/>
    <row r="8" spans="10:11" ht="15.75" customHeight="1" x14ac:dyDescent="0.25">
      <c r="J8"/>
      <c r="K8"/>
    </row>
    <row r="9" spans="10:11" ht="18.75" customHeight="1" x14ac:dyDescent="0.25">
      <c r="J9"/>
      <c r="K9"/>
    </row>
    <row r="10" spans="10:11" ht="15.75" customHeight="1" x14ac:dyDescent="0.25">
      <c r="J10"/>
      <c r="K10"/>
    </row>
    <row r="11" spans="10:11" ht="18" customHeight="1" x14ac:dyDescent="0.25">
      <c r="J11"/>
      <c r="K11"/>
    </row>
    <row r="12" spans="10:11" ht="10.5" hidden="1" customHeight="1" x14ac:dyDescent="0.25">
      <c r="J12"/>
      <c r="K12"/>
    </row>
    <row r="13" spans="10:11" ht="17.25" customHeight="1" x14ac:dyDescent="0.25">
      <c r="J13"/>
      <c r="K13"/>
    </row>
    <row r="14" spans="10:11" ht="17.25" customHeight="1" x14ac:dyDescent="0.25">
      <c r="J14"/>
      <c r="K14"/>
    </row>
    <row r="15" spans="10:11" ht="17.25" customHeight="1" x14ac:dyDescent="0.25">
      <c r="J15"/>
      <c r="K15"/>
    </row>
    <row r="16" spans="10:11" ht="17.25" customHeight="1" x14ac:dyDescent="0.25">
      <c r="J16"/>
      <c r="K16"/>
    </row>
    <row r="17" spans="10:11" ht="17.25" customHeight="1" x14ac:dyDescent="0.25">
      <c r="J17"/>
      <c r="K17"/>
    </row>
    <row r="18" spans="10:11" ht="17.25" customHeight="1" x14ac:dyDescent="0.25">
      <c r="J18"/>
      <c r="K18"/>
    </row>
    <row r="19" spans="10:11" ht="17.25" customHeight="1" x14ac:dyDescent="0.25">
      <c r="J19"/>
      <c r="K19"/>
    </row>
    <row r="20" spans="10:11" ht="17.25" customHeight="1" x14ac:dyDescent="0.25">
      <c r="J20"/>
      <c r="K20"/>
    </row>
    <row r="21" spans="10:11" ht="17.25" customHeight="1" x14ac:dyDescent="0.25">
      <c r="J21"/>
      <c r="K21"/>
    </row>
    <row r="22" spans="10:11" ht="17.25" customHeight="1" x14ac:dyDescent="0.25">
      <c r="J22"/>
      <c r="K22"/>
    </row>
    <row r="23" spans="10:11" ht="17.25" customHeight="1" x14ac:dyDescent="0.25">
      <c r="J23"/>
      <c r="K23"/>
    </row>
    <row r="24" spans="10:11" ht="17.25" customHeight="1" x14ac:dyDescent="0.25">
      <c r="J24"/>
      <c r="K24"/>
    </row>
    <row r="25" spans="10:11" ht="17.25" customHeight="1" x14ac:dyDescent="0.25">
      <c r="J25"/>
      <c r="K25"/>
    </row>
    <row r="26" spans="10:11" ht="17.25" customHeight="1" x14ac:dyDescent="0.25">
      <c r="J26"/>
      <c r="K26"/>
    </row>
    <row r="27" spans="10:11" ht="17.25" customHeight="1" x14ac:dyDescent="0.25">
      <c r="J27"/>
      <c r="K27"/>
    </row>
    <row r="28" spans="10:11" ht="17.25" customHeight="1" x14ac:dyDescent="0.25">
      <c r="J28"/>
      <c r="K28"/>
    </row>
    <row r="29" spans="10:11" ht="17.25" customHeight="1" x14ac:dyDescent="0.25">
      <c r="J29"/>
      <c r="K29"/>
    </row>
    <row r="30" spans="10:11" ht="17.25" customHeight="1" x14ac:dyDescent="0.25"/>
    <row r="31" spans="10:11" ht="17.25" customHeight="1" x14ac:dyDescent="0.25"/>
    <row r="32" spans="10:11" ht="17.25" customHeight="1" x14ac:dyDescent="0.25"/>
    <row r="33" spans="3:5" ht="17.25" customHeight="1" x14ac:dyDescent="0.25"/>
    <row r="34" spans="3:5" ht="17.25" customHeight="1" x14ac:dyDescent="0.25"/>
    <row r="35" spans="3:5" ht="17.25" customHeight="1" x14ac:dyDescent="0.25"/>
    <row r="36" spans="3:5" ht="17.25" customHeight="1" x14ac:dyDescent="0.25"/>
    <row r="37" spans="3:5" ht="17.25" customHeight="1" x14ac:dyDescent="0.25"/>
    <row r="38" spans="3:5" ht="17.25" customHeight="1" x14ac:dyDescent="0.25"/>
    <row r="39" spans="3:5" ht="17.25" customHeight="1" x14ac:dyDescent="0.25"/>
    <row r="40" spans="3:5" ht="17.25" customHeight="1" x14ac:dyDescent="0.25">
      <c r="C40"/>
      <c r="D40"/>
      <c r="E40"/>
    </row>
    <row r="41" spans="3:5" ht="17.25" customHeight="1" x14ac:dyDescent="0.25">
      <c r="C41"/>
      <c r="D41"/>
      <c r="E41"/>
    </row>
    <row r="42" spans="3:5" ht="17.25" customHeight="1" x14ac:dyDescent="0.25">
      <c r="C42"/>
      <c r="D42"/>
      <c r="E42"/>
    </row>
    <row r="43" spans="3:5" ht="17.25" customHeight="1" x14ac:dyDescent="0.25">
      <c r="C43"/>
      <c r="D43"/>
      <c r="E43"/>
    </row>
    <row r="44" spans="3:5" ht="17.25" customHeight="1" x14ac:dyDescent="0.25">
      <c r="C44"/>
      <c r="D44"/>
      <c r="E44"/>
    </row>
    <row r="45" spans="3:5" ht="17.25" customHeight="1" x14ac:dyDescent="0.25">
      <c r="C45"/>
      <c r="D45"/>
      <c r="E45"/>
    </row>
    <row r="46" spans="3:5" ht="17.25" customHeight="1" x14ac:dyDescent="0.25">
      <c r="C46"/>
      <c r="D46"/>
      <c r="E46"/>
    </row>
    <row r="47" spans="3:5" ht="17.25" customHeight="1" x14ac:dyDescent="0.25">
      <c r="C47"/>
      <c r="D47"/>
      <c r="E47"/>
    </row>
    <row r="48" spans="3:5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3D57-E0C1-40E2-8720-43A21FD53E80}">
  <dimension ref="I2:L73"/>
  <sheetViews>
    <sheetView zoomScale="85" zoomScaleNormal="85" workbookViewId="0">
      <selection sqref="A1:F54"/>
    </sheetView>
  </sheetViews>
  <sheetFormatPr baseColWidth="10" defaultColWidth="8.83203125" defaultRowHeight="19" x14ac:dyDescent="0.25"/>
  <cols>
    <col min="1" max="1" width="31" bestFit="1" customWidth="1"/>
    <col min="2" max="2" width="16" bestFit="1" customWidth="1"/>
    <col min="3" max="3" width="38.1640625" bestFit="1" customWidth="1"/>
    <col min="4" max="4" width="19.1640625" customWidth="1"/>
    <col min="5" max="5" width="11.6640625" customWidth="1"/>
    <col min="6" max="7" width="9.1640625"/>
    <col min="9" max="9" width="47.5" style="39" customWidth="1"/>
    <col min="10" max="11" width="16.83203125" style="39" bestFit="1" customWidth="1"/>
  </cols>
  <sheetData>
    <row r="2" spans="9:12" ht="14.25" customHeight="1" x14ac:dyDescent="0.25">
      <c r="I2" s="38"/>
      <c r="J2" s="41"/>
      <c r="K2" s="41"/>
    </row>
    <row r="3" spans="9:12" ht="18.75" customHeight="1" x14ac:dyDescent="0.25">
      <c r="I3" s="38"/>
      <c r="J3" s="41"/>
      <c r="K3" s="41"/>
    </row>
    <row r="4" spans="9:12" ht="15.75" customHeight="1" x14ac:dyDescent="0.25">
      <c r="I4" s="38"/>
      <c r="J4" s="42"/>
      <c r="K4" s="42"/>
    </row>
    <row r="5" spans="9:12" ht="15.75" customHeight="1" x14ac:dyDescent="0.25"/>
    <row r="6" spans="9:12" ht="16.5" customHeight="1" x14ac:dyDescent="0.25"/>
    <row r="7" spans="9:12" ht="17.25" customHeight="1" x14ac:dyDescent="0.25"/>
    <row r="8" spans="9:12" ht="15.75" customHeight="1" x14ac:dyDescent="0.25">
      <c r="I8" s="43"/>
      <c r="J8" s="43"/>
      <c r="K8" s="43"/>
    </row>
    <row r="9" spans="9:12" ht="18.75" customHeight="1" x14ac:dyDescent="0.2">
      <c r="I9" s="44"/>
      <c r="J9" s="45"/>
      <c r="K9" s="45"/>
      <c r="L9" s="46"/>
    </row>
    <row r="10" spans="9:12" ht="15.75" customHeight="1" x14ac:dyDescent="0.2">
      <c r="I10" s="44"/>
      <c r="J10" s="45"/>
      <c r="K10" s="45"/>
      <c r="L10" s="46"/>
    </row>
    <row r="11" spans="9:12" ht="18" customHeight="1" x14ac:dyDescent="0.2">
      <c r="I11" s="44"/>
      <c r="J11" s="45"/>
      <c r="K11" s="45"/>
      <c r="L11" s="47"/>
    </row>
    <row r="12" spans="9:12" ht="10.5" hidden="1" customHeight="1" x14ac:dyDescent="0.2">
      <c r="I12" s="44"/>
      <c r="J12" s="45"/>
      <c r="K12" s="45"/>
      <c r="L12" s="48"/>
    </row>
    <row r="13" spans="9:12" ht="17.25" customHeight="1" x14ac:dyDescent="0.2">
      <c r="I13" s="44"/>
      <c r="J13" s="49"/>
      <c r="K13" s="49"/>
      <c r="L13" s="48"/>
    </row>
    <row r="14" spans="9:12" ht="17.25" customHeight="1" x14ac:dyDescent="0.2">
      <c r="I14" s="352"/>
      <c r="J14" s="353"/>
      <c r="K14" s="353"/>
      <c r="L14" s="48"/>
    </row>
    <row r="15" spans="9:12" ht="17.25" customHeight="1" x14ac:dyDescent="0.2">
      <c r="I15" s="352"/>
      <c r="J15" s="353"/>
      <c r="K15" s="353"/>
      <c r="L15" s="50"/>
    </row>
    <row r="16" spans="9:12" ht="17.25" customHeight="1" x14ac:dyDescent="0.2">
      <c r="I16" s="352"/>
      <c r="J16" s="353"/>
      <c r="K16" s="353"/>
      <c r="L16" s="48"/>
    </row>
    <row r="17" spans="9:11" ht="17.25" customHeight="1" x14ac:dyDescent="0.2">
      <c r="I17" s="352"/>
      <c r="J17" s="353"/>
      <c r="K17" s="353"/>
    </row>
    <row r="18" spans="9:11" ht="17.25" customHeight="1" x14ac:dyDescent="0.2">
      <c r="I18" s="352"/>
      <c r="J18" s="353"/>
      <c r="K18" s="353"/>
    </row>
    <row r="19" spans="9:11" ht="17.25" customHeight="1" x14ac:dyDescent="0.2">
      <c r="I19" s="352"/>
      <c r="J19" s="353"/>
      <c r="K19" s="353"/>
    </row>
    <row r="20" spans="9:11" ht="17.25" customHeight="1" x14ac:dyDescent="0.25"/>
    <row r="21" spans="9:11" ht="17.25" customHeight="1" x14ac:dyDescent="0.25"/>
    <row r="22" spans="9:11" ht="17.25" customHeight="1" x14ac:dyDescent="0.25"/>
    <row r="23" spans="9:11" ht="17.25" customHeight="1" x14ac:dyDescent="0.25"/>
    <row r="24" spans="9:11" ht="17.25" customHeight="1" x14ac:dyDescent="0.25"/>
    <row r="25" spans="9:11" ht="17.25" customHeight="1" x14ac:dyDescent="0.25"/>
    <row r="26" spans="9:11" ht="17.25" customHeight="1" x14ac:dyDescent="0.25"/>
    <row r="27" spans="9:11" ht="17.25" customHeight="1" x14ac:dyDescent="0.25"/>
    <row r="28" spans="9:11" ht="17.25" customHeight="1" x14ac:dyDescent="0.25"/>
    <row r="29" spans="9:11" ht="17.25" customHeight="1" x14ac:dyDescent="0.25"/>
    <row r="30" spans="9:11" ht="17.25" customHeight="1" x14ac:dyDescent="0.25"/>
    <row r="31" spans="9:11" ht="17.25" customHeight="1" x14ac:dyDescent="0.25"/>
    <row r="32" spans="9:11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</sheetData>
  <mergeCells count="6">
    <mergeCell ref="I14:I16"/>
    <mergeCell ref="J14:J16"/>
    <mergeCell ref="K14:K16"/>
    <mergeCell ref="I17:I19"/>
    <mergeCell ref="J17:J19"/>
    <mergeCell ref="K17:K19"/>
  </mergeCells>
  <pageMargins left="0.511811024" right="0.511811024" top="0.78740157499999996" bottom="0.78740157499999996" header="0.31496062000000002" footer="0.31496062000000002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V29"/>
  <sheetViews>
    <sheetView zoomScaleNormal="100" workbookViewId="0">
      <pane xSplit="21" ySplit="28" topLeftCell="V29" activePane="bottomRight" state="frozen"/>
      <selection pane="topRight" activeCell="V1" sqref="V1"/>
      <selection pane="bottomLeft" activeCell="A29" sqref="A29"/>
      <selection pane="bottomRight" activeCell="D13" sqref="A1:D13"/>
    </sheetView>
  </sheetViews>
  <sheetFormatPr baseColWidth="10" defaultColWidth="0" defaultRowHeight="15" x14ac:dyDescent="0.2"/>
  <cols>
    <col min="1" max="19" width="9.1640625" customWidth="1"/>
    <col min="20" max="20" width="14.33203125" customWidth="1"/>
    <col min="21" max="21" width="9.5" customWidth="1"/>
    <col min="22" max="22" width="4.33203125" hidden="1" customWidth="1"/>
    <col min="23" max="16384" width="9.1640625" hidden="1"/>
  </cols>
  <sheetData>
    <row r="1" spans="5:21" ht="15" customHeight="1" x14ac:dyDescent="0.2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5:21" ht="15" customHeight="1" x14ac:dyDescent="0.2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5:21" ht="15" customHeight="1" x14ac:dyDescent="0.2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5:21" ht="15" customHeight="1" x14ac:dyDescent="0.2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5:21" ht="15" customHeight="1" x14ac:dyDescent="0.2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1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1" ht="35.25" customHeight="1" x14ac:dyDescent="0.2">
      <c r="A27" s="354"/>
      <c r="B27" s="354"/>
      <c r="C27" s="354"/>
      <c r="D27" s="354"/>
      <c r="E27" s="354"/>
      <c r="F27" s="354"/>
    </row>
    <row r="28" spans="1:21" ht="23.25" customHeight="1" x14ac:dyDescent="0.2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1" ht="8.25" customHeight="1" x14ac:dyDescent="0.2"/>
  </sheetData>
  <mergeCells count="1">
    <mergeCell ref="A27:F27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G37"/>
  <sheetViews>
    <sheetView zoomScaleNormal="100" workbookViewId="0">
      <selection activeCell="H26" sqref="A1:H26"/>
    </sheetView>
  </sheetViews>
  <sheetFormatPr baseColWidth="10" defaultColWidth="9.1640625" defaultRowHeight="15" x14ac:dyDescent="0.2"/>
  <cols>
    <col min="1" max="1" width="31" style="53" bestFit="1" customWidth="1"/>
    <col min="2" max="3" width="9" style="53" bestFit="1" customWidth="1"/>
    <col min="4" max="4" width="13" style="53" customWidth="1"/>
    <col min="5" max="5" width="21.33203125" style="53" customWidth="1"/>
    <col min="6" max="6" width="14" style="53" bestFit="1" customWidth="1"/>
    <col min="7" max="7" width="22.83203125" style="53" customWidth="1"/>
    <col min="8" max="9" width="17.5" style="53" customWidth="1"/>
    <col min="10" max="10" width="35" style="53" customWidth="1"/>
    <col min="11" max="18" width="9.1640625" style="53"/>
    <col min="19" max="19" width="6.33203125" style="53" customWidth="1"/>
    <col min="20" max="20" width="10.33203125" style="53" customWidth="1"/>
    <col min="21" max="21" width="20.33203125" style="53" bestFit="1" customWidth="1"/>
    <col min="22" max="23" width="9.1640625" style="53"/>
    <col min="24" max="24" width="10.33203125" style="53" customWidth="1"/>
    <col min="25" max="30" width="9.1640625" style="53"/>
    <col min="31" max="31" width="13.1640625" style="53" customWidth="1"/>
    <col min="32" max="16384" width="9.1640625" style="53"/>
  </cols>
  <sheetData>
    <row r="1" spans="9:33" ht="15" customHeight="1" x14ac:dyDescent="0.2">
      <c r="I1" s="54"/>
      <c r="J1" s="54"/>
      <c r="K1" s="54"/>
      <c r="L1" s="54"/>
      <c r="M1" s="54"/>
      <c r="N1" s="54"/>
      <c r="AF1" s="54"/>
      <c r="AG1" s="54"/>
    </row>
    <row r="2" spans="9:33" ht="15" customHeight="1" x14ac:dyDescent="0.2">
      <c r="I2" s="54"/>
      <c r="J2" s="54"/>
      <c r="K2" s="54"/>
      <c r="L2" s="54"/>
      <c r="M2" s="54"/>
      <c r="N2" s="54"/>
      <c r="AF2" s="54"/>
      <c r="AG2" s="54"/>
    </row>
    <row r="3" spans="9:33" ht="15" customHeight="1" x14ac:dyDescent="0.2">
      <c r="I3" s="54"/>
      <c r="J3" s="54"/>
      <c r="K3" s="54"/>
      <c r="L3" s="54"/>
      <c r="M3" s="54"/>
      <c r="N3" s="54"/>
      <c r="AF3" s="54"/>
      <c r="AG3" s="54"/>
    </row>
    <row r="5" spans="9:33" ht="15" customHeight="1" x14ac:dyDescent="0.2"/>
    <row r="6" spans="9:33" ht="15.75" customHeight="1" x14ac:dyDescent="0.2"/>
    <row r="7" spans="9:33" ht="15" customHeight="1" x14ac:dyDescent="0.2"/>
    <row r="8" spans="9:33" ht="15" customHeight="1" x14ac:dyDescent="0.2"/>
    <row r="9" spans="9:33" ht="15" customHeight="1" x14ac:dyDescent="0.2"/>
    <row r="10" spans="9:33" ht="15" customHeight="1" x14ac:dyDescent="0.2"/>
    <row r="11" spans="9:33" ht="15" customHeight="1" x14ac:dyDescent="0.2"/>
    <row r="12" spans="9:33" ht="15" customHeight="1" x14ac:dyDescent="0.2"/>
    <row r="13" spans="9:33" ht="15" customHeight="1" x14ac:dyDescent="0.2"/>
    <row r="14" spans="9:33" ht="15.75" customHeight="1" x14ac:dyDescent="0.2"/>
    <row r="15" spans="9:33" ht="16" customHeight="1" x14ac:dyDescent="0.2"/>
    <row r="16" spans="9:33" ht="15" customHeight="1" x14ac:dyDescent="0.2"/>
    <row r="17" spans="1:1" ht="15.75" customHeight="1" x14ac:dyDescent="0.2"/>
    <row r="18" spans="1:1" ht="15" customHeight="1" x14ac:dyDescent="0.2"/>
    <row r="19" spans="1:1" ht="15" customHeight="1" x14ac:dyDescent="0.2"/>
    <row r="20" spans="1:1" ht="15" customHeight="1" x14ac:dyDescent="0.2"/>
    <row r="21" spans="1:1" ht="14.25" customHeight="1" x14ac:dyDescent="0.2"/>
    <row r="30" spans="1:1" x14ac:dyDescent="0.2">
      <c r="A30" s="55"/>
    </row>
    <row r="31" spans="1:1" x14ac:dyDescent="0.2">
      <c r="A31" s="55"/>
    </row>
    <row r="32" spans="1:1" x14ac:dyDescent="0.2">
      <c r="A32" s="55"/>
    </row>
    <row r="33" spans="1:1" x14ac:dyDescent="0.2">
      <c r="A33" s="55"/>
    </row>
    <row r="34" spans="1:1" x14ac:dyDescent="0.2">
      <c r="A34" s="55"/>
    </row>
    <row r="35" spans="1:1" x14ac:dyDescent="0.2">
      <c r="A35" s="55"/>
    </row>
    <row r="36" spans="1:1" x14ac:dyDescent="0.2">
      <c r="A36" s="55"/>
    </row>
    <row r="37" spans="1:1" x14ac:dyDescent="0.2">
      <c r="A37" s="55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B191-3914-4BB4-962E-4C13AF1EACF3}">
  <dimension ref="K2:W26"/>
  <sheetViews>
    <sheetView zoomScale="115" zoomScaleNormal="115" workbookViewId="0">
      <selection activeCell="E29" sqref="E29"/>
    </sheetView>
  </sheetViews>
  <sheetFormatPr baseColWidth="10" defaultColWidth="8.83203125" defaultRowHeight="15" x14ac:dyDescent="0.2"/>
  <cols>
    <col min="1" max="1" width="23" customWidth="1"/>
    <col min="2" max="2" width="23.1640625" customWidth="1"/>
    <col min="3" max="3" width="40.33203125" customWidth="1"/>
    <col min="4" max="4" width="42.33203125" customWidth="1"/>
    <col min="5" max="5" width="23" customWidth="1"/>
    <col min="6" max="6" width="23.6640625" customWidth="1"/>
    <col min="7" max="7" width="7.33203125" customWidth="1"/>
    <col min="8" max="8" width="10.6640625" bestFit="1" customWidth="1"/>
    <col min="9" max="9" width="10" customWidth="1"/>
    <col min="10" max="10" width="12.83203125" customWidth="1"/>
    <col min="11" max="11" width="4" customWidth="1"/>
    <col min="12" max="12" width="9.5" bestFit="1" customWidth="1"/>
    <col min="13" max="13" width="12.1640625" customWidth="1"/>
    <col min="14" max="14" width="9.5" customWidth="1"/>
    <col min="15" max="15" width="14.1640625" customWidth="1"/>
    <col min="16" max="16" width="14" customWidth="1"/>
    <col min="17" max="17" width="11.5" customWidth="1"/>
    <col min="18" max="18" width="15.33203125" customWidth="1"/>
    <col min="19" max="19" width="12" bestFit="1" customWidth="1"/>
    <col min="20" max="20" width="6.33203125" customWidth="1"/>
    <col min="21" max="21" width="9.1640625"/>
    <col min="22" max="22" width="28.33203125" customWidth="1"/>
    <col min="23" max="24" width="9.1640625"/>
    <col min="25" max="25" width="16.5" customWidth="1"/>
    <col min="26" max="29" width="9.1640625"/>
  </cols>
  <sheetData>
    <row r="2" spans="11:23" ht="14.25" customHeight="1" x14ac:dyDescent="0.2">
      <c r="U2" s="355"/>
      <c r="V2" s="355"/>
      <c r="W2" s="40"/>
    </row>
    <row r="3" spans="11:23" ht="18.75" customHeight="1" x14ac:dyDescent="0.2">
      <c r="U3" s="355"/>
      <c r="V3" s="355"/>
      <c r="W3" s="40"/>
    </row>
    <row r="4" spans="11:23" ht="15.75" customHeight="1" x14ac:dyDescent="0.2">
      <c r="U4" s="355"/>
      <c r="V4" s="355"/>
      <c r="W4" s="40"/>
    </row>
    <row r="5" spans="11:23" ht="15.75" customHeight="1" x14ac:dyDescent="0.2">
      <c r="U5" s="355"/>
      <c r="V5" s="355"/>
      <c r="W5" s="40"/>
    </row>
    <row r="6" spans="11:23" ht="24" x14ac:dyDescent="0.2">
      <c r="K6" s="56"/>
      <c r="U6" s="355"/>
      <c r="V6" s="355"/>
      <c r="W6" s="40"/>
    </row>
    <row r="7" spans="11:23" ht="24" x14ac:dyDescent="0.2">
      <c r="U7" s="40"/>
      <c r="V7" s="40"/>
      <c r="W7" s="40"/>
    </row>
    <row r="8" spans="11:23" ht="15.75" customHeight="1" x14ac:dyDescent="0.2">
      <c r="U8" s="40"/>
      <c r="V8" s="40"/>
      <c r="W8" s="40"/>
    </row>
    <row r="9" spans="11:23" ht="18.75" customHeight="1" x14ac:dyDescent="0.2">
      <c r="U9" s="40"/>
      <c r="V9" s="40"/>
      <c r="W9" s="40"/>
    </row>
    <row r="10" spans="11:23" ht="15.75" customHeight="1" x14ac:dyDescent="0.2">
      <c r="U10" s="40"/>
      <c r="V10" s="40"/>
      <c r="W10" s="40"/>
    </row>
    <row r="12" spans="11:23" ht="15" customHeight="1" x14ac:dyDescent="0.2"/>
    <row r="13" spans="11:23" ht="15" customHeight="1" x14ac:dyDescent="0.2"/>
    <row r="14" spans="11:23" ht="18.75" customHeight="1" x14ac:dyDescent="0.2"/>
    <row r="15" spans="11:23" ht="22.5" customHeight="1" x14ac:dyDescent="0.2"/>
    <row r="16" spans="11:23" ht="15" hidden="1" customHeight="1" x14ac:dyDescent="0.2"/>
    <row r="17" ht="21.75" customHeight="1" x14ac:dyDescent="0.2"/>
    <row r="18" ht="15.75" customHeight="1" x14ac:dyDescent="0.2"/>
    <row r="26" ht="20.25" customHeight="1" x14ac:dyDescent="0.2"/>
  </sheetData>
  <mergeCells count="1">
    <mergeCell ref="U2:V6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06D3-15EE-412F-A7AF-7BEDE1BF93DA}">
  <dimension ref="K2:W26"/>
  <sheetViews>
    <sheetView zoomScale="115" zoomScaleNormal="115" workbookViewId="0">
      <selection sqref="A1:I50"/>
    </sheetView>
  </sheetViews>
  <sheetFormatPr baseColWidth="10" defaultColWidth="8.83203125" defaultRowHeight="15" x14ac:dyDescent="0.2"/>
  <cols>
    <col min="1" max="1" width="23" customWidth="1"/>
    <col min="2" max="2" width="23.1640625" customWidth="1"/>
    <col min="3" max="3" width="24" customWidth="1"/>
    <col min="4" max="4" width="20.6640625" customWidth="1"/>
    <col min="5" max="5" width="23" customWidth="1"/>
    <col min="6" max="6" width="23.6640625" customWidth="1"/>
    <col min="7" max="7" width="7.33203125" customWidth="1"/>
    <col min="8" max="8" width="10.6640625" bestFit="1" customWidth="1"/>
    <col min="9" max="9" width="10" customWidth="1"/>
    <col min="10" max="10" width="12.83203125" customWidth="1"/>
    <col min="11" max="11" width="4" customWidth="1"/>
    <col min="12" max="12" width="9.5" bestFit="1" customWidth="1"/>
    <col min="13" max="13" width="12.1640625" customWidth="1"/>
    <col min="14" max="14" width="9.5" customWidth="1"/>
    <col min="15" max="15" width="14.1640625" customWidth="1"/>
    <col min="16" max="16" width="14" customWidth="1"/>
    <col min="17" max="17" width="11.5" customWidth="1"/>
    <col min="18" max="18" width="15.33203125" customWidth="1"/>
    <col min="19" max="19" width="12" bestFit="1" customWidth="1"/>
    <col min="20" max="20" width="6.33203125" customWidth="1"/>
    <col min="21" max="21" width="9.1640625"/>
    <col min="22" max="22" width="28.33203125" customWidth="1"/>
    <col min="23" max="24" width="9.1640625"/>
    <col min="25" max="25" width="16.5" customWidth="1"/>
    <col min="26" max="29" width="9.1640625"/>
  </cols>
  <sheetData>
    <row r="2" spans="11:23" ht="14.25" customHeight="1" x14ac:dyDescent="0.2">
      <c r="U2" s="355"/>
      <c r="V2" s="355"/>
      <c r="W2" s="40"/>
    </row>
    <row r="3" spans="11:23" ht="18.75" customHeight="1" x14ac:dyDescent="0.2">
      <c r="U3" s="355"/>
      <c r="V3" s="355"/>
      <c r="W3" s="40"/>
    </row>
    <row r="4" spans="11:23" ht="15.75" customHeight="1" x14ac:dyDescent="0.2">
      <c r="U4" s="355"/>
      <c r="V4" s="355"/>
      <c r="W4" s="40"/>
    </row>
    <row r="5" spans="11:23" ht="15.75" customHeight="1" x14ac:dyDescent="0.2">
      <c r="U5" s="355"/>
      <c r="V5" s="355"/>
      <c r="W5" s="40"/>
    </row>
    <row r="6" spans="11:23" ht="30" customHeight="1" x14ac:dyDescent="0.2">
      <c r="K6" s="56"/>
      <c r="U6" s="355"/>
      <c r="V6" s="355"/>
      <c r="W6" s="40"/>
    </row>
    <row r="7" spans="11:23" ht="35.25" customHeight="1" x14ac:dyDescent="0.2">
      <c r="U7" s="40"/>
      <c r="V7" s="40"/>
      <c r="W7" s="40"/>
    </row>
    <row r="8" spans="11:23" ht="15.75" customHeight="1" x14ac:dyDescent="0.2">
      <c r="U8" s="40"/>
      <c r="V8" s="40"/>
      <c r="W8" s="40"/>
    </row>
    <row r="9" spans="11:23" ht="18.75" customHeight="1" x14ac:dyDescent="0.2">
      <c r="U9" s="40"/>
      <c r="V9" s="40"/>
      <c r="W9" s="40"/>
    </row>
    <row r="10" spans="11:23" ht="15.75" customHeight="1" x14ac:dyDescent="0.2">
      <c r="U10" s="40"/>
      <c r="V10" s="40"/>
      <c r="W10" s="40"/>
    </row>
    <row r="11" spans="11:23" ht="33" customHeight="1" x14ac:dyDescent="0.2"/>
    <row r="12" spans="11:23" ht="15" customHeight="1" x14ac:dyDescent="0.2"/>
    <row r="13" spans="11:23" ht="15" customHeight="1" x14ac:dyDescent="0.2"/>
    <row r="14" spans="11:23" ht="18.75" customHeight="1" x14ac:dyDescent="0.2"/>
    <row r="15" spans="11:23" ht="22.5" customHeight="1" x14ac:dyDescent="0.2"/>
    <row r="16" spans="11:23" ht="15" hidden="1" customHeight="1" x14ac:dyDescent="0.2"/>
    <row r="17" ht="21.75" customHeight="1" x14ac:dyDescent="0.2"/>
    <row r="18" ht="15.75" customHeight="1" x14ac:dyDescent="0.2"/>
    <row r="26" ht="20.25" customHeight="1" x14ac:dyDescent="0.2"/>
  </sheetData>
  <mergeCells count="1">
    <mergeCell ref="U2:V6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9AA2-E6D3-497A-9801-B4A4B179989C}">
  <dimension ref="AO7:AP9"/>
  <sheetViews>
    <sheetView zoomScaleNormal="100" workbookViewId="0">
      <selection activeCell="L31" sqref="L31"/>
    </sheetView>
  </sheetViews>
  <sheetFormatPr baseColWidth="10" defaultColWidth="9.1640625" defaultRowHeight="13" x14ac:dyDescent="0.15"/>
  <cols>
    <col min="1" max="1" width="11" style="57" bestFit="1" customWidth="1"/>
    <col min="2" max="2" width="12.1640625" style="57" customWidth="1"/>
    <col min="3" max="3" width="10" style="57" bestFit="1" customWidth="1"/>
    <col min="4" max="4" width="6.5" style="57" customWidth="1"/>
    <col min="5" max="6" width="9.1640625" style="57"/>
    <col min="7" max="7" width="11.6640625" style="57" customWidth="1"/>
    <col min="8" max="19" width="9.1640625" style="57"/>
    <col min="20" max="23" width="7.1640625" style="57" customWidth="1"/>
    <col min="24" max="25" width="9.1640625" style="57"/>
    <col min="26" max="26" width="8.5" style="57" customWidth="1"/>
    <col min="27" max="27" width="11.5" style="57" customWidth="1"/>
    <col min="28" max="37" width="9.1640625" style="57"/>
    <col min="38" max="38" width="10" style="57" bestFit="1" customWidth="1"/>
    <col min="39" max="16384" width="9.1640625" style="57"/>
  </cols>
  <sheetData>
    <row r="7" spans="41:42" ht="16.5" customHeight="1" x14ac:dyDescent="0.15">
      <c r="AO7" s="58"/>
      <c r="AP7" s="58"/>
    </row>
    <row r="8" spans="41:42" ht="21.75" customHeight="1" x14ac:dyDescent="0.15"/>
    <row r="9" spans="41:42" s="58" customFormat="1" x14ac:dyDescent="0.15">
      <c r="AO9" s="57"/>
      <c r="AP9" s="5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P3:S20"/>
  <sheetViews>
    <sheetView workbookViewId="0">
      <selection activeCell="S33" sqref="S33"/>
    </sheetView>
  </sheetViews>
  <sheetFormatPr baseColWidth="10" defaultColWidth="8.83203125" defaultRowHeight="15" x14ac:dyDescent="0.2"/>
  <cols>
    <col min="1" max="1" width="25.83203125" style="53" bestFit="1" customWidth="1"/>
    <col min="2" max="2" width="23.6640625" style="53" bestFit="1" customWidth="1"/>
    <col min="3" max="3" width="5.6640625" style="53" bestFit="1" customWidth="1"/>
    <col min="4" max="4" width="4.1640625" style="53" bestFit="1" customWidth="1"/>
    <col min="5" max="5" width="12.1640625" style="53" bestFit="1" customWidth="1"/>
    <col min="6" max="9" width="8.83203125" style="53"/>
    <col min="10" max="10" width="20.33203125" style="53" bestFit="1" customWidth="1"/>
    <col min="11" max="11" width="5.6640625" style="53" bestFit="1" customWidth="1"/>
    <col min="12" max="13" width="8.83203125" style="53"/>
    <col min="14" max="14" width="8.1640625" style="53" bestFit="1" customWidth="1"/>
    <col min="15" max="16384" width="8.83203125" style="53"/>
  </cols>
  <sheetData>
    <row r="3" spans="16:19" x14ac:dyDescent="0.2">
      <c r="R3" s="59"/>
    </row>
    <row r="4" spans="16:19" x14ac:dyDescent="0.2">
      <c r="R4" s="59"/>
    </row>
    <row r="5" spans="16:19" x14ac:dyDescent="0.2">
      <c r="R5" s="59"/>
    </row>
    <row r="6" spans="16:19" x14ac:dyDescent="0.2">
      <c r="R6" s="59"/>
      <c r="S6" s="60"/>
    </row>
    <row r="7" spans="16:19" x14ac:dyDescent="0.2">
      <c r="R7" s="59"/>
    </row>
    <row r="8" spans="16:19" x14ac:dyDescent="0.2">
      <c r="P8" s="60"/>
      <c r="Q8" s="60"/>
      <c r="R8" s="59"/>
      <c r="S8" s="60"/>
    </row>
    <row r="9" spans="16:19" x14ac:dyDescent="0.2">
      <c r="P9" s="61"/>
      <c r="Q9" s="61"/>
      <c r="R9" s="59"/>
      <c r="S9" s="61"/>
    </row>
    <row r="10" spans="16:19" x14ac:dyDescent="0.2">
      <c r="R10" s="59"/>
    </row>
    <row r="11" spans="16:19" x14ac:dyDescent="0.2">
      <c r="R11" s="59"/>
      <c r="S11" s="60"/>
    </row>
    <row r="12" spans="16:19" x14ac:dyDescent="0.2">
      <c r="R12" s="59"/>
    </row>
    <row r="13" spans="16:19" ht="15" customHeight="1" x14ac:dyDescent="0.2">
      <c r="R13" s="59"/>
    </row>
    <row r="14" spans="16:19" x14ac:dyDescent="0.2">
      <c r="R14" s="59"/>
    </row>
    <row r="15" spans="16:19" x14ac:dyDescent="0.2">
      <c r="R15" s="59"/>
    </row>
    <row r="16" spans="16:19" x14ac:dyDescent="0.2">
      <c r="R16" s="59"/>
    </row>
    <row r="17" spans="18:18" x14ac:dyDescent="0.2">
      <c r="R17" s="59"/>
    </row>
    <row r="18" spans="18:18" x14ac:dyDescent="0.2">
      <c r="R18" s="59"/>
    </row>
    <row r="19" spans="18:18" x14ac:dyDescent="0.2">
      <c r="R19" s="59"/>
    </row>
    <row r="20" spans="18:18" x14ac:dyDescent="0.2">
      <c r="R20" s="59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1 t G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+ 1 t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b R l Y o i k e 4 D g A A A B E A A A A T A B w A R m 9 y b X V s Y X M v U 2 V j d G l v b j E u b S C i G A A o o B Q A A A A A A A A A A A A A A A A A A A A A A A A A A A A r T k 0 u y c z P U w i G 0 I b W A F B L A Q I t A B Q A A g A I A P t b R l Y p x 4 m g p A A A A P Y A A A A S A A A A A A A A A A A A A A A A A A A A A A B D b 2 5 m a W c v U G F j a 2 F n Z S 5 4 b W x Q S w E C L Q A U A A I A C A D 7 W 0 Z W D 8 r p q 6 Q A A A D p A A A A E w A A A A A A A A A A A A A A A A D w A A A A W 0 N v b n R l b n R f V H l w Z X N d L n h t b F B L A Q I t A B Q A A g A I A P t b R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2 4 E f g A T L T Z r 3 p G L a l / d q A A A A A A I A A A A A A A N m A A D A A A A A E A A A A O W J R x n i D C x k 7 W c D o r M r k / M A A A A A B I A A A K A A A A A Q A A A A 0 K E o j n 9 9 m q J D 3 3 z X G v e p 0 1 A A A A D c 7 j j u l R j U Y 9 k x M g O a e 6 + A u D U 6 L j Q 7 7 A A / g S 6 R S U 6 Z 2 9 5 P g 3 R u U I F w m a l q T o m Q N S u H Z u 7 n N k 9 u Y K 9 K f R w P D 4 R V O A 4 2 + / A I 3 X P N C 4 z Y d d Q Q E h Q A A A A b J d u v r X p N u 7 5 4 J T j 9 Z R 3 6 F O 4 t C g = = < / D a t a M a s h u p > 
</file>

<file path=customXml/itemProps1.xml><?xml version="1.0" encoding="utf-8"?>
<ds:datastoreItem xmlns:ds="http://schemas.openxmlformats.org/officeDocument/2006/customXml" ds:itemID="{486F906A-14FA-44F9-83BA-7A47797240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19</vt:i4>
      </vt:variant>
    </vt:vector>
  </HeadingPairs>
  <TitlesOfParts>
    <vt:vector size="31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  <vt:lpstr>Parâmetros!Area_de_impressao</vt:lpstr>
      <vt:lpstr>Agrifirm!Enriquecimento</vt:lpstr>
      <vt:lpstr>Concorrente!Enriquecimento</vt:lpstr>
      <vt:lpstr>Enriquecimento</vt:lpstr>
      <vt:lpstr>Enriquecimento.</vt:lpstr>
      <vt:lpstr>Leite</vt:lpstr>
      <vt:lpstr>Agrifirm!leite2</vt:lpstr>
      <vt:lpstr>Concorrente!leite2</vt:lpstr>
      <vt:lpstr>Parâmetros!Leites</vt:lpstr>
      <vt:lpstr>Parcial</vt:lpstr>
      <vt:lpstr>PC</vt:lpstr>
      <vt:lpstr>Ração</vt:lpstr>
      <vt:lpstr>Agrifirm!ração2</vt:lpstr>
      <vt:lpstr>Concorrente!ração2</vt:lpstr>
      <vt:lpstr>Raças</vt:lpstr>
      <vt:lpstr>Parâmetros!Rações</vt:lpstr>
      <vt:lpstr>Substituição.</vt:lpstr>
      <vt:lpstr>Substituição.Total</vt:lpstr>
      <vt:lpstr>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cp:lastPrinted>2020-03-16T18:34:50Z</cp:lastPrinted>
  <dcterms:created xsi:type="dcterms:W3CDTF">2018-07-03T14:14:23Z</dcterms:created>
  <dcterms:modified xsi:type="dcterms:W3CDTF">2023-04-30T21:34:33Z</dcterms:modified>
  <cp:contentStatus/>
</cp:coreProperties>
</file>