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dos" sheetId="1" r:id="rId4"/>
    <sheet name="RELATÓRIO FINANCEIRO" sheetId="2" r:id="rId5"/>
    <sheet name="RELATÓRIO TÉCNICO" sheetId="3" r:id="rId6"/>
    <sheet name="Programa PG" sheetId="4" r:id="rId7"/>
    <sheet name="Viabilidade" sheetId="5" r:id="rId8"/>
    <sheet name="Agrifirm" sheetId="6" r:id="rId9"/>
    <sheet name="Concorrente" sheetId="7" r:id="rId10"/>
    <sheet name="Necessidades" sheetId="8" r:id="rId11"/>
    <sheet name="dados2" sheetId="9" r:id="rId12"/>
    <sheet name="Literatura" sheetId="10" r:id="rId13"/>
    <sheet name="Protocolo2" sheetId="11" r:id="rId14"/>
    <sheet name="Parâmetros" sheetId="12" r:id="rId15"/>
  </sheet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Classificação" localSheetId="11">Parâmetros!#REF!</definedName>
    <definedName name="Classificação">'[1]Parâmetros'!$L$3:$L$4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'Dados'!$G$211:$G$216</definedName>
    <definedName name="Enriquecimento" localSheetId="6">'Dados'!$G$263:$G$268</definedName>
    <definedName name="Enriquecimento" localSheetId="1">'RELATÓRIO FINANCEIRO'!#REF!</definedName>
    <definedName name="Enriquecimento" localSheetId="2">'RELATÓRIO TÉCNICO'!#REF!</definedName>
    <definedName name="Enriquecimento">'Dados'!$B$476:$B$479</definedName>
    <definedName name="Enriquecimento.">'Dados'!$B$476:$B$479</definedName>
    <definedName name="GPD" localSheetId="5">'[1]Necessidades'!$A$2:$A$7</definedName>
    <definedName name="GPD" localSheetId="6">'[1]Necessidades'!$A$2:$A$7</definedName>
    <definedName name="GPD" localSheetId="7">#REF!</definedName>
    <definedName name="GPD" localSheetId="1">'[1]Necessidades'!$A$2:$A$7</definedName>
    <definedName name="GPD" localSheetId="2">'[1]Necessidades'!$A$2:$A$7</definedName>
    <definedName name="GPD">#REF!</definedName>
    <definedName name="Leite">'Dados'!$B$415:$B$419</definedName>
    <definedName name="leite2" localSheetId="5">'Dados'!$F$211:$F$220</definedName>
    <definedName name="leite2" localSheetId="6">'Dados'!$F$263:$F$272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'Dados'!$B$519:$B$524</definedName>
    <definedName name="Leites">'[1]Parâmetros'!$B$8:$B$13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'Dados'!$A$493:$A$501</definedName>
    <definedName name="PC">'Dados'!$D$459:$D$462</definedName>
    <definedName name="PreInicial" localSheetId="7">#REF!</definedName>
    <definedName name="PreInicial">#REF!</definedName>
    <definedName name="Ração">'Dados'!$B$423:$B$430</definedName>
    <definedName name="ração2" localSheetId="5">'Dados'!$H$211:$H$220</definedName>
    <definedName name="ração2" localSheetId="6">'Dados'!$H$263:$H$272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'Dados'!$B$453:$B$455</definedName>
    <definedName name="Rações" localSheetId="11">'Dados'!$B$526:$B$527</definedName>
    <definedName name="Rações">'[1]Parâmetros'!$B$15:$B$16</definedName>
    <definedName name="Substituição.">'Dados'!$B$415:$B$419</definedName>
    <definedName name="Substituição.Total">'Dados'!$B$470:$B$473</definedName>
    <definedName name="TSFoR" localSheetId="7">#REF!</definedName>
    <definedName name="TSFoR">#REF!</definedName>
    <definedName name="Uso">'Dados'!$A$464:$A$466</definedName>
    <definedName name="Vetilac" localSheetId="5">'[1]Parâmetros'!$B$10:$B$13</definedName>
    <definedName name="Vetilac" localSheetId="6">'[1]Parâmetros'!$B$10:$B$13</definedName>
    <definedName name="Vetilac" localSheetId="1">'[1]Parâmetros'!$B$10:$B$13</definedName>
    <definedName name="Vetilac" localSheetId="2">'[1]Parâmetros'!$B$10:$B$13</definedName>
    <definedName name="Vetilac">Dados!#REF!</definedName>
    <definedName name="vetilac2">'[1]Parâmetros'!$B$10:$B$13</definedName>
    <definedName name="vetilac3">'[1]Parâmetros'!$B$10:$B$13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  <definedName name="_xlnm.Print_Area" localSheetId="11">'Parâmetros'!$B:$X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NUTRIFARMA_2345</author>
  </authors>
  <commentList>
    <comment ref="D40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  <comment ref="A4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</t>
        </r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Custo em R$ com nutrição, para ganho de 1 kg de peso vivo do animal. Os fatores que alteram este valor está descrito na eficiencia alimentar.</t>
        </r>
      </text>
    </comment>
  </commentList>
</comments>
</file>

<file path=xl/comments3.xml><?xml version="1.0" encoding="utf-8"?>
<comments xmlns="http://schemas.openxmlformats.org/spreadsheetml/2006/main">
  <authors>
    <author>NUTRIFARMA_2345</author>
  </authors>
  <commentList>
    <comment ref="I1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</commentList>
</comments>
</file>

<file path=xl/sharedStrings.xml><?xml version="1.0" encoding="utf-8"?>
<sst xmlns="http://schemas.openxmlformats.org/spreadsheetml/2006/main" uniqueCount="279">
  <si>
    <t>Dados</t>
  </si>
  <si>
    <t>PAGINA INICIAL</t>
  </si>
  <si>
    <t>PAGINA 2</t>
  </si>
  <si>
    <t>Proprietário</t>
  </si>
  <si>
    <t>José da Silva</t>
  </si>
  <si>
    <t>Fazenda</t>
  </si>
  <si>
    <t>Montes Claros</t>
  </si>
  <si>
    <t>Cidade/UF</t>
  </si>
  <si>
    <t>Castro/PR</t>
  </si>
  <si>
    <t>PRODUTOR</t>
  </si>
  <si>
    <t>SUCEDÂNEO</t>
  </si>
  <si>
    <t>%</t>
  </si>
  <si>
    <t>$produtor_leite_kglt</t>
  </si>
  <si>
    <t>$produtor_leite_coluna_1</t>
  </si>
  <si>
    <t>Telefone:</t>
  </si>
  <si>
    <t>042 99915-2168</t>
  </si>
  <si>
    <t>Coluna1</t>
  </si>
  <si>
    <t>kg ou lt</t>
  </si>
  <si>
    <t>kg ou lt2</t>
  </si>
  <si>
    <t>R$/lt/kg</t>
  </si>
  <si>
    <t>Proteína</t>
  </si>
  <si>
    <t>$produtor_sucedaneo_kglt</t>
  </si>
  <si>
    <t>$produtor_sucedaneo_kglt2</t>
  </si>
  <si>
    <t>e-mail</t>
  </si>
  <si>
    <t>j.silva@gmail.com</t>
  </si>
  <si>
    <t>Gordura</t>
  </si>
  <si>
    <t>$produtor_enriquecimento_kglt2</t>
  </si>
  <si>
    <t>Técnico da Fazenda</t>
  </si>
  <si>
    <t>Pedro da Silva</t>
  </si>
  <si>
    <t>Sucedâneo</t>
  </si>
  <si>
    <t>Lactose</t>
  </si>
  <si>
    <t>$produtor_racao_coluna1</t>
  </si>
  <si>
    <t>Técnico Agrifirm</t>
  </si>
  <si>
    <t>Elinton W. Carneiro</t>
  </si>
  <si>
    <t>Enriquecimento</t>
  </si>
  <si>
    <t>Marca</t>
  </si>
  <si>
    <t>Fibra</t>
  </si>
  <si>
    <t>M. Mineral</t>
  </si>
  <si>
    <t>Raça</t>
  </si>
  <si>
    <t>Sólidos no leite/sucedâneo</t>
  </si>
  <si>
    <t>kcal/kg</t>
  </si>
  <si>
    <t>Nº de bezerras</t>
  </si>
  <si>
    <t>Peso médio nascimento (kg)</t>
  </si>
  <si>
    <t>NUTRIÇÃO AGRIFIRM</t>
  </si>
  <si>
    <t>Peso médio das bezerras (kg)</t>
  </si>
  <si>
    <t>Dieta atual</t>
  </si>
  <si>
    <t>Idade das bezerras (dias)</t>
  </si>
  <si>
    <t>$nutricao_leite_kglt</t>
  </si>
  <si>
    <t>$nutricao_leite_dieta</t>
  </si>
  <si>
    <t>Peso a desmama (kg)</t>
  </si>
  <si>
    <t>$nutricao_kalvolac_diluicao</t>
  </si>
  <si>
    <t>$nutricao_kalvolac_kglt</t>
  </si>
  <si>
    <t>$nutricao_kalvolac_dieta</t>
  </si>
  <si>
    <t>Desmama (dias)</t>
  </si>
  <si>
    <t>$nutricao_enriquecimento_kglt2</t>
  </si>
  <si>
    <t>$nutricao_enriquecimento_kglt</t>
  </si>
  <si>
    <t>Nº de parto mês</t>
  </si>
  <si>
    <t>Ração Pré Inicial Agrifirm</t>
  </si>
  <si>
    <t>$produtor_racao_kglt2 ou $nutricao_racao_kglt2 (os dois estão ligados, quando muda um outro muda pra ficar igual)</t>
  </si>
  <si>
    <t>$raca</t>
  </si>
  <si>
    <t>$peso_medio_nascimento</t>
  </si>
  <si>
    <t>$peso_medio_bezerras</t>
  </si>
  <si>
    <t>Relatório Financeiro</t>
  </si>
  <si>
    <t>Parâmetros</t>
  </si>
  <si>
    <t>Produtor</t>
  </si>
  <si>
    <t>Agrifirm</t>
  </si>
  <si>
    <t>Custo total alimentação (R$/Bezerra)</t>
  </si>
  <si>
    <t>R$/kg de ganho</t>
  </si>
  <si>
    <t>Custo alimentação (R$/bezerra/dia)</t>
  </si>
  <si>
    <t>AGRIFIRM</t>
  </si>
  <si>
    <t>Custo alimentação período(R$/bezerra)</t>
  </si>
  <si>
    <t>Volume leite fornecido média (lt/dia)</t>
  </si>
  <si>
    <t>Custo alimentação (R$/bezerra/60 dias)</t>
  </si>
  <si>
    <t>Ingestão de sólidos Leite (kg)</t>
  </si>
  <si>
    <t>Enriquecimento do leite</t>
  </si>
  <si>
    <t>Volume de Sucedâneo Lácteo kg/dia</t>
  </si>
  <si>
    <t>Volume de Sucedâneo Lácteo período (kg)</t>
  </si>
  <si>
    <t>Sc/bezerra</t>
  </si>
  <si>
    <t>Consumo médio ração/dia</t>
  </si>
  <si>
    <t>Consumo ração no período (total kg)</t>
  </si>
  <si>
    <t>Ração pré inicial</t>
  </si>
  <si>
    <t>IMS total (leite e/ou suced. + ração) (kg)</t>
  </si>
  <si>
    <t>Custo por kg de MS (Leite e/ou Sucedâneo)</t>
  </si>
  <si>
    <t>Consumo total (Sucedâneo e/ou leite) R$</t>
  </si>
  <si>
    <t>Consumo total (Ração) R$</t>
  </si>
  <si>
    <t xml:space="preserve">Peso bezerra (kg) </t>
  </si>
  <si>
    <t>Meta</t>
  </si>
  <si>
    <t xml:space="preserve">PM </t>
  </si>
  <si>
    <t xml:space="preserve">EM </t>
  </si>
  <si>
    <t>Dieta</t>
  </si>
  <si>
    <t>Relatório Técnico</t>
  </si>
  <si>
    <t>Dias em aleitamento</t>
  </si>
  <si>
    <t>GPD médio</t>
  </si>
  <si>
    <t>Ganho total período (kg)</t>
  </si>
  <si>
    <t>Peso ideal aos 60 dias</t>
  </si>
  <si>
    <t xml:space="preserve">Dias para atingir o peso </t>
  </si>
  <si>
    <t>Necessidade ganho de peso (g)</t>
  </si>
  <si>
    <t>Volume leite fornecido( lt/dia)</t>
  </si>
  <si>
    <t>Volume leite fornecido período (lt)</t>
  </si>
  <si>
    <t>Sólidos no leite (%)</t>
  </si>
  <si>
    <t>Volume de Sucedâneo Lácteo</t>
  </si>
  <si>
    <t>Consumo ração inicial (total kg)</t>
  </si>
  <si>
    <t>Consumo de MS predito (kg/dia)</t>
  </si>
  <si>
    <t>Consumo de MS fornecido por dia</t>
  </si>
  <si>
    <t>IMS total (leite e/ou suced. + ração (kg)</t>
  </si>
  <si>
    <t>Nascimento</t>
  </si>
  <si>
    <t>META</t>
  </si>
  <si>
    <t>Programa PG</t>
  </si>
  <si>
    <t>Viabilidade</t>
  </si>
  <si>
    <t>EFICIÊNCIA ALIMENTAR</t>
  </si>
  <si>
    <t>Volume leite fornecido (lt/dia)</t>
  </si>
  <si>
    <t>Volume de Sucedâneo Lácteo período</t>
  </si>
  <si>
    <t>Peso da bezerra (kg)</t>
  </si>
  <si>
    <t>PM</t>
  </si>
  <si>
    <t>EM</t>
  </si>
  <si>
    <t>GPD esperado (g/dia):</t>
  </si>
  <si>
    <t xml:space="preserve">Necessidade para GPD </t>
  </si>
  <si>
    <t>Proteína                        g/dia</t>
  </si>
  <si>
    <t>Energia Metabolizável     Mcal/dia</t>
  </si>
  <si>
    <t xml:space="preserve">      Necessidade MS  Leite/Sucedâneo (kg)</t>
  </si>
  <si>
    <t>Dieta Líquida fornecida</t>
  </si>
  <si>
    <t>Sólidos/kg/lt</t>
  </si>
  <si>
    <t>lt/kg/dia</t>
  </si>
  <si>
    <t>Energia metabolizável Mcal/dia</t>
  </si>
  <si>
    <t>Tipo de Leite utilizado:</t>
  </si>
  <si>
    <t>Sucedâneo:</t>
  </si>
  <si>
    <t>Enriquecimento:</t>
  </si>
  <si>
    <t>Dieta concentrada</t>
  </si>
  <si>
    <t>Ração</t>
  </si>
  <si>
    <t>Sólidos no leite</t>
  </si>
  <si>
    <t>Sólidos no leite %</t>
  </si>
  <si>
    <t>Necessidade</t>
  </si>
  <si>
    <t>Total de sólidos</t>
  </si>
  <si>
    <t>Total dieta fornecida</t>
  </si>
  <si>
    <t>Diferença</t>
  </si>
  <si>
    <t>leite</t>
  </si>
  <si>
    <t>sucedâneo</t>
  </si>
  <si>
    <t>*Proteína - leite e suced. 93%; ração 81%</t>
  </si>
  <si>
    <t xml:space="preserve">Leite </t>
  </si>
  <si>
    <t>Leite</t>
  </si>
  <si>
    <t>Amido</t>
  </si>
  <si>
    <t>300g</t>
  </si>
  <si>
    <t>Concorrente</t>
  </si>
  <si>
    <t xml:space="preserve">      Necessidade MS  (kg)</t>
  </si>
  <si>
    <t>Volume para atender prot</t>
  </si>
  <si>
    <t>volume para atender energ</t>
  </si>
  <si>
    <t>Necessidades</t>
  </si>
  <si>
    <t>valor primeira linha</t>
  </si>
  <si>
    <t>Valor coluna</t>
  </si>
  <si>
    <t>Valor primeira coluna =</t>
  </si>
  <si>
    <t>PROTEINA METABOLIZÁVEL (g/dia)</t>
  </si>
  <si>
    <t>loock</t>
  </si>
  <si>
    <t>ENERGIA METABOLIZÁVEL Mcal/dia</t>
  </si>
  <si>
    <t>peso</t>
  </si>
  <si>
    <t>ganho</t>
  </si>
  <si>
    <t>Dados 2</t>
  </si>
  <si>
    <t>Quantidades</t>
  </si>
  <si>
    <t>Cód.</t>
  </si>
  <si>
    <t>Sem leite</t>
  </si>
  <si>
    <r>
      <t xml:space="preserve">Leite </t>
    </r>
    <r>
      <rPr>
        <rFont val="Calibri"/>
        <b val="false"/>
        <i val="true"/>
        <strike val="false"/>
        <color rgb="FF000000"/>
        <sz val="10"/>
        <u val="none"/>
      </rPr>
      <t xml:space="preserve">in natura</t>
    </r>
  </si>
  <si>
    <t>Leite descarte</t>
  </si>
  <si>
    <t>Raças</t>
  </si>
  <si>
    <t>Holandês</t>
  </si>
  <si>
    <t>Girolando</t>
  </si>
  <si>
    <t>Jersey</t>
  </si>
  <si>
    <t>Cruzadas</t>
  </si>
  <si>
    <t>Kg/sc</t>
  </si>
  <si>
    <t>PC</t>
  </si>
  <si>
    <t>Financeiro</t>
  </si>
  <si>
    <t>Substituição.Parcial</t>
  </si>
  <si>
    <t>Substituição.Total</t>
  </si>
  <si>
    <t>Diluição</t>
  </si>
  <si>
    <t>PB</t>
  </si>
  <si>
    <t>Ração comercial 18%</t>
  </si>
  <si>
    <t>Ração comercial 20%</t>
  </si>
  <si>
    <t>Ração comercial 22%</t>
  </si>
  <si>
    <t>Ração comercial 24%</t>
  </si>
  <si>
    <t>Ração Pré Inicial 21% Agrifirm</t>
  </si>
  <si>
    <t>1 kg NDT = 4,4 Mcal ED</t>
  </si>
  <si>
    <t>EM = 0,82 x ED</t>
  </si>
  <si>
    <t>RAÇÃO PRÉ INICIAL = 82,2% NDT</t>
  </si>
  <si>
    <t>Parametros</t>
  </si>
  <si>
    <t>MS</t>
  </si>
  <si>
    <t>ED</t>
  </si>
  <si>
    <t>Leite in natura</t>
  </si>
  <si>
    <t>Sucedâneo lácteo</t>
  </si>
  <si>
    <t>Vetilac Premium Azul</t>
  </si>
  <si>
    <t>Vetilac Ultra</t>
  </si>
  <si>
    <t>Vetilac Premium</t>
  </si>
  <si>
    <t>Ultramilk</t>
  </si>
  <si>
    <t>Toplac pré-inicial</t>
  </si>
  <si>
    <t>Concentrado</t>
  </si>
  <si>
    <t>Ração comercial</t>
  </si>
  <si>
    <t>Volumoso</t>
  </si>
  <si>
    <t>Silagem de milho</t>
  </si>
  <si>
    <t>Feno tipo A</t>
  </si>
  <si>
    <t>Empresa</t>
  </si>
  <si>
    <t>PB (%)</t>
  </si>
  <si>
    <t>EE      (%)</t>
  </si>
  <si>
    <t>Lactose   (%)</t>
  </si>
  <si>
    <t xml:space="preserve">Vetilac Azul </t>
  </si>
  <si>
    <t>Vetilac Ultamilk</t>
  </si>
  <si>
    <t>Amamenta Premium</t>
  </si>
  <si>
    <t>Neovia</t>
  </si>
  <si>
    <t>Amamilk Premium</t>
  </si>
  <si>
    <t>Diamaju</t>
  </si>
  <si>
    <t>Baspan</t>
  </si>
  <si>
    <t>Desmamelac Premium</t>
  </si>
  <si>
    <t>PNI</t>
  </si>
  <si>
    <t>Kalvolac</t>
  </si>
  <si>
    <t>Nutrifeed</t>
  </si>
  <si>
    <t>Kalvolac Quick</t>
  </si>
  <si>
    <t>Lactech</t>
  </si>
  <si>
    <t>Lactalis Feed</t>
  </si>
  <si>
    <t>Lactoplus</t>
  </si>
  <si>
    <t>Nurture Bovilac</t>
  </si>
  <si>
    <t>Cargill</t>
  </si>
  <si>
    <t>Nurture Lactal</t>
  </si>
  <si>
    <t>Nurture Prime</t>
  </si>
  <si>
    <t>PrimoLácteo</t>
  </si>
  <si>
    <t>Tectron</t>
  </si>
  <si>
    <t>Sprayfo azul</t>
  </si>
  <si>
    <t>Trow Nutrition</t>
  </si>
  <si>
    <t>Sprayfo violeta</t>
  </si>
  <si>
    <t>Outro</t>
  </si>
  <si>
    <t>Literatura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</si>
  <si>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</si>
  <si>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</si>
  <si>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</si>
  <si>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</si>
  <si>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</si>
  <si>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</si>
  <si>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</si>
  <si>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PESO1</t>
  </si>
  <si>
    <t>PESO2</t>
  </si>
  <si>
    <t>ALTURA1</t>
  </si>
  <si>
    <t>ALTURA2</t>
  </si>
  <si>
    <t>Peso x Altura1</t>
  </si>
  <si>
    <t>Peso x Altura2</t>
  </si>
  <si>
    <t>Protocolo2</t>
  </si>
  <si>
    <t>PRÁTICA</t>
  </si>
  <si>
    <t>QUANTIDADE</t>
  </si>
  <si>
    <t>QUANDO</t>
  </si>
  <si>
    <t>COMO</t>
  </si>
  <si>
    <t>OBSERVAÇÃO</t>
  </si>
  <si>
    <t>LEITE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</si>
  <si>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</si>
  <si>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</si>
  <si>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</si>
  <si>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</si>
  <si>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</si>
  <si>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</si>
  <si>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TOPLAC PRÉ INICIAL</t>
  </si>
  <si>
    <t>À vontade</t>
  </si>
  <si>
    <t>A partir do 3º dias de vida à 60  dias de idade</t>
  </si>
  <si>
    <t>No cocho</t>
  </si>
  <si>
    <t>Fornecer no cocho em pequenas quantidades várias vezes ao dia.</t>
  </si>
  <si>
    <t>Fornecimento de água</t>
  </si>
  <si>
    <t>A partir da 1º semana de vida</t>
  </si>
  <si>
    <t>Em cocho automático ou em balde</t>
  </si>
  <si>
    <t>Evitar acesso 1 hora antes e 1 hora após o fornecimento do leite</t>
  </si>
  <si>
    <t>Desmama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</si>
  <si>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</si>
  <si>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</si>
  <si>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</si>
  <si>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</si>
  <si>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Feno (opcional)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</si>
  <si>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</si>
  <si>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</si>
  <si>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</si>
  <si>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</si>
  <si>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Fazenda:</t>
  </si>
  <si>
    <t>Faz. Céu Azul</t>
  </si>
  <si>
    <t>Proprietário:</t>
  </si>
  <si>
    <t>José Luiz Zago</t>
  </si>
  <si>
    <t>Técnico:</t>
  </si>
  <si>
    <t>Otávio José</t>
  </si>
  <si>
    <t>(34)99157-0327</t>
  </si>
  <si>
    <t>PROTOCOLO NUTRICIONAL PARA CRIAÇÃO DE BEZERRAS                                                                                                                                 BEZERRAS RECÉM NASCIDAS</t>
  </si>
</sst>
</file>

<file path=xl/styles.xml><?xml version="1.0" encoding="utf-8"?>
<styleSheet xmlns="http://schemas.openxmlformats.org/spreadsheetml/2006/main" xml:space="preserve">
  <numFmts count="18">
    <numFmt numFmtId="164" formatCode="0.0"/>
    <numFmt numFmtId="165" formatCode="&quot;R$&quot;\ #,##0.00;[Red]\-&quot;R$&quot;\ #,##0.00"/>
    <numFmt numFmtId="166" formatCode="0.000"/>
    <numFmt numFmtId="167" formatCode="&quot;R$&quot;\ #,##0.000;[Red]\-&quot;R$&quot;\ #,##0.000"/>
    <numFmt numFmtId="168" formatCode="_-* #,##0_-;\-* #,##0_-;_-* &quot;-&quot;??_-;_-@_-"/>
    <numFmt numFmtId="169" formatCode="0.0000"/>
    <numFmt numFmtId="170" formatCode="0\ &quot;g/dia&quot;"/>
    <numFmt numFmtId="171" formatCode="0.0\ &quot;g/dia&quot;"/>
    <numFmt numFmtId="172" formatCode="0\ &quot;Kcal/dia&quot;"/>
    <numFmt numFmtId="173" formatCode="General\ &quot;Kcal&quot;"/>
    <numFmt numFmtId="174" formatCode="General\ &quot;g/dia&quot;"/>
    <numFmt numFmtId="175" formatCode="General\ &quot;Kcal/dia&quot;"/>
    <numFmt numFmtId="176" formatCode="General\ &quot;g&quot;"/>
    <numFmt numFmtId="177" formatCode="0.00\ &quot;g/dia&quot;"/>
    <numFmt numFmtId="178" formatCode="General\ &quot;lts/dia&quot;"/>
    <numFmt numFmtId="179" formatCode="0.000\ &quot;kg/dia&quot;"/>
    <numFmt numFmtId="180" formatCode="General\ &quot;g/kg&quot;"/>
    <numFmt numFmtId="181" formatCode="General\ &quot;Kcal/kg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A5A5A5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6600"/>
      <name val="Calibri"/>
    </font>
    <font>
      <b val="1"/>
      <i val="0"/>
      <strike val="0"/>
      <u val="none"/>
      <sz val="14"/>
      <color rgb="FF006600"/>
      <name val="Calibri"/>
    </font>
    <font>
      <b val="0"/>
      <i val="0"/>
      <strike val="0"/>
      <u val="single"/>
      <sz val="14"/>
      <color rgb="FF0563C1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FFFF"/>
      <name val="Calibri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7E4BC"/>
        <bgColor rgb="FFFFFFFF"/>
      </patternFill>
    </fill>
    <fill>
      <patternFill patternType="solid">
        <fgColor rgb="FF006600"/>
        <bgColor rgb="FFFFFFFF"/>
      </patternFill>
    </fill>
  </fills>
  <borders count="8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66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548135"/>
      </left>
      <right style="thin">
        <color rgb="FF548135"/>
      </right>
      <top style="medium">
        <color rgb="FF000000"/>
      </top>
      <bottom/>
      <diagonal/>
    </border>
    <border>
      <left style="medium">
        <color rgb="FF006600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medium">
        <color rgb="FF006600"/>
      </left>
      <right style="thin">
        <color rgb="FF548135"/>
      </right>
      <top style="thin">
        <color rgb="FF548135"/>
      </top>
      <bottom/>
      <diagonal/>
    </border>
    <border>
      <left style="medium">
        <color rgb="FF006600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medium">
        <color rgb="FF006600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/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medium">
        <color rgb="FF006600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medium">
        <color rgb="FF006600"/>
      </right>
      <top style="thin">
        <color rgb="FF548135"/>
      </top>
      <bottom/>
      <diagonal/>
    </border>
    <border>
      <left style="medium">
        <color rgb="FF0066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6600"/>
      </right>
      <top style="thin">
        <color rgb="FF000000"/>
      </top>
      <bottom/>
      <diagonal/>
    </border>
    <border>
      <left style="medium">
        <color rgb="FF0066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medium">
        <color rgb="FF006600"/>
      </right>
      <top/>
      <bottom style="medium">
        <color rgb="FF006600"/>
      </bottom>
      <diagonal/>
    </border>
    <border>
      <left style="medium">
        <color rgb="FF006600"/>
      </left>
      <right style="thin">
        <color rgb="FF000000"/>
      </right>
      <top style="medium">
        <color rgb="FF006600"/>
      </top>
      <bottom/>
      <diagonal/>
    </border>
    <border>
      <left style="thin">
        <color rgb="FF000000"/>
      </left>
      <right style="thin">
        <color rgb="FF000000"/>
      </right>
      <top style="medium">
        <color rgb="FF0066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textRotation="0" wrapText="true" shrinkToFit="false" readingOrder="1"/>
    </xf>
    <xf xfId="0" fontId="2" numFmtId="0" fillId="2" borderId="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4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5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6" applyFont="1" applyNumberFormat="0" applyFill="1" applyBorder="1" applyAlignment="1">
      <alignment horizontal="center" vertical="center" textRotation="0" wrapText="true" shrinkToFit="false" readingOrder="1"/>
    </xf>
    <xf xfId="0" fontId="2" numFmtId="0" fillId="0" borderId="7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8" applyFont="1" applyNumberFormat="0" applyFill="0" applyBorder="1" applyAlignment="1">
      <alignment horizontal="center" vertical="center" textRotation="0" wrapText="true" shrinkToFit="false" readingOrder="1"/>
    </xf>
    <xf xfId="0" fontId="4" numFmtId="0" fillId="0" borderId="9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0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1" applyFont="1" applyNumberFormat="0" applyFill="0" applyBorder="1" applyAlignment="1">
      <alignment horizontal="center" vertical="center" textRotation="0" wrapText="true" shrinkToFit="false" readingOrder="1"/>
    </xf>
    <xf xfId="0" fontId="2" numFmtId="0" fillId="2" borderId="7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8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9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0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1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7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8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9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0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1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0" applyFont="1" applyNumberFormat="1" applyFill="0" applyBorder="0" applyAlignment="1">
      <alignment horizontal="center" vertical="center" textRotation="0" wrapText="true" shrinkToFit="false" readingOrder="1"/>
    </xf>
    <xf xfId="0" fontId="6" numFmtId="164" fillId="0" borderId="12" applyFont="1" applyNumberFormat="1" applyFill="0" applyBorder="1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5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4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5" applyFont="1" applyNumberFormat="1" applyFill="0" applyBorder="1" applyAlignment="1">
      <alignment horizontal="center" vertical="center" textRotation="0" wrapText="true" shrinkToFit="false" readingOrder="1"/>
    </xf>
    <xf xfId="0" fontId="2" numFmtId="0" fillId="2" borderId="16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7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8" applyFont="1" applyNumberFormat="1" applyFill="0" applyBorder="1" applyAlignment="1">
      <alignment horizontal="center" vertical="center" textRotation="0" wrapText="true" shrinkToFit="false" readingOrder="1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/>
    <xf xfId="0" fontId="10" numFmtId="0" fillId="0" borderId="0" applyFont="1" applyNumberFormat="0" applyFill="0" applyBorder="0" applyAlignment="1">
      <alignment vertical="top" textRotation="0" wrapText="true" shrinkToFit="false"/>
    </xf>
    <xf xfId="0" fontId="9" numFmtId="2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9" numFmtId="164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11" numFmtId="0" fillId="0" borderId="0" applyFont="1" applyNumberFormat="0" applyFill="0" applyBorder="0" applyAlignment="1">
      <alignment horizont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vertical="center" textRotation="0" wrapText="false" shrinkToFit="false"/>
      <protection hidden="true"/>
    </xf>
    <xf xfId="0" fontId="0" numFmtId="165" fillId="0" borderId="0" applyFont="0" applyNumberFormat="1" applyFill="0" applyBorder="0" applyAlignment="0" applyProtection="true">
      <protection hidden="true"/>
    </xf>
    <xf xfId="0" fontId="0" numFmtId="0" fillId="0" borderId="0" applyFont="0" applyNumberFormat="0" applyFill="0" applyBorder="0" applyAlignment="0" applyProtection="true"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textRotation="0" wrapText="false" shrinkToFit="false"/>
      <protection hidden="tru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6" fillId="0" borderId="0" applyFont="0" applyNumberFormat="1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0"/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1">
      <alignment horizontal="left" textRotation="0" wrapText="false" shrinkToFit="false"/>
    </xf>
    <xf xfId="0" fontId="0" numFmtId="165" fillId="0" borderId="0" applyFont="0" applyNumberFormat="1" applyFill="0" applyBorder="0" applyAlignment="1">
      <alignment horizontal="left" textRotation="0" wrapText="false" shrinkToFit="false"/>
    </xf>
    <xf xfId="0" fontId="0" numFmtId="167" fillId="0" borderId="0" applyFont="0" applyNumberFormat="1" applyFill="0" applyBorder="0" applyAlignment="1">
      <alignment horizontal="left" textRotation="0" wrapText="false" shrinkToFit="false"/>
    </xf>
    <xf xfId="0" fontId="16" numFmtId="9" fillId="0" borderId="19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9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3" fillId="0" borderId="0" applyFont="1" applyNumberFormat="1" applyFill="0" applyBorder="0" applyAlignment="1">
      <alignment horizontal="left" vertical="center" textRotation="0" wrapText="false" shrinkToFit="false"/>
    </xf>
    <xf xfId="0" fontId="17" numFmtId="168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1" fillId="0" borderId="0" applyFont="1" applyNumberFormat="1" applyFill="0" applyBorder="0" applyAlignment="1">
      <alignment horizontal="left" vertical="center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9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14" fillId="0" borderId="0" applyFont="1" applyNumberFormat="1" applyFill="0" applyBorder="0" applyAlignment="1">
      <alignment horizontal="left" textRotation="0" wrapText="false" shrinkToFit="false"/>
    </xf>
    <xf xfId="0" fontId="9" numFmtId="0" fillId="0" borderId="20" applyFont="1" applyNumberFormat="0" applyFill="0" applyBorder="1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9" numFmtId="0" fillId="0" borderId="22" applyFont="1" applyNumberFormat="0" applyFill="0" applyBorder="1" applyAlignment="1">
      <alignment horizontal="left" textRotation="0" wrapText="false" shrinkToFit="false"/>
    </xf>
    <xf xfId="0" fontId="9" numFmtId="0" fillId="0" borderId="23" applyFont="1" applyNumberFormat="0" applyFill="0" applyBorder="1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 indent="1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12" applyFont="1" applyNumberFormat="0" applyFill="0" applyBorder="1" applyAlignment="1">
      <alignment horizontal="left" textRotation="0" wrapText="false" shrinkToFit="false"/>
    </xf>
    <xf xfId="0" fontId="11" numFmtId="0" fillId="0" borderId="25" applyFont="1" applyNumberFormat="0" applyFill="0" applyBorder="1" applyAlignment="1">
      <alignment horizontal="left" textRotation="0" wrapText="false" shrinkToFit="false"/>
    </xf>
    <xf xfId="0" fontId="11" numFmtId="0" fillId="0" borderId="15" applyFont="1" applyNumberFormat="0" applyFill="0" applyBorder="1" applyAlignment="1">
      <alignment horizontal="left" textRotation="0" wrapText="false" shrinkToFit="false"/>
    </xf>
    <xf xfId="0" fontId="7" numFmtId="0" fillId="0" borderId="26" applyFont="1" applyNumberFormat="0" applyFill="0" applyBorder="1" applyAlignment="1">
      <alignment horizontal="left" textRotation="0" wrapText="false" shrinkToFit="false"/>
    </xf>
    <xf xfId="0" fontId="7" numFmtId="0" fillId="0" borderId="27" applyFont="1" applyNumberFormat="0" applyFill="0" applyBorder="1" applyAlignment="1">
      <alignment horizontal="left" textRotation="0" wrapText="false" shrinkToFit="false"/>
    </xf>
    <xf xfId="0" fontId="7" numFmtId="0" fillId="0" borderId="28" applyFont="1" applyNumberFormat="0" applyFill="0" applyBorder="1" applyAlignment="1">
      <alignment horizontal="left" textRotation="0" wrapText="false" shrinkToFit="false"/>
    </xf>
    <xf xfId="0" fontId="7" numFmtId="0" fillId="0" borderId="29" applyFont="1" applyNumberFormat="0" applyFill="0" applyBorder="1" applyAlignment="1">
      <alignment horizontal="left" textRotation="0" wrapText="false" shrinkToFit="false"/>
    </xf>
    <xf xfId="0" fontId="20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30" applyFont="1" applyNumberFormat="0" applyFill="0" applyBorder="1" applyAlignment="1">
      <alignment horizontal="left" textRotation="0" wrapText="false" shrinkToFit="false"/>
    </xf>
    <xf xfId="0" fontId="9" numFmtId="2" fillId="0" borderId="30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0" fillId="0" borderId="32" applyFont="1" applyNumberFormat="0" applyFill="0" applyBorder="1" applyAlignment="1">
      <alignment horizontal="left" textRotation="0" wrapText="false" shrinkToFit="false"/>
    </xf>
    <xf xfId="0" fontId="9" numFmtId="169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2" applyFont="1" applyNumberFormat="1" applyFill="0" applyBorder="1" applyAlignment="1">
      <alignment horizontal="left" vertical="center" textRotation="0" wrapText="false" shrinkToFit="false"/>
    </xf>
    <xf xfId="0" fontId="9" numFmtId="2" fillId="0" borderId="24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3" applyFont="1" applyNumberFormat="1" applyFill="0" applyBorder="1" applyAlignment="1">
      <alignment horizontal="left" vertical="center" textRotation="0" wrapText="false" shrinkToFit="false"/>
    </xf>
    <xf xfId="0" fontId="9" numFmtId="2" fillId="0" borderId="34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2" fillId="0" borderId="4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hidden="true"/>
    </xf>
    <xf xfId="0" fontId="9" numFmtId="2" fillId="0" borderId="0" applyFont="1" applyNumberFormat="1" applyFill="0" applyBorder="0" applyAlignment="1">
      <alignment horizontal="left" textRotation="0" wrapText="false" shrinkToFit="false"/>
    </xf>
    <xf xfId="0" fontId="11" numFmtId="0" fillId="0" borderId="23" applyFont="1" applyNumberFormat="0" applyFill="0" applyBorder="1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7" numFmtId="2" fillId="0" borderId="28" applyFont="1" applyNumberFormat="1" applyFill="0" applyBorder="1" applyAlignment="1">
      <alignment horizontal="left" textRotation="0" wrapText="false" shrinkToFit="false"/>
    </xf>
    <xf xfId="0" fontId="9" numFmtId="0" fillId="0" borderId="35" applyFont="1" applyNumberFormat="0" applyFill="0" applyBorder="1" applyAlignment="1">
      <alignment horizontal="left" textRotation="0" wrapText="false" shrinkToFit="false"/>
    </xf>
    <xf xfId="0" fontId="9" numFmtId="0" fillId="0" borderId="3" applyFont="1" applyNumberFormat="0" applyFill="0" applyBorder="1" applyAlignment="1">
      <alignment horizontal="left" textRotation="0" wrapText="false" shrinkToFit="false"/>
    </xf>
    <xf xfId="0" fontId="9" numFmtId="0" fillId="0" borderId="25" applyFont="1" applyNumberFormat="0" applyFill="0" applyBorder="1" applyAlignment="1">
      <alignment horizontal="left" textRotation="0" wrapText="false" shrinkToFit="false"/>
    </xf>
    <xf xfId="0" fontId="9" numFmtId="0" fillId="0" borderId="15" applyFont="1" applyNumberFormat="0" applyFill="0" applyBorder="1" applyAlignment="1">
      <alignment horizontal="left" textRotation="0" wrapText="false" shrinkToFit="false"/>
    </xf>
    <xf xfId="0" fontId="9" numFmtId="0" fillId="0" borderId="18" applyFont="1" applyNumberFormat="0" applyFill="0" applyBorder="1" applyAlignment="1">
      <alignment horizontal="left" textRotation="0" wrapText="false" shrinkToFit="false"/>
    </xf>
    <xf xfId="0" fontId="17" numFmtId="165" fillId="0" borderId="3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7" numFmtId="0" fillId="0" borderId="37" applyFont="1" applyNumberFormat="0" applyFill="0" applyBorder="1" applyAlignment="1">
      <alignment horizontal="left" vertical="center" textRotation="0" wrapText="true" shrinkToFit="false"/>
    </xf>
    <xf xfId="0" fontId="17" numFmtId="165" fillId="0" borderId="3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39" applyFont="1" applyNumberFormat="0" applyFill="0" applyBorder="1" applyAlignment="1">
      <alignment horizontal="left" vertical="center" textRotation="0" wrapText="true" shrinkToFit="false"/>
    </xf>
    <xf xfId="0" fontId="16" numFmtId="0" fillId="0" borderId="37" applyFont="1" applyNumberFormat="0" applyFill="0" applyBorder="1" applyAlignment="1">
      <alignment horizontal="left" vertical="center" textRotation="0" wrapText="true" shrinkToFit="false"/>
    </xf>
    <xf xfId="0" fontId="16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2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43" applyFont="1" applyNumberFormat="0" applyFill="0" applyBorder="1" applyAlignment="1">
      <alignment horizontal="left" textRotation="0" wrapText="false" shrinkToFit="false"/>
    </xf>
    <xf xfId="0" fontId="16" numFmtId="164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22" applyFont="1" applyNumberFormat="0" applyFill="0" applyBorder="1" applyAlignment="1">
      <alignment horizontal="left" vertical="center" textRotation="0" wrapText="true" shrinkToFit="false"/>
    </xf>
    <xf xfId="0" fontId="17" numFmtId="0" fillId="0" borderId="12" applyFont="1" applyNumberFormat="0" applyFill="0" applyBorder="1" applyAlignment="1">
      <alignment horizontal="left" vertical="center" textRotation="0" wrapText="true" shrinkToFit="false"/>
    </xf>
    <xf xfId="0" fontId="16" numFmtId="0" fillId="0" borderId="44" applyFont="1" applyNumberFormat="0" applyFill="0" applyBorder="1" applyAlignment="1">
      <alignment horizontal="left" textRotation="0" wrapText="false" shrinkToFit="false"/>
    </xf>
    <xf xfId="0" fontId="16" numFmtId="2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0" applyFont="1" applyNumberFormat="1" applyFill="0" applyBorder="0" applyAlignment="1">
      <alignment horizontal="left" textRotation="0" wrapText="false" shrinkToFit="false"/>
    </xf>
    <xf xfId="0" fontId="16" numFmtId="0" fillId="0" borderId="20" applyFont="1" applyNumberFormat="0" applyFill="0" applyBorder="1" applyAlignment="1">
      <alignment horizontal="left" textRotation="0" wrapText="false" shrinkToFit="false"/>
    </xf>
    <xf xfId="0" fontId="16" numFmtId="0" fillId="0" borderId="22" applyFont="1" applyNumberFormat="0" applyFill="0" applyBorder="1" applyAlignment="1">
      <alignment horizontal="left" textRotation="0" wrapText="false" shrinkToFit="false"/>
    </xf>
    <xf xfId="0" fontId="16" numFmtId="0" fillId="0" borderId="23" applyFont="1" applyNumberFormat="0" applyFill="0" applyBorder="1" applyAlignment="1">
      <alignment horizontal="left" textRotation="0" wrapText="false" shrinkToFit="false"/>
    </xf>
    <xf xfId="0" fontId="16" numFmtId="0" fillId="0" borderId="12" applyFont="1" applyNumberFormat="0" applyFill="0" applyBorder="1" applyAlignment="1">
      <alignment horizontal="left" textRotation="0" wrapText="false" shrinkToFit="false"/>
    </xf>
    <xf xfId="0" fontId="16" numFmtId="0" fillId="0" borderId="25" applyFont="1" applyNumberFormat="0" applyFill="0" applyBorder="1" applyAlignment="1">
      <alignment horizontal="left" textRotation="0" wrapText="false" shrinkToFit="false"/>
    </xf>
    <xf xfId="0" fontId="16" numFmtId="0" fillId="0" borderId="18" applyFont="1" applyNumberFormat="0" applyFill="0" applyBorder="1" applyAlignment="1">
      <alignment horizontal="left" textRotation="0" wrapText="false" shrinkToFit="false"/>
    </xf>
    <xf xfId="0" fontId="17" numFmtId="0" fillId="0" borderId="26" applyFont="1" applyNumberFormat="0" applyFill="0" applyBorder="1" applyAlignment="1">
      <alignment horizontal="left" textRotation="0" wrapText="false" shrinkToFit="false"/>
    </xf>
    <xf xfId="0" fontId="17" numFmtId="0" fillId="0" borderId="29" applyFont="1" applyNumberFormat="0" applyFill="0" applyBorder="1" applyAlignment="1">
      <alignment horizontal="left" textRotation="0" wrapText="false" shrinkToFit="false"/>
    </xf>
    <xf xfId="0" fontId="16" numFmtId="0" fillId="0" borderId="30" applyFont="1" applyNumberFormat="0" applyFill="0" applyBorder="1" applyAlignment="1">
      <alignment horizontal="left" textRotation="0" wrapText="false" shrinkToFit="false"/>
    </xf>
    <xf xfId="0" fontId="16" numFmtId="0" fillId="0" borderId="3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0" fillId="0" borderId="3" applyFont="1" applyNumberFormat="0" applyFill="0" applyBorder="1" applyAlignment="1">
      <alignment horizontal="left" textRotation="0" wrapText="false" shrinkToFit="false"/>
    </xf>
    <xf xfId="0" fontId="16" numFmtId="2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7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locked="fals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hidden="true"/>
    </xf>
    <xf xfId="0" fontId="17" numFmtId="165" fillId="0" borderId="4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2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9" applyFont="1" applyNumberFormat="0" applyFill="0" applyBorder="1" applyAlignment="1">
      <alignment horizontal="left" vertical="center" textRotation="0" wrapText="true" shrinkToFit="false"/>
    </xf>
    <xf xfId="0" fontId="17" numFmtId="165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2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>
      <alignment horizontal="left" textRotation="0" wrapText="false" shrinkToFit="false"/>
    </xf>
    <xf xfId="0" fontId="17" numFmtId="2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48" applyFont="1" applyNumberFormat="0" applyFill="0" applyBorder="1" applyAlignment="1">
      <alignment horizontal="left" vertical="center" textRotation="0" wrapText="true" shrinkToFit="false"/>
    </xf>
    <xf xfId="0" fontId="17" numFmtId="165" fillId="0" borderId="49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0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0" fillId="0" borderId="51" applyFont="1" applyNumberFormat="0" applyFill="0" applyBorder="1" applyAlignment="1">
      <alignment horizontal="left" vertical="center" textRotation="0" wrapText="true" shrinkToFit="false"/>
    </xf>
    <xf xfId="0" fontId="17" numFmtId="165" fillId="0" borderId="5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3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54" applyFont="1" applyNumberFormat="0" applyFill="0" applyBorder="1" applyAlignment="1">
      <alignment horizontal="left" vertical="center" textRotation="0" wrapText="true" shrinkToFit="false"/>
    </xf>
    <xf xfId="0" fontId="17" numFmtId="165" fillId="0" borderId="5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24" applyFont="1" applyNumberFormat="0" applyFill="0" applyBorder="1" applyAlignment="1">
      <alignment horizontal="left" textRotation="0" wrapText="false" shrinkToFit="false"/>
    </xf>
    <xf xfId="0" fontId="16" numFmtId="164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7" applyFont="1" applyNumberFormat="0" applyFill="0" applyBorder="1" applyAlignment="1">
      <alignment horizontal="left" vertical="center" textRotation="0" wrapText="true" shrinkToFit="false"/>
    </xf>
    <xf xfId="0" fontId="17" numFmtId="165" fillId="0" borderId="5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6" numFmtId="2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textRotation="0" wrapText="false" shrinkToFit="false"/>
    </xf>
    <xf xfId="0" fontId="16" numFmtId="164" fillId="0" borderId="24" applyFont="1" applyNumberFormat="1" applyFill="0" applyBorder="1" applyAlignment="1">
      <alignment horizontal="left" textRotation="0" wrapText="false" shrinkToFit="false"/>
    </xf>
    <xf xfId="0" fontId="16" numFmtId="169" fillId="0" borderId="0" applyFont="1" applyNumberFormat="1" applyFill="0" applyBorder="0" applyAlignment="1">
      <alignment horizontal="left" textRotation="0" wrapText="false" shrinkToFit="fals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5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9" applyFont="1" applyNumberFormat="0" applyFill="0" applyBorder="1" applyAlignment="1">
      <alignment horizontal="left" vertical="center" textRotation="0" wrapText="true" shrinkToFit="false"/>
    </xf>
    <xf xfId="0" fontId="16" numFmtId="0" fillId="0" borderId="6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59" applyFont="1" applyNumberFormat="0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true" shrinkToFit="false"/>
    </xf>
    <xf xfId="0" fontId="17" numFmtId="0" fillId="0" borderId="59" applyFont="1" applyNumberFormat="0" applyFill="0" applyBorder="1" applyAlignment="1">
      <alignment horizontal="left" textRotation="0" wrapText="false" shrinkToFit="false"/>
    </xf>
    <xf xfId="0" fontId="16" numFmtId="1" fillId="0" borderId="60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7" numFmtId="0" fillId="0" borderId="20" applyFont="1" applyNumberFormat="0" applyFill="0" applyBorder="1" applyAlignment="1">
      <alignment horizontal="left" vertical="center" textRotation="0" wrapText="false" shrinkToFit="false"/>
    </xf>
    <xf xfId="0" fontId="16" numFmtId="0" fillId="0" borderId="61" applyFont="1" applyNumberFormat="0" applyFill="0" applyBorder="1" applyAlignment="1">
      <alignment horizontal="left" vertical="justify" textRotation="0" wrapText="false" shrinkToFit="false"/>
    </xf>
    <xf xfId="0" fontId="16" numFmtId="0" fillId="0" borderId="62" applyFont="1" applyNumberFormat="0" applyFill="0" applyBorder="1" applyAlignment="1">
      <alignment horizontal="left" vertical="justify" textRotation="0" wrapText="false" shrinkToFit="false"/>
    </xf>
    <xf xfId="0" fontId="17" numFmtId="1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2" fillId="0" borderId="18" applyFont="1" applyNumberFormat="1" applyFill="0" applyBorder="1" applyAlignment="1">
      <alignment horizontal="left" textRotation="0" wrapText="false" shrinkToFit="false"/>
    </xf>
    <xf xfId="0" fontId="16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vertical="justify" textRotation="0" wrapText="false" shrinkToFit="false"/>
    </xf>
    <xf xfId="0" fontId="17" numFmtId="166" fillId="0" borderId="0" applyFont="1" applyNumberFormat="1" applyFill="0" applyBorder="0" applyAlignment="1">
      <alignment horizontal="left" vertical="center" textRotation="0" wrapText="false" shrinkToFit="false"/>
    </xf>
    <xf xfId="0" fontId="17" numFmtId="2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7" numFmtId="170" fillId="0" borderId="0" applyFont="1" applyNumberFormat="1" applyFill="0" applyBorder="0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vertical="center" textRotation="0" wrapText="false" shrinkToFit="false"/>
    </xf>
    <xf xfId="0" fontId="16" numFmtId="0" fillId="0" borderId="15" applyFont="1" applyNumberFormat="0" applyFill="0" applyBorder="1" applyAlignment="1">
      <alignment horizontal="left" vertical="center" textRotation="0" wrapText="false" shrinkToFit="false"/>
    </xf>
    <xf xfId="0" fontId="17" numFmtId="166" fillId="0" borderId="15" applyFont="1" applyNumberFormat="1" applyFill="0" applyBorder="1" applyAlignment="1">
      <alignment horizontal="left" textRotation="0" wrapText="false" shrinkToFit="false"/>
    </xf>
    <xf xfId="0" fontId="17" numFmtId="171" fillId="0" borderId="15" applyFont="1" applyNumberFormat="1" applyFill="0" applyBorder="1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textRotation="0" wrapText="false" shrinkToFit="false"/>
    </xf>
    <xf xfId="0" fontId="17" numFmtId="0" fillId="0" borderId="25" applyFont="1" applyNumberFormat="0" applyFill="0" applyBorder="1" applyAlignment="1">
      <alignment horizontal="left" textRotation="0" wrapText="false" shrinkToFit="false"/>
    </xf>
    <xf xfId="0" fontId="17" numFmtId="170" fillId="0" borderId="15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63" applyFont="1" applyNumberFormat="0" applyFill="0" applyBorder="1" applyAlignment="1">
      <alignment horizontal="left" vertical="center" textRotation="0" wrapText="false" shrinkToFit="false"/>
    </xf>
    <xf xfId="0" fontId="17" numFmtId="166" fillId="0" borderId="63" applyFont="1" applyNumberFormat="1" applyFill="0" applyBorder="1" applyAlignment="1">
      <alignment horizontal="left" textRotation="0" wrapText="false" shrinkToFit="false"/>
    </xf>
    <xf xfId="0" fontId="17" numFmtId="166" fillId="0" borderId="63" applyFont="1" applyNumberFormat="1" applyFill="0" applyBorder="1" applyAlignment="1">
      <alignment horizontal="left" vertical="center" textRotation="0" wrapText="false" shrinkToFit="false"/>
    </xf>
    <xf xfId="0" fontId="17" numFmtId="2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6" fillId="0" borderId="0" applyFont="1" applyNumberFormat="1" applyFill="0" applyBorder="0" applyAlignment="1">
      <alignment horizontal="left" textRotation="0" wrapText="false" shrinkToFit="false"/>
    </xf>
    <xf xfId="0" fontId="17" numFmtId="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>
      <alignment horizontal="left" textRotation="0" wrapText="false" shrinkToFit="false"/>
    </xf>
    <xf xfId="0" fontId="17" numFmtId="17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7" numFmtId="172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6" numFmtId="164" fillId="0" borderId="0" applyFont="1" applyNumberFormat="1" applyFill="0" applyBorder="0" applyAlignment="1">
      <alignment horizontal="left" textRotation="0" wrapText="false" shrinkToFit="false"/>
    </xf>
    <xf xfId="0" fontId="16" numFmtId="166" fillId="0" borderId="0" applyFont="1" applyNumberFormat="1" applyFill="0" applyBorder="0" applyAlignment="1">
      <alignment horizontal="left" textRotation="0" wrapText="false" shrinkToFit="false"/>
    </xf>
    <xf xfId="0" fontId="16" numFmtId="0" fillId="0" borderId="64" applyFont="1" applyNumberFormat="0" applyFill="0" applyBorder="1" applyAlignment="1">
      <alignment horizontal="left" textRotation="0" wrapText="false" shrinkToFit="false"/>
    </xf>
    <xf xfId="0" fontId="16" numFmtId="0" fillId="0" borderId="65" applyFont="1" applyNumberFormat="0" applyFill="0" applyBorder="1" applyAlignment="1">
      <alignment horizontal="left" textRotation="0" wrapText="false" shrinkToFit="false"/>
    </xf>
    <xf xfId="0" fontId="16" numFmtId="0" fillId="0" borderId="66" applyFont="1" applyNumberFormat="0" applyFill="0" applyBorder="1" applyAlignment="1">
      <alignment horizontal="left" textRotation="0" wrapText="false" shrinkToFit="false"/>
    </xf>
    <xf xfId="0" fontId="16" numFmtId="0" fillId="0" borderId="67" applyFont="1" applyNumberFormat="0" applyFill="0" applyBorder="1" applyAlignment="1">
      <alignment horizontal="left" textRotation="0" wrapText="false" shrinkToFit="false"/>
    </xf>
    <xf xfId="0" fontId="16" numFmtId="0" fillId="0" borderId="21" applyFont="1" applyNumberFormat="0" applyFill="0" applyBorder="1" applyAlignment="1">
      <alignment horizontal="left" textRotation="0" wrapText="false" shrinkToFit="false"/>
    </xf>
    <xf xfId="0" fontId="16" numFmtId="170" fillId="0" borderId="68" applyFont="1" applyNumberFormat="1" applyFill="0" applyBorder="1" applyAlignment="1">
      <alignment horizontal="left" textRotation="0" wrapText="false" shrinkToFit="false"/>
    </xf>
    <xf xfId="0" fontId="16" numFmtId="0" fillId="0" borderId="69" applyFont="1" applyNumberFormat="0" applyFill="0" applyBorder="1" applyAlignment="1">
      <alignment horizontal="left" textRotation="0" wrapText="false" shrinkToFit="false"/>
    </xf>
    <xf xfId="0" fontId="16" numFmtId="173" fillId="0" borderId="70" applyFont="1" applyNumberFormat="1" applyFill="0" applyBorder="1" applyAlignment="1">
      <alignment horizontal="left" textRotation="0" wrapText="false" shrinkToFit="false"/>
    </xf>
    <xf xfId="0" fontId="16" numFmtId="171" fillId="0" borderId="68" applyFont="1" applyNumberFormat="1" applyFill="0" applyBorder="1" applyAlignment="1">
      <alignment horizontal="left" textRotation="0" wrapText="false" shrinkToFit="false"/>
    </xf>
    <xf xfId="0" fontId="16" numFmtId="173" fillId="0" borderId="71" applyFont="1" applyNumberFormat="1" applyFill="0" applyBorder="1" applyAlignment="1">
      <alignment horizontal="left" textRotation="0" wrapText="false" shrinkToFit="false"/>
    </xf>
    <xf xfId="0" fontId="16" numFmtId="174" fillId="0" borderId="26" applyFont="1" applyNumberFormat="1" applyFill="0" applyBorder="1" applyAlignment="1">
      <alignment horizontal="left" textRotation="0" wrapText="false" shrinkToFit="false"/>
    </xf>
    <xf xfId="0" fontId="16" numFmtId="175" fillId="0" borderId="72" applyFont="1" applyNumberFormat="1" applyFill="0" applyBorder="1" applyAlignment="1">
      <alignment horizontal="left" textRotation="0" wrapText="false" shrinkToFit="false"/>
    </xf>
    <xf xfId="0" fontId="16" numFmtId="170" fillId="0" borderId="30" applyFont="1" applyNumberFormat="1" applyFill="0" applyBorder="1" applyAlignment="1">
      <alignment horizontal="left" textRotation="0" wrapText="false" shrinkToFit="false"/>
    </xf>
    <xf xfId="0" fontId="16" numFmtId="173" fillId="0" borderId="31" applyFont="1" applyNumberFormat="1" applyFill="0" applyBorder="1" applyAlignment="1">
      <alignment horizontal="left" textRotation="0" wrapText="false" shrinkToFit="false"/>
    </xf>
    <xf xfId="0" fontId="16" numFmtId="173" fillId="0" borderId="64" applyFont="1" applyNumberFormat="1" applyFill="0" applyBorder="1" applyAlignment="1">
      <alignment horizontal="left" textRotation="0" wrapText="false" shrinkToFit="false"/>
    </xf>
    <xf xfId="0" fontId="16" numFmtId="176" fillId="0" borderId="30" applyFont="1" applyNumberFormat="1" applyFill="0" applyBorder="1" applyAlignment="1">
      <alignment horizontal="left" textRotation="0" wrapText="false" shrinkToFit="false"/>
    </xf>
    <xf xfId="0" fontId="16" numFmtId="175" fillId="0" borderId="31" applyFont="1" applyNumberFormat="1" applyFill="0" applyBorder="1" applyAlignment="1">
      <alignment horizontal="left" textRotation="0" wrapText="false" shrinkToFit="false"/>
    </xf>
    <xf xfId="0" fontId="16" numFmtId="174" fillId="0" borderId="30" applyFont="1" applyNumberFormat="1" applyFill="0" applyBorder="1" applyAlignment="1">
      <alignment horizontal="left" textRotation="0" wrapText="false" shrinkToFit="false"/>
    </xf>
    <xf xfId="0" fontId="16" numFmtId="174" fillId="0" borderId="3" applyFont="1" applyNumberFormat="1" applyFill="0" applyBorder="1" applyAlignment="1">
      <alignment horizontal="left" textRotation="0" wrapText="false" shrinkToFit="false"/>
    </xf>
    <xf xfId="0" fontId="16" numFmtId="0" fillId="0" borderId="34" applyFont="1" applyNumberFormat="0" applyFill="0" applyBorder="1" applyAlignment="1">
      <alignment horizontal="left" textRotation="0" wrapText="false" shrinkToFit="false"/>
    </xf>
    <xf xfId="0" fontId="17" numFmtId="173" fillId="0" borderId="4" applyFont="1" applyNumberFormat="1" applyFill="0" applyBorder="1" applyAlignment="1">
      <alignment horizontal="left" textRotation="0" wrapText="false" shrinkToFit="false"/>
    </xf>
    <xf xfId="0" fontId="17" numFmtId="173" fillId="0" borderId="73" applyFont="1" applyNumberFormat="1" applyFill="0" applyBorder="1" applyAlignment="1">
      <alignment horizontal="left" textRotation="0" wrapText="false" shrinkToFit="false"/>
    </xf>
    <xf xfId="0" fontId="16" numFmtId="177" fillId="0" borderId="3" applyFont="1" applyNumberFormat="1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textRotation="0" wrapText="false" shrinkToFit="false"/>
    </xf>
    <xf xfId="0" fontId="16" numFmtId="0" fillId="0" borderId="74" applyFont="1" applyNumberFormat="0" applyFill="0" applyBorder="1" applyAlignment="1">
      <alignment horizontal="left" textRotation="0" wrapText="false" shrinkToFit="false"/>
    </xf>
    <xf xfId="0" fontId="16" numFmtId="177" fillId="0" borderId="69" applyFont="1" applyNumberFormat="1" applyFill="0" applyBorder="1" applyAlignment="1">
      <alignment horizontal="left" textRotation="0" wrapText="false" shrinkToFit="false"/>
    </xf>
    <xf xfId="0" fontId="16" numFmtId="173" fillId="0" borderId="69" applyFont="1" applyNumberFormat="1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textRotation="0" wrapText="false" shrinkToFit="false"/>
    </xf>
    <xf xfId="0" fontId="16" numFmtId="178" fillId="0" borderId="7" applyFont="1" applyNumberFormat="1" applyFill="0" applyBorder="1" applyAlignment="1">
      <alignment horizontal="left" textRotation="0" wrapText="false" shrinkToFit="false"/>
    </xf>
    <xf xfId="0" fontId="16" numFmtId="176" fillId="0" borderId="7" applyFont="1" applyNumberFormat="1" applyFill="0" applyBorder="1" applyAlignment="1">
      <alignment horizontal="left" textRotation="0" wrapText="false" shrinkToFit="false"/>
    </xf>
    <xf xfId="0" fontId="16" numFmtId="179" fillId="0" borderId="0" applyFont="1" applyNumberFormat="1" applyFill="0" applyBorder="0" applyAlignment="1">
      <alignment horizontal="left" textRotation="0" wrapText="false" shrinkToFit="false"/>
    </xf>
    <xf xfId="0" fontId="16" numFmtId="177" fillId="0" borderId="24" applyFont="1" applyNumberFormat="1" applyFill="0" applyBorder="1" applyAlignment="1">
      <alignment horizontal="left" textRotation="0" wrapText="false" shrinkToFit="false"/>
    </xf>
    <xf xfId="0" fontId="16" numFmtId="173" fillId="0" borderId="24" applyFont="1" applyNumberFormat="1" applyFill="0" applyBorder="1" applyAlignment="1">
      <alignment horizontal="left" textRotation="0" wrapText="false" shrinkToFit="false"/>
    </xf>
    <xf xfId="0" fontId="17" numFmtId="173" fillId="0" borderId="24" applyFont="1" applyNumberFormat="1" applyFill="0" applyBorder="1" applyAlignment="1">
      <alignment horizontal="left" textRotation="0" wrapText="false" shrinkToFit="false"/>
    </xf>
    <xf xfId="0" fontId="16" numFmtId="0" fillId="0" borderId="7" applyFont="1" applyNumberFormat="0" applyFill="0" applyBorder="1" applyAlignment="1">
      <alignment horizontal="left" textRotation="0" wrapText="false" shrinkToFit="false"/>
    </xf>
    <xf xfId="0" fontId="16" numFmtId="178" fillId="0" borderId="2" applyFont="1" applyNumberFormat="1" applyFill="0" applyBorder="1" applyAlignment="1">
      <alignment horizontal="left" textRotation="0" wrapText="false" shrinkToFit="false"/>
    </xf>
    <xf xfId="0" fontId="16" numFmtId="0" fillId="0" borderId="2" applyFont="1" applyNumberFormat="0" applyFill="0" applyBorder="1" applyAlignment="1">
      <alignment horizontal="left" textRotation="0" wrapText="false" shrinkToFit="false"/>
    </xf>
    <xf xfId="0" fontId="16" numFmtId="2" fillId="0" borderId="15" applyFont="1" applyNumberFormat="1" applyFill="0" applyBorder="1" applyAlignment="1">
      <alignment horizontal="left" vertical="center" textRotation="0" wrapText="false" shrinkToFit="false"/>
    </xf>
    <xf xfId="0" fontId="17" numFmtId="2" fillId="0" borderId="15" applyFont="1" applyNumberFormat="1" applyFill="0" applyBorder="1" applyAlignment="1">
      <alignment horizontal="left" textRotation="0" wrapText="false" shrinkToFit="false"/>
    </xf>
    <xf xfId="0" fontId="17" numFmtId="2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4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2" fillId="0" borderId="0" applyFont="1" applyNumberFormat="1" applyFill="0" applyBorder="0" applyAlignment="1">
      <alignment horizontal="left" textRotation="0" wrapText="false" shrinkToFit="false"/>
    </xf>
    <xf xfId="0" fontId="14" quotePrefix="1" numFmtId="0" fillId="0" borderId="0" applyFont="1" applyNumberFormat="0" applyFill="0" applyBorder="0" applyAlignment="1">
      <alignment horizontal="left" textRotation="0" wrapText="false" shrinkToFit="false"/>
    </xf>
    <xf xfId="0" fontId="21" numFmtId="0" fillId="0" borderId="0" applyFont="1" applyNumberFormat="0" applyFill="0" applyBorder="0" applyAlignment="1">
      <alignment horizontal="left" textRotation="0" wrapText="false" shrinkToFit="false"/>
    </xf>
    <xf xfId="0" fontId="21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5" numFmtId="2" fillId="0" borderId="0" applyFont="1" applyNumberFormat="1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1" fillId="0" borderId="20" applyFont="1" applyNumberFormat="1" applyFill="0" applyBorder="1" applyAlignment="1">
      <alignment horizontal="left" textRotation="0" wrapText="false" shrinkToFit="false"/>
    </xf>
    <xf xfId="0" fontId="14" numFmtId="1" fillId="0" borderId="21" applyFont="1" applyNumberFormat="1" applyFill="0" applyBorder="1" applyAlignment="1">
      <alignment horizontal="left" textRotation="0" wrapText="false" shrinkToFit="false"/>
    </xf>
    <xf xfId="0" fontId="14" numFmtId="1" fillId="0" borderId="22" applyFont="1" applyNumberFormat="1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4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vertical="center" textRotation="0" wrapText="false" shrinkToFit="false"/>
    </xf>
    <xf xfId="0" fontId="16" numFmtId="180" fillId="0" borderId="0" applyFont="1" applyNumberFormat="1" applyFill="0" applyBorder="0" applyAlignment="1">
      <alignment horizontal="left" vertical="center" textRotation="0" wrapText="false" shrinkToFit="false"/>
    </xf>
    <xf xfId="0" fontId="16" numFmtId="181" fillId="0" borderId="0" applyFont="1" applyNumberFormat="1" applyFill="0" applyBorder="0" applyAlignment="1">
      <alignment horizontal="left" vertical="center" textRotation="0" wrapText="false" shrinkToFit="false"/>
    </xf>
    <xf xfId="0" fontId="16" numFmtId="10" fillId="0" borderId="0" applyFont="1" applyNumberFormat="1" applyFill="0" applyBorder="0" applyAlignment="1" applyProtection="true">
      <alignment horizontal="left" textRotation="0" wrapText="false" shrinkToFit="false"/>
      <protection locked="false"/>
    </xf>
    <xf xfId="0" fontId="16" numFmtId="166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10" fillId="0" borderId="0" applyFont="1" applyNumberFormat="1" applyFill="0" applyBorder="0" applyAlignment="1">
      <alignment horizontal="left" vertical="center" textRotation="0" wrapText="false" shrinkToFit="false"/>
    </xf>
    <xf xfId="0" fontId="16" quotePrefix="1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6" numFmtId="10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0" fillId="0" borderId="0" applyFont="1" applyNumberFormat="0" applyFill="0" applyBorder="0" applyAlignment="1">
      <alignment horizontal="left" vertical="center" textRotation="0" wrapText="true" shrinkToFit="false" readingOrder="1"/>
    </xf>
    <xf xfId="0" fontId="14" numFmtId="2" fillId="0" borderId="0" applyFont="1" applyNumberFormat="1" applyFill="0" applyBorder="0" applyAlignment="1">
      <alignment horizontal="left" vertical="center" textRotation="0" wrapText="true" shrinkToFit="false" readingOrder="1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75" applyFont="1" applyNumberFormat="0" applyFill="0" applyBorder="1" applyAlignment="1">
      <alignment vertical="center" textRotation="0" wrapText="true" shrinkToFit="false"/>
    </xf>
    <xf xfId="0" fontId="17" numFmtId="0" fillId="0" borderId="76" applyFont="1" applyNumberFormat="0" applyFill="0" applyBorder="1" applyAlignment="1">
      <alignment vertical="center" textRotation="0" wrapText="true" shrinkToFit="false"/>
    </xf>
    <xf xfId="0" fontId="17" numFmtId="165" fillId="0" borderId="24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165" fillId="0" borderId="77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20" applyFont="1" applyNumberFormat="0" applyFill="0" applyBorder="1" applyAlignment="1">
      <alignment vertical="center" textRotation="0" wrapText="true" shrinkToFit="false"/>
    </xf>
    <xf xfId="0" fontId="17" numFmtId="0" fillId="0" borderId="23" applyFont="1" applyNumberFormat="0" applyFill="0" applyBorder="1" applyAlignment="1">
      <alignment vertical="center" textRotation="0" wrapText="true" shrinkToFit="false"/>
    </xf>
    <xf xfId="0" fontId="17" numFmtId="0" fillId="0" borderId="25" applyFont="1" applyNumberFormat="0" applyFill="0" applyBorder="1" applyAlignment="1">
      <alignment vertical="center" textRotation="0" wrapText="true" shrinkToFit="false"/>
    </xf>
    <xf xfId="0" fontId="17" numFmtId="0" fillId="0" borderId="22" applyFont="1" applyNumberFormat="0" applyFill="0" applyBorder="1" applyAlignment="1">
      <alignment vertical="center" textRotation="0" wrapText="true" shrinkToFit="false"/>
    </xf>
    <xf xfId="0" fontId="17" numFmtId="0" fillId="0" borderId="12" applyFont="1" applyNumberFormat="0" applyFill="0" applyBorder="1" applyAlignment="1">
      <alignment vertical="center" textRotation="0" wrapText="true" shrinkToFit="false"/>
    </xf>
    <xf xfId="0" fontId="17" numFmtId="0" fillId="0" borderId="18" applyFont="1" applyNumberFormat="0" applyFill="0" applyBorder="1" applyAlignment="1">
      <alignment vertical="center" textRotation="0" wrapText="true" shrinkToFit="false"/>
    </xf>
    <xf xfId="0" fontId="17" numFmtId="2" fillId="0" borderId="6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8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6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3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9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165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10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9" fillId="0" borderId="0" applyFont="0" applyNumberFormat="1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2" numFmtId="0" fillId="3" borderId="20" applyFont="1" applyNumberFormat="0" applyFill="1" applyBorder="1" applyAlignment="1">
      <alignment horizontal="center" textRotation="0" wrapText="true" shrinkToFit="false" readingOrder="1"/>
    </xf>
    <xf xfId="0" fontId="22" numFmtId="0" fillId="3" borderId="21" applyFont="1" applyNumberFormat="0" applyFill="1" applyBorder="1" applyAlignment="1">
      <alignment horizontal="center" textRotation="0" wrapText="true" shrinkToFit="false" readingOrder="1"/>
    </xf>
    <xf xfId="0" fontId="22" numFmtId="0" fillId="3" borderId="22" applyFont="1" applyNumberFormat="0" applyFill="1" applyBorder="1" applyAlignment="1">
      <alignment horizontal="center" textRotation="0" wrapText="true" shrinkToFit="false" readingOrder="1"/>
    </xf>
    <xf xfId="0" fontId="1" numFmtId="0" fillId="2" borderId="80" applyFont="1" applyNumberFormat="0" applyFill="1" applyBorder="1" applyAlignment="1">
      <alignment horizontal="center" textRotation="0" wrapText="true" shrinkToFit="false" readingOrder="1"/>
    </xf>
    <xf xfId="0" fontId="1" numFmtId="0" fillId="2" borderId="61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23" numFmtId="0" fillId="0" borderId="64" applyFont="1" applyNumberFormat="0" applyFill="0" applyBorder="1" applyAlignment="1">
      <alignment horizontal="center" vertical="center" textRotation="0" wrapText="true" shrinkToFit="false"/>
    </xf>
    <xf xfId="0" fontId="24" numFmtId="0" fillId="0" borderId="81" applyFont="1" applyNumberFormat="0" applyFill="0" applyBorder="1" applyAlignment="1">
      <alignment horizontal="center" vertical="center" textRotation="0" wrapText="true" shrinkToFit="false"/>
    </xf>
    <xf xfId="0" fontId="24" numFmtId="0" fillId="0" borderId="32" applyFont="1" applyNumberFormat="0" applyFill="0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0" applyFont="1" applyNumberFormat="0" applyFill="0" applyBorder="0" applyAlignment="0"/>
    <xf xfId="0" fontId="16" numFmtId="0" fillId="0" borderId="0" applyFont="1" applyNumberFormat="0" applyFill="0" applyBorder="0" applyAlignment="0"/>
    <xf xfId="0" fontId="17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true" shrinkToFit="false"/>
    </xf>
    <xf xfId="0" fontId="17" numFmtId="0" fillId="0" borderId="82" applyFont="1" applyNumberFormat="0" applyFill="0" applyBorder="1" applyAlignment="1">
      <alignment vertical="center" textRotation="0" wrapText="false" shrinkToFit="false"/>
    </xf>
    <xf xfId="0" fontId="16" numFmtId="0" fillId="0" borderId="83" applyFont="1" applyNumberFormat="0" applyFill="0" applyBorder="1" applyAlignment="1">
      <alignment vertical="center" textRotation="0" wrapText="false" shrinkToFit="false"/>
    </xf>
    <xf xfId="0" fontId="16" numFmtId="0" fillId="0" borderId="83" applyFont="1" applyNumberFormat="0" applyFill="0" applyBorder="1" applyAlignment="1">
      <alignment vertical="center" textRotation="0" wrapText="false" shrinkToFit="false"/>
    </xf>
    <xf xfId="0" fontId="16" numFmtId="0" fillId="0" borderId="33" applyFont="1" applyNumberFormat="0" applyFill="0" applyBorder="1" applyAlignment="1">
      <alignment vertical="center" textRotation="0" wrapText="false" shrinkToFit="false"/>
    </xf>
    <xf xfId="0" fontId="17" numFmtId="0" fillId="0" borderId="9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10" applyFont="1" applyNumberFormat="0" applyFill="0" applyBorder="1" applyAlignment="1">
      <alignment vertical="center" textRotation="0" wrapText="false" shrinkToFit="false"/>
    </xf>
    <xf xfId="0" fontId="17" numFmtId="0" fillId="0" borderId="71" applyFont="1" applyNumberFormat="0" applyFill="0" applyBorder="1" applyAlignment="0"/>
    <xf xfId="0" fontId="16" numFmtId="0" fillId="0" borderId="84" applyFont="1" applyNumberFormat="0" applyFill="0" applyBorder="1" applyAlignment="0"/>
    <xf xfId="0" fontId="17" numFmtId="0" fillId="0" borderId="84" applyFont="1" applyNumberFormat="0" applyFill="0" applyBorder="1" applyAlignment="0"/>
    <xf xfId="0" fontId="16" numFmtId="0" fillId="0" borderId="85" applyFont="1" applyNumberFormat="0" applyFill="0" applyBorder="1" applyAlignment="0"/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 readingOrder="1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164" fillId="0" borderId="0" applyFont="1" applyNumberFormat="1" applyFill="0" applyBorder="0" applyAlignment="1">
      <alignment horizontal="left" textRotation="0" wrapText="true" shrinkToFit="false" readingOrder="1"/>
    </xf>
    <xf xfId="0" fontId="16" numFmtId="164" fillId="0" borderId="0" applyFont="1" applyNumberFormat="1" applyFill="0" applyBorder="0" applyAlignment="1">
      <alignment horizontal="left" textRotation="0" wrapText="false" shrinkToFit="false"/>
    </xf>
  </cellXfs>
  <cellStyles count="1">
    <cellStyle name="Normal" xfId="0" builtinId="0"/>
  </cellStyles>
  <dxfs count="3">
    <dxf>
      <font>
        <b val="1"/>
        <i val="0"/>
        <color rgb="FFFF0000"/>
      </font>
      <fill>
        <patternFill patternType="solid">
          <bgColor rgb="FFA9CD90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5923dd8bc556eb1a95d2e0ab815efd0b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c17acc15a3f09a30ed3fc1acf83a9491.png"/><Relationship Id="rId2" Type="http://schemas.openxmlformats.org/officeDocument/2006/relationships/image" Target="../media/c17acc15a3f09a30ed3fc1acf83a9491.png"/></Relationships>
</file>

<file path=xl/drawings/_rels/vmlDrawing1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1" name="Imagem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2552700</xdr:colOff>
      <xdr:row>1</xdr:row>
      <xdr:rowOff>114300</xdr:rowOff>
    </xdr:from>
    <xdr:to>
      <xdr:col>5</xdr:col>
      <xdr:colOff>1847850</xdr:colOff>
      <xdr:row>1</xdr:row>
      <xdr:rowOff>733425</xdr:rowOff>
    </xdr:to>
    <xdr:pic>
      <xdr:nvPicPr>
        <xdr:cNvPr id="1" name="Image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33575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104775</xdr:rowOff>
    </xdr:from>
    <xdr:to>
      <xdr:col>2</xdr:col>
      <xdr:colOff>9525</xdr:colOff>
      <xdr:row>1</xdr:row>
      <xdr:rowOff>723900</xdr:rowOff>
    </xdr:to>
    <xdr:pic>
      <xdr:nvPicPr>
        <xdr:cNvPr id="2" name="Imagem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943100" cy="619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:space="preserve" id="1" name="Table1" displayName="Tabela1" ref="E10:G13" headerRowCount="1" totalsRowCount="0">
  <tableColumns count="3">
    <tableColumn id="1" name="Coluna1"/>
    <tableColumn id="2" name="kg ou lt"/>
    <tableColumn id="3" name="kg ou l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:space="preserve" id="2" name="Table2" displayName="Tabela2" ref="M5:S9" headerRowCount="1" totalsRowCount="0">
  <autoFilter ref="M5:S9"/>
  <tableColumns count="7">
    <tableColumn id="1" name="Idade dias">
      <calculatedColumnFormula>B6</calculatedColumnFormula>
    </tableColumn>
    <tableColumn id="2" name="PESO1">
      <calculatedColumnFormula>IF($N$4="Holandês",VLOOKUP(M6,$B$6:$K$9,2,FALSE),IF($N$4="Girolando",VLOOKUP(M6,$B$6:$K$9,5,FALSE),IF($N$4="Jersey",VLOOKUP(M6,$B$6:$K$9,8,FALSE))))*$N$2</calculatedColumnFormula>
    </tableColumn>
    <tableColumn id="3" name="PESO2">
      <calculatedColumnFormula>IF($N$4="Holandês",VLOOKUP(M6,$B$6:$K$9,2,FALSE),IF($N$4="Girolando",VLOOKUP(M6,$B$6:$K$9,5,FALSE),IF($N$4="Jersey",VLOOKUP(M6,$B$6:$K$9,8,FALSE))))*$O$2</calculatedColumnFormula>
    </tableColumn>
    <tableColumn id="4" name="ALTURA1">
      <calculatedColumnFormula>IF($N$4="Holandês",VLOOKUP(M6,$B$6:$K$9,3,FALSE),IF($N$4="Girolando",VLOOKUP(M6,$B$6:$K$9,6,FALSE),IF($N$4="Jersey",VLOOKUP(M6,$B$6:$K$9,9,FALSE))))*$P$2</calculatedColumnFormula>
    </tableColumn>
    <tableColumn id="5" name="ALTURA2">
      <calculatedColumnFormula>IF($N$4="Holandês",VLOOKUP(M6,$B$6:$K$9,3,FALSE),IF($N$4="Girolando",VLOOKUP(M6,$B$6:$K$9,6,FALSE),IF($N$4="Jersey",VLOOKUP(M6,$B$6:$K$9,9,FALSE))))*$Q$2</calculatedColumnFormula>
    </tableColumn>
    <tableColumn id="6" name="Peso x Altura1">
      <calculatedColumnFormula>N6/P6</calculatedColumnFormula>
    </tableColumn>
    <tableColumn id="7" name="Peso x Altura2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j.silva@gmail.com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_table_1" Type="http://schemas.openxmlformats.org/officeDocument/2006/relationships/table" Target="../tables/table1.xml"/><Relationship Id="rId2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2.xml"/></Relationships>
</file>

<file path=xl/work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ps" Type="http://schemas.openxmlformats.org/officeDocument/2006/relationships/printerSettings" Target="../printerSettings/printerSettings10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80"/>
  <sheetViews>
    <sheetView tabSelected="1" workbookViewId="0" showGridLines="true" showRowColHeaders="1">
      <selection activeCell="F32" sqref="F32"/>
    </sheetView>
  </sheetViews>
  <sheetFormatPr defaultRowHeight="14.4" defaultColWidth="9.1640625" outlineLevelRow="0" outlineLevelCol="0"/>
  <cols>
    <col min="1" max="1" width="34.1640625" customWidth="true" style="69"/>
    <col min="2" max="2" width="23.33203125" customWidth="true" style="69"/>
    <col min="3" max="3" width="26" customWidth="true" style="69"/>
    <col min="4" max="4" width="32.6640625" customWidth="true" style="69"/>
    <col min="5" max="5" width="25.1640625" customWidth="true" style="69"/>
    <col min="6" max="6" width="20.5" customWidth="true" style="69"/>
    <col min="7" max="7" width="31" customWidth="true" style="69"/>
    <col min="8" max="8" width="31" customWidth="true" style="69"/>
    <col min="9" max="9" width="10.5" customWidth="true" style="69"/>
    <col min="10" max="10" width="10.6640625" customWidth="true" style="69"/>
    <col min="11" max="11" width="5.33203125" customWidth="true" style="69"/>
    <col min="12" max="12" width="13.1640625" customWidth="true" style="69"/>
    <col min="13" max="13" width="12.5" customWidth="true" style="69"/>
    <col min="14" max="14" width="3.5" customWidth="true" style="69"/>
    <col min="15" max="15" width="9.33203125" customWidth="true" style="69"/>
    <col min="16" max="16" width="9.33203125" customWidth="true" style="69"/>
    <col min="17" max="17" width="33.5" customWidth="true" style="69"/>
    <col min="18" max="18" width="28.5" customWidth="true" style="69"/>
    <col min="19" max="19" width="21.6640625" customWidth="true" style="69"/>
    <col min="20" max="20" width="9.33203125" customWidth="true" style="69"/>
    <col min="21" max="21" width="9.1640625" style="69"/>
    <col min="22" max="22" width="9.33203125" customWidth="true" style="69"/>
    <col min="23" max="23" width="9.33203125" customWidth="true" style="69"/>
    <col min="24" max="24" width="6.6640625" customWidth="true" style="69"/>
    <col min="25" max="25" width="9.1640625" style="69"/>
  </cols>
  <sheetData>
    <row r="1" spans="1:25" customHeight="1" ht="1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5" customHeight="1" ht="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pans="1:25" customHeight="1" ht="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5" customHeight="1" ht="15" s="38" customFormat="1">
      <c r="A4" s="308" t="s">
        <v>0</v>
      </c>
      <c r="B4" s="308"/>
      <c r="C4" s="308"/>
      <c r="D4" s="308"/>
      <c r="E4" s="308"/>
      <c r="F4" s="308"/>
      <c r="G4" s="308"/>
      <c r="H4" s="308"/>
      <c r="I4" s="308"/>
      <c r="J4" s="30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1:25" customHeight="1" ht="20" s="38" customFormat="1">
      <c r="B5" s="38" t="s">
        <v>1</v>
      </c>
      <c r="G5" s="38" t="s">
        <v>2</v>
      </c>
      <c r="H5" s="71"/>
    </row>
    <row r="6" spans="1:25" customHeight="1" ht="19" s="38" customFormat="1">
      <c r="A6" s="72"/>
      <c r="B6" s="73"/>
      <c r="C6" s="73"/>
      <c r="D6" s="73"/>
      <c r="E6" s="72"/>
      <c r="F6" s="73"/>
      <c r="G6" s="73"/>
      <c r="H6" s="73"/>
      <c r="I6" s="73"/>
      <c r="J6" s="73"/>
      <c r="K6" s="73"/>
      <c r="L6" s="73"/>
      <c r="M6" s="73"/>
      <c r="N6" s="74"/>
    </row>
    <row r="7" spans="1:25" customHeight="1" ht="19" s="38" customFormat="1">
      <c r="A7" s="75"/>
      <c r="B7" s="76" t="s">
        <v>3</v>
      </c>
      <c r="C7" s="77" t="s">
        <v>4</v>
      </c>
      <c r="E7" s="75"/>
      <c r="N7" s="78"/>
    </row>
    <row r="8" spans="1:25" customHeight="1" ht="19" s="38" customFormat="1">
      <c r="A8" s="75"/>
      <c r="B8" s="76" t="s">
        <v>5</v>
      </c>
      <c r="C8" s="77" t="s">
        <v>6</v>
      </c>
      <c r="E8" s="75"/>
      <c r="N8" s="78"/>
    </row>
    <row r="9" spans="1:25" customHeight="1" ht="20" s="38" customFormat="1">
      <c r="A9" s="75"/>
      <c r="B9" s="76" t="s">
        <v>7</v>
      </c>
      <c r="C9" s="77" t="s">
        <v>8</v>
      </c>
      <c r="E9" s="79" t="s">
        <v>9</v>
      </c>
      <c r="F9" s="80"/>
      <c r="G9" s="80"/>
      <c r="L9" s="38" t="s">
        <v>10</v>
      </c>
      <c r="M9" s="38" t="s">
        <v>11</v>
      </c>
      <c r="N9" s="78"/>
      <c r="Q9" s="38" t="s">
        <v>12</v>
      </c>
      <c r="R9" s="38" t="s">
        <v>13</v>
      </c>
    </row>
    <row r="10" spans="1:25" customHeight="1" ht="19" s="38" customFormat="1">
      <c r="A10" s="75"/>
      <c r="B10" s="76" t="s">
        <v>14</v>
      </c>
      <c r="C10" s="77" t="s">
        <v>15</v>
      </c>
      <c r="E10" s="81" t="s">
        <v>16</v>
      </c>
      <c r="F10" s="82" t="s">
        <v>17</v>
      </c>
      <c r="G10" s="83" t="s">
        <v>18</v>
      </c>
      <c r="H10" s="84" t="s">
        <v>19</v>
      </c>
      <c r="L10" s="38" t="s">
        <v>20</v>
      </c>
      <c r="M10" s="38">
        <v>20</v>
      </c>
      <c r="N10" s="78"/>
      <c r="Q10" s="38" t="s">
        <v>21</v>
      </c>
      <c r="R10" s="38" t="s">
        <v>22</v>
      </c>
    </row>
    <row r="11" spans="1:25" customHeight="1" ht="19" s="38" customFormat="1">
      <c r="A11" s="75"/>
      <c r="B11" s="76" t="s">
        <v>23</v>
      </c>
      <c r="C11" s="85" t="s">
        <v>24</v>
      </c>
      <c r="E11" s="86"/>
      <c r="F11" s="87"/>
      <c r="G11" s="87"/>
      <c r="H11" s="88">
        <v>2.8</v>
      </c>
      <c r="I11" s="38">
        <v>4</v>
      </c>
      <c r="J11" s="38">
        <v>3</v>
      </c>
      <c r="L11" s="38" t="s">
        <v>25</v>
      </c>
      <c r="M11" s="38">
        <v>20</v>
      </c>
      <c r="N11" s="78"/>
      <c r="Q11" s="38" t="s">
        <v>26</v>
      </c>
      <c r="R11" s="38">
        <v>1</v>
      </c>
    </row>
    <row r="12" spans="1:25" customHeight="1" ht="19" s="38" customFormat="1">
      <c r="A12" s="75"/>
      <c r="B12" s="76" t="s">
        <v>27</v>
      </c>
      <c r="C12" s="77" t="s">
        <v>28</v>
      </c>
      <c r="E12" s="86" t="s">
        <v>29</v>
      </c>
      <c r="F12" s="87"/>
      <c r="G12" s="89"/>
      <c r="H12" s="90">
        <v>22</v>
      </c>
      <c r="I12" s="38">
        <v>3</v>
      </c>
      <c r="K12" s="38">
        <v>2</v>
      </c>
      <c r="L12" s="38" t="s">
        <v>30</v>
      </c>
      <c r="M12" s="38">
        <v>40</v>
      </c>
      <c r="N12" s="78"/>
      <c r="Q12" s="38">
        <v>4</v>
      </c>
      <c r="R12" s="38" t="s">
        <v>31</v>
      </c>
    </row>
    <row r="13" spans="1:25" customHeight="1" ht="19" s="38" customFormat="1">
      <c r="A13" s="75"/>
      <c r="B13" s="76" t="s">
        <v>32</v>
      </c>
      <c r="C13" s="77" t="s">
        <v>33</v>
      </c>
      <c r="E13" s="87" t="s">
        <v>34</v>
      </c>
      <c r="F13" s="91" t="s">
        <v>35</v>
      </c>
      <c r="G13" s="92"/>
      <c r="H13" s="93">
        <v>16</v>
      </c>
      <c r="I13" s="38">
        <v>1</v>
      </c>
      <c r="J13" s="38">
        <v>1</v>
      </c>
      <c r="L13" s="38" t="s">
        <v>36</v>
      </c>
      <c r="M13" s="38">
        <v>0.4</v>
      </c>
      <c r="N13" s="78"/>
    </row>
    <row r="14" spans="1:25" customHeight="1" ht="20" s="38" customFormat="1">
      <c r="A14" s="75"/>
      <c r="E14" s="87"/>
      <c r="F14" s="94"/>
      <c r="G14" s="95">
        <v>0.25</v>
      </c>
      <c r="H14" s="96">
        <v>2.5</v>
      </c>
      <c r="I14" s="38">
        <v>2</v>
      </c>
      <c r="J14" s="38">
        <v>2</v>
      </c>
      <c r="L14" s="38" t="s">
        <v>37</v>
      </c>
      <c r="M14" s="38">
        <v>9.5</v>
      </c>
      <c r="N14" s="78"/>
    </row>
    <row r="15" spans="1:25" customHeight="1" ht="19" s="38" customFormat="1">
      <c r="A15" s="75"/>
      <c r="B15" s="76" t="s">
        <v>38</v>
      </c>
      <c r="C15" s="97"/>
      <c r="D15" s="38">
        <v>1</v>
      </c>
      <c r="E15" s="75"/>
      <c r="F15" s="328" t="s">
        <v>39</v>
      </c>
      <c r="G15" s="328"/>
      <c r="H15" s="98">
        <f>Dados!B102</f>
        <v>11.948051948052</v>
      </c>
      <c r="L15" s="38" t="s">
        <v>40</v>
      </c>
      <c r="M15" s="38">
        <f>(IF(M10="","",IF(M10&gt;0.001,(((100-3.5)/100)*(M10*0.057)+(0.092*M11)+(0.0395*M12))*3.77)))*238.85</f>
        <v>4070.18958645</v>
      </c>
      <c r="N15" s="78"/>
    </row>
    <row r="16" spans="1:25" customHeight="1" ht="19" s="38" customFormat="1">
      <c r="A16" s="75"/>
      <c r="B16" s="38" t="s">
        <v>41</v>
      </c>
      <c r="C16" s="97">
        <v>20</v>
      </c>
      <c r="E16" s="75"/>
      <c r="N16" s="78"/>
    </row>
    <row r="17" spans="1:25" customHeight="1" ht="20" s="38" customFormat="1">
      <c r="A17" s="75"/>
      <c r="B17" s="38" t="s">
        <v>42</v>
      </c>
      <c r="C17" s="77"/>
      <c r="D17" s="38">
        <v>1</v>
      </c>
      <c r="E17" s="99" t="s">
        <v>43</v>
      </c>
      <c r="F17" s="100"/>
      <c r="G17" s="100"/>
      <c r="N17" s="78"/>
    </row>
    <row r="18" spans="1:25" customHeight="1" ht="19" s="38" customFormat="1">
      <c r="A18" s="75"/>
      <c r="B18" s="38" t="s">
        <v>44</v>
      </c>
      <c r="C18" s="77"/>
      <c r="D18" s="38">
        <v>1</v>
      </c>
      <c r="E18" s="81" t="s">
        <v>45</v>
      </c>
      <c r="F18" s="82" t="s">
        <v>17</v>
      </c>
      <c r="G18" s="82"/>
      <c r="H18" s="101" t="s">
        <v>19</v>
      </c>
      <c r="N18" s="78"/>
    </row>
    <row r="19" spans="1:25" customHeight="1" ht="20" s="38" customFormat="1">
      <c r="A19" s="75"/>
      <c r="B19" s="38" t="s">
        <v>46</v>
      </c>
      <c r="C19" s="77">
        <v>10</v>
      </c>
      <c r="E19" s="86"/>
      <c r="F19" s="89"/>
      <c r="G19" s="89"/>
      <c r="H19" s="102">
        <v>2.8</v>
      </c>
      <c r="I19" s="38">
        <v>2</v>
      </c>
      <c r="J19" s="38">
        <v>3</v>
      </c>
      <c r="N19" s="78"/>
      <c r="Q19" s="38" t="s">
        <v>47</v>
      </c>
      <c r="R19" s="38" t="s">
        <v>48</v>
      </c>
    </row>
    <row r="20" spans="1:25" customHeight="1" ht="20" s="38" customFormat="1">
      <c r="A20" s="75"/>
      <c r="B20" s="38" t="s">
        <v>49</v>
      </c>
      <c r="C20" s="77">
        <f>(VLOOKUP(D17,Dados!A436:B450,2,0))*2</f>
        <v>60</v>
      </c>
      <c r="E20" s="86"/>
      <c r="F20" s="89"/>
      <c r="G20" s="89"/>
      <c r="H20" s="102">
        <v>22</v>
      </c>
      <c r="I20" s="38">
        <v>3</v>
      </c>
      <c r="J20" s="38">
        <v>2</v>
      </c>
      <c r="K20" s="38">
        <v>1</v>
      </c>
      <c r="N20" s="78"/>
      <c r="Q20" s="38" t="s">
        <v>50</v>
      </c>
      <c r="R20" s="38" t="s">
        <v>51</v>
      </c>
      <c r="S20" s="38" t="s">
        <v>52</v>
      </c>
    </row>
    <row r="21" spans="1:25" customHeight="1" ht="19" s="38" customFormat="1">
      <c r="A21" s="75"/>
      <c r="B21" s="38" t="s">
        <v>53</v>
      </c>
      <c r="C21" s="77">
        <v>60</v>
      </c>
      <c r="E21" s="86" t="s">
        <v>34</v>
      </c>
      <c r="F21" s="89"/>
      <c r="G21" s="89"/>
      <c r="H21" s="92">
        <v>16</v>
      </c>
      <c r="I21" s="38">
        <v>8</v>
      </c>
      <c r="J21" s="38">
        <v>1</v>
      </c>
      <c r="N21" s="78"/>
      <c r="Q21" s="38" t="s">
        <v>54</v>
      </c>
      <c r="R21" s="38" t="s">
        <v>55</v>
      </c>
    </row>
    <row r="22" spans="1:25" customHeight="1" ht="20" s="38" customFormat="1">
      <c r="A22" s="75"/>
      <c r="B22" s="38" t="s">
        <v>56</v>
      </c>
      <c r="C22" s="77">
        <v>10</v>
      </c>
      <c r="E22" s="103" t="s">
        <v>57</v>
      </c>
      <c r="F22" s="102"/>
      <c r="G22" s="102"/>
      <c r="H22" s="102">
        <v>2.5</v>
      </c>
      <c r="I22" s="38">
        <v>1</v>
      </c>
      <c r="N22" s="78"/>
      <c r="Q22" s="38" t="s">
        <v>58</v>
      </c>
    </row>
    <row r="23" spans="1:25" customHeight="1" ht="20" s="38" customFormat="1">
      <c r="A23" s="104"/>
      <c r="B23" s="105"/>
      <c r="C23" s="105"/>
      <c r="D23" s="105"/>
      <c r="E23" s="75"/>
      <c r="F23" s="328" t="s">
        <v>39</v>
      </c>
      <c r="G23" s="328"/>
      <c r="H23" s="98" t="e">
        <f>Dados!C102</f>
        <v>#N/A</v>
      </c>
      <c r="N23" s="78"/>
    </row>
    <row r="24" spans="1:25" customHeight="1" ht="19" s="38" customFormat="1">
      <c r="E24" s="75"/>
      <c r="N24" s="78"/>
    </row>
    <row r="25" spans="1:25" customHeight="1" ht="19" s="38" customFormat="1">
      <c r="C25" s="38" t="s">
        <v>59</v>
      </c>
      <c r="E25" s="75"/>
      <c r="N25" s="78"/>
    </row>
    <row r="26" spans="1:25" customHeight="1" ht="19" s="38" customFormat="1">
      <c r="C26" s="38" t="s">
        <v>60</v>
      </c>
      <c r="E26" s="75"/>
      <c r="N26" s="78"/>
    </row>
    <row r="27" spans="1:25" customHeight="1" ht="19" s="38" customFormat="1">
      <c r="A27" s="327"/>
      <c r="B27" s="327"/>
      <c r="C27" s="38" t="s">
        <v>61</v>
      </c>
      <c r="E27" s="75"/>
      <c r="N27" s="78"/>
    </row>
    <row r="28" spans="1:25" customHeight="1" ht="19" s="38" customFormat="1">
      <c r="E28" s="75"/>
      <c r="N28" s="78"/>
    </row>
    <row r="29" spans="1:25" customHeight="1" ht="19" s="38" customFormat="1">
      <c r="E29" s="75"/>
      <c r="N29" s="78"/>
    </row>
    <row r="30" spans="1:25" customHeight="1" ht="19" s="38" customFormat="1">
      <c r="E30" s="75"/>
      <c r="N30" s="78"/>
    </row>
    <row r="31" spans="1:25" customHeight="1" ht="19" s="38" customFormat="1">
      <c r="E31" s="75"/>
      <c r="N31" s="78"/>
    </row>
    <row r="32" spans="1:25" customHeight="1" ht="19" s="38" customFormat="1">
      <c r="E32" s="75"/>
      <c r="N32" s="78"/>
    </row>
    <row r="33" spans="1:25" customHeight="1" ht="19" s="38" customFormat="1">
      <c r="E33" s="75"/>
      <c r="N33" s="78"/>
    </row>
    <row r="34" spans="1:25" customHeight="1" ht="20" s="38" customFormat="1">
      <c r="E34" s="104"/>
      <c r="F34" s="105"/>
      <c r="G34" s="105"/>
      <c r="H34" s="105"/>
      <c r="I34" s="105"/>
      <c r="J34" s="105"/>
      <c r="K34" s="105"/>
      <c r="L34" s="105"/>
      <c r="M34" s="105"/>
      <c r="N34" s="106"/>
    </row>
    <row r="36" spans="1:25" customHeight="1" ht="19">
      <c r="A36" s="100" t="s">
        <v>62</v>
      </c>
    </row>
    <row r="37" spans="1:25">
      <c r="A37" s="69" t="s">
        <v>3</v>
      </c>
      <c r="B37" s="69" t="str">
        <f>Dados!C7</f>
        <v>José da Silva</v>
      </c>
      <c r="D37" s="116" t="s">
        <v>63</v>
      </c>
      <c r="E37" s="116" t="s">
        <v>64</v>
      </c>
      <c r="F37" s="116" t="s">
        <v>65</v>
      </c>
    </row>
    <row r="38" spans="1:25" customHeight="1" ht="15">
      <c r="A38" s="69" t="s">
        <v>5</v>
      </c>
      <c r="B38" s="69" t="str">
        <f>Dados!C8</f>
        <v>Montes Claros</v>
      </c>
      <c r="D38" s="324" t="s">
        <v>66</v>
      </c>
      <c r="E38" s="325">
        <f>Dados!F145</f>
        <v>313.53571428571</v>
      </c>
      <c r="F38" s="325">
        <f>Dados!G145</f>
        <v>356.4</v>
      </c>
    </row>
    <row r="39" spans="1:25" customHeight="1" ht="15">
      <c r="A39" s="69" t="s">
        <v>7</v>
      </c>
      <c r="B39" s="108" t="str">
        <f>Dados!C9</f>
        <v>Castro/PR</v>
      </c>
      <c r="D39" s="109"/>
      <c r="E39" s="110"/>
      <c r="F39" s="110"/>
    </row>
    <row r="40" spans="1:25" customHeight="1" ht="15">
      <c r="A40" s="69" t="s">
        <v>14</v>
      </c>
      <c r="B40" s="108" t="str">
        <f>Dados!C10</f>
        <v>042 99915-2168</v>
      </c>
      <c r="D40" s="111" t="s">
        <v>67</v>
      </c>
      <c r="E40" s="107" t="e">
        <f>Dados!F147</f>
        <v>#DIV/0!</v>
      </c>
      <c r="F40" s="107" t="e">
        <f>Dados!G147</f>
        <v>#DIV/0!</v>
      </c>
    </row>
    <row r="41" spans="1:25">
      <c r="A41" s="69" t="s">
        <v>23</v>
      </c>
      <c r="B41" s="108" t="str">
        <f>Dados!C11</f>
        <v>j.silva@gmail.com</v>
      </c>
      <c r="D41" s="112"/>
      <c r="E41" s="110"/>
      <c r="F41" s="110"/>
    </row>
    <row r="42" spans="1:25">
      <c r="A42" s="69" t="s">
        <v>27</v>
      </c>
      <c r="B42" s="108" t="str">
        <f>Dados!C12</f>
        <v>Pedro da Silva</v>
      </c>
      <c r="D42" s="113"/>
      <c r="E42" s="114"/>
      <c r="F42" s="115"/>
    </row>
    <row r="43" spans="1:25" customHeight="1" ht="14">
      <c r="A43" s="69" t="s">
        <v>32</v>
      </c>
      <c r="B43" s="108" t="str">
        <f>Dados!C13</f>
        <v>Elinton W. Carneiro</v>
      </c>
      <c r="D43" s="309" t="s">
        <v>68</v>
      </c>
      <c r="E43" s="311">
        <f>Dados!F151</f>
        <v>31.353571428571</v>
      </c>
      <c r="F43" s="311">
        <f>Dados!G151</f>
        <v>35.64</v>
      </c>
    </row>
    <row r="44" spans="1:25">
      <c r="A44" s="69" t="s">
        <v>38</v>
      </c>
      <c r="B44" s="108" t="str">
        <f>VLOOKUP(Dados!D15,Dados!A452:B456,2,0)</f>
        <v>Holandês</v>
      </c>
      <c r="D44" s="309"/>
      <c r="E44" s="311"/>
      <c r="F44" s="311"/>
    </row>
    <row r="45" spans="1:25" customHeight="1" ht="15">
      <c r="B45" s="108"/>
      <c r="D45" s="310"/>
      <c r="E45" s="312"/>
      <c r="F45" s="312"/>
    </row>
    <row r="46" spans="1:25" customHeight="1" ht="14">
      <c r="B46" s="116" t="s">
        <v>9</v>
      </c>
      <c r="C46" s="116" t="s">
        <v>69</v>
      </c>
      <c r="D46" s="309" t="s">
        <v>70</v>
      </c>
      <c r="E46" s="311">
        <f>Dados!F154</f>
        <v>1567.6785714286</v>
      </c>
      <c r="F46" s="311">
        <f>Dados!G154</f>
        <v>1782</v>
      </c>
    </row>
    <row r="47" spans="1:25">
      <c r="A47" s="117" t="s">
        <v>71</v>
      </c>
      <c r="B47" s="118">
        <f>Dados!B154</f>
        <v>6</v>
      </c>
      <c r="C47" s="118">
        <f>Dados!C154</f>
        <v>4</v>
      </c>
      <c r="D47" s="309"/>
      <c r="E47" s="311"/>
      <c r="F47" s="311"/>
    </row>
    <row r="48" spans="1:25" customHeight="1" ht="15">
      <c r="A48" s="117" t="s">
        <v>71</v>
      </c>
      <c r="B48" s="118">
        <f>Dados!B155</f>
        <v>300</v>
      </c>
      <c r="C48" s="118">
        <f>Dados!C155</f>
        <v>200</v>
      </c>
      <c r="D48" s="310"/>
      <c r="E48" s="312"/>
      <c r="F48" s="312"/>
    </row>
    <row r="49" spans="1:25" customHeight="1" ht="14">
      <c r="A49" s="117" t="s">
        <v>71</v>
      </c>
      <c r="B49" s="118">
        <f>Dados!B155</f>
        <v>300</v>
      </c>
      <c r="C49" s="118">
        <f>Dados!C155</f>
        <v>200</v>
      </c>
      <c r="D49" s="309" t="s">
        <v>72</v>
      </c>
      <c r="E49" s="311">
        <f>Dados!F157</f>
        <v>1881.2142857143</v>
      </c>
      <c r="F49" s="311">
        <f>Dados!G157</f>
        <v>2138.4</v>
      </c>
    </row>
    <row r="50" spans="1:25">
      <c r="A50" s="117" t="s">
        <v>73</v>
      </c>
      <c r="B50" s="118">
        <f>Dados!B157</f>
        <v>0.6</v>
      </c>
      <c r="C50" s="118">
        <f>Dados!C157</f>
        <v>0.4</v>
      </c>
      <c r="D50" s="309"/>
      <c r="E50" s="311"/>
      <c r="F50" s="311"/>
    </row>
    <row r="51" spans="1:25" customHeight="1" ht="15">
      <c r="A51" s="117" t="s">
        <v>74</v>
      </c>
      <c r="B51" s="118">
        <f>Dados!B158</f>
        <v>0</v>
      </c>
      <c r="C51" s="118">
        <f>Dados!C158</f>
        <v>0.14</v>
      </c>
      <c r="D51" s="310"/>
      <c r="E51" s="312"/>
      <c r="F51" s="312"/>
    </row>
    <row r="52" spans="1:25" customHeight="1" ht="15">
      <c r="A52" s="117" t="s">
        <v>75</v>
      </c>
      <c r="B52" s="118">
        <f>Dados!B159</f>
        <v>0.71428571428571</v>
      </c>
      <c r="C52" s="118">
        <f>Dados!C159</f>
        <v>0.5</v>
      </c>
    </row>
    <row r="53" spans="1:25">
      <c r="A53" s="117" t="s">
        <v>76</v>
      </c>
      <c r="B53" s="118">
        <f>Dados!B160</f>
        <v>35.714285714286</v>
      </c>
      <c r="C53" s="118">
        <f>Dados!C160</f>
        <v>32</v>
      </c>
      <c r="D53" s="313" t="str">
        <f>Dados!B183</f>
        <v>Kalvolac</v>
      </c>
      <c r="E53" s="119"/>
      <c r="F53" s="319">
        <f>C53/25</f>
        <v>1.28</v>
      </c>
      <c r="G53" s="322">
        <f>Dados!H20</f>
        <v>22</v>
      </c>
      <c r="H53" s="311">
        <f>(G53*25)*F53</f>
        <v>704</v>
      </c>
    </row>
    <row r="54" spans="1:25" customHeight="1" ht="15">
      <c r="D54" s="314"/>
      <c r="E54" s="120" t="s">
        <v>77</v>
      </c>
      <c r="F54" s="320"/>
      <c r="G54" s="322"/>
      <c r="H54" s="311"/>
    </row>
    <row r="55" spans="1:25" customHeight="1" ht="15">
      <c r="A55" s="117" t="s">
        <v>78</v>
      </c>
      <c r="B55" s="118">
        <f>Dados!B162</f>
        <v>0.25</v>
      </c>
      <c r="C55" s="118">
        <f>Dados!C162</f>
        <v>0</v>
      </c>
      <c r="D55" s="314"/>
      <c r="E55" s="120"/>
      <c r="F55" s="321"/>
      <c r="G55" s="323"/>
      <c r="H55" s="312"/>
    </row>
    <row r="56" spans="1:25" customHeight="1" ht="14">
      <c r="A56" s="117" t="s">
        <v>79</v>
      </c>
      <c r="B56" s="118">
        <f>Dados!B163</f>
        <v>12.5</v>
      </c>
      <c r="C56" s="118">
        <f>Dados!C163</f>
        <v>0</v>
      </c>
      <c r="D56" s="313" t="s">
        <v>80</v>
      </c>
      <c r="E56" s="316" t="s">
        <v>77</v>
      </c>
      <c r="F56" s="319">
        <f>C56/15</f>
        <v>0</v>
      </c>
      <c r="G56" s="322">
        <f>Dados!H22</f>
        <v>2.5</v>
      </c>
      <c r="H56" s="311">
        <f>(G56*15)*F56</f>
        <v>0</v>
      </c>
    </row>
    <row r="57" spans="1:25">
      <c r="A57" s="117" t="s">
        <v>81</v>
      </c>
      <c r="B57" s="118">
        <f>Dados!B164</f>
        <v>76.964285714286</v>
      </c>
      <c r="C57" s="118">
        <f>Dados!C164</f>
        <v>52</v>
      </c>
      <c r="D57" s="314"/>
      <c r="E57" s="317"/>
      <c r="F57" s="320"/>
      <c r="G57" s="322"/>
      <c r="H57" s="311"/>
    </row>
    <row r="58" spans="1:25" customHeight="1" ht="15">
      <c r="A58" s="117" t="s">
        <v>82</v>
      </c>
      <c r="B58" s="118">
        <f>Dados!B166</f>
        <v>28.228571428571</v>
      </c>
      <c r="C58" s="118">
        <f>Dados!C166</f>
        <v>35.64</v>
      </c>
      <c r="D58" s="315"/>
      <c r="E58" s="318"/>
      <c r="F58" s="321"/>
      <c r="G58" s="323"/>
      <c r="H58" s="312"/>
    </row>
    <row r="60" spans="1:25">
      <c r="A60" s="121" t="s">
        <v>83</v>
      </c>
      <c r="B60" s="122">
        <f>Dados!B167</f>
        <v>282.28571428571</v>
      </c>
      <c r="C60" s="122">
        <f>Dados!C167</f>
        <v>356.4</v>
      </c>
    </row>
    <row r="61" spans="1:25">
      <c r="A61" s="121" t="s">
        <v>84</v>
      </c>
      <c r="B61" s="122">
        <f>Dados!B168</f>
        <v>31.25</v>
      </c>
      <c r="C61" s="122">
        <f>Dados!C168</f>
        <v>0</v>
      </c>
    </row>
    <row r="62" spans="1:25">
      <c r="A62" s="121" t="s">
        <v>85</v>
      </c>
      <c r="B62" s="123">
        <f>Dados!B169</f>
        <v>30</v>
      </c>
      <c r="C62" s="123">
        <f>Dados!C169</f>
        <v>30</v>
      </c>
    </row>
    <row r="64" spans="1:25">
      <c r="B64" s="69" t="s">
        <v>64</v>
      </c>
      <c r="C64" s="69" t="s">
        <v>65</v>
      </c>
    </row>
    <row r="65" spans="1:25">
      <c r="A65" s="69" t="s">
        <v>86</v>
      </c>
      <c r="B65" s="124">
        <f>Dados!B227</f>
        <v>600</v>
      </c>
      <c r="C65" s="124">
        <f>Dados!B175</f>
        <v>600</v>
      </c>
    </row>
    <row r="66" spans="1:25">
      <c r="A66" s="69" t="s">
        <v>87</v>
      </c>
      <c r="B66" s="124">
        <f>Dados!C227</f>
        <v>1000</v>
      </c>
      <c r="C66" s="124">
        <f>Dados!C175</f>
        <v>300</v>
      </c>
    </row>
    <row r="67" spans="1:25">
      <c r="A67" s="69" t="s">
        <v>88</v>
      </c>
      <c r="B67" s="124">
        <f>Dados!D227</f>
        <v>1000</v>
      </c>
      <c r="C67" s="124">
        <f>Dados!D175</f>
        <v>300</v>
      </c>
    </row>
    <row r="68" spans="1:25">
      <c r="B68" s="124"/>
      <c r="C68" s="124"/>
    </row>
    <row r="69" spans="1:25">
      <c r="B69" s="69" t="s">
        <v>64</v>
      </c>
      <c r="C69" s="69" t="s">
        <v>65</v>
      </c>
    </row>
    <row r="70" spans="1:25">
      <c r="A70" s="69" t="s">
        <v>86</v>
      </c>
      <c r="B70" s="69">
        <f>B45</f>
        <v/>
      </c>
      <c r="C70" s="69">
        <f>B45</f>
        <v/>
      </c>
    </row>
    <row r="71" spans="1:25">
      <c r="A71" s="69" t="s">
        <v>89</v>
      </c>
      <c r="B71" s="124">
        <f>MIN(Dados!C227:D227)</f>
        <v>1000</v>
      </c>
      <c r="C71" s="124">
        <f>MIN(Dados!C175:D175)</f>
        <v>300</v>
      </c>
    </row>
    <row r="73" spans="1:25" customHeight="1" ht="19">
      <c r="A73" s="100" t="s">
        <v>90</v>
      </c>
    </row>
    <row r="74" spans="1:25" customHeight="1" ht="15"/>
    <row r="75" spans="1:25">
      <c r="A75" s="125" t="s">
        <v>3</v>
      </c>
      <c r="B75" s="126" t="str">
        <f>Dados!C7</f>
        <v>José da Silva</v>
      </c>
    </row>
    <row r="76" spans="1:25">
      <c r="A76" s="127" t="s">
        <v>5</v>
      </c>
      <c r="B76" s="128" t="str">
        <f>Dados!C8</f>
        <v>Montes Claros</v>
      </c>
    </row>
    <row r="77" spans="1:25">
      <c r="A77" s="127" t="s">
        <v>7</v>
      </c>
      <c r="B77" s="128" t="str">
        <f>Dados!C9</f>
        <v>Castro/PR</v>
      </c>
    </row>
    <row r="78" spans="1:25">
      <c r="A78" s="127" t="s">
        <v>14</v>
      </c>
      <c r="B78" s="128" t="str">
        <f>Dados!C10</f>
        <v>042 99915-2168</v>
      </c>
    </row>
    <row r="79" spans="1:25">
      <c r="A79" s="127" t="s">
        <v>23</v>
      </c>
      <c r="B79" s="128" t="str">
        <f>Dados!C11</f>
        <v>j.silva@gmail.com</v>
      </c>
    </row>
    <row r="80" spans="1:25">
      <c r="A80" s="127" t="s">
        <v>27</v>
      </c>
      <c r="B80" s="128" t="str">
        <f>Dados!C12</f>
        <v>Pedro da Silva</v>
      </c>
    </row>
    <row r="81" spans="1:25">
      <c r="A81" s="127" t="s">
        <v>32</v>
      </c>
      <c r="B81" s="128" t="str">
        <f>Dados!C13</f>
        <v>Elinton W. Carneiro</v>
      </c>
    </row>
    <row r="82" spans="1:25" customHeight="1" ht="15">
      <c r="A82" s="129" t="s">
        <v>38</v>
      </c>
      <c r="B82" s="130" t="str">
        <f>VLOOKUP(Dados!D15,Dados!A452:B456,2,0)</f>
        <v>Holandês</v>
      </c>
    </row>
    <row r="83" spans="1:25" customHeight="1" ht="15"/>
    <row r="84" spans="1:25">
      <c r="A84" s="131" t="s">
        <v>63</v>
      </c>
      <c r="B84" s="132"/>
    </row>
    <row r="85" spans="1:25">
      <c r="A85" s="133" t="s">
        <v>42</v>
      </c>
      <c r="B85" s="134">
        <f>Dados!B145</f>
        <v>30</v>
      </c>
    </row>
    <row r="86" spans="1:25">
      <c r="A86" s="133" t="s">
        <v>91</v>
      </c>
      <c r="B86" s="134">
        <f>Dados!B146</f>
        <v>10</v>
      </c>
    </row>
    <row r="87" spans="1:25">
      <c r="A87" s="133" t="s">
        <v>92</v>
      </c>
      <c r="B87" s="135">
        <f>Dados!B147</f>
        <v>0</v>
      </c>
    </row>
    <row r="88" spans="1:25">
      <c r="A88" s="133" t="s">
        <v>93</v>
      </c>
      <c r="B88" s="134">
        <f>Dados!B148</f>
        <v>0</v>
      </c>
    </row>
    <row r="89" spans="1:25" customHeight="1" ht="15"/>
    <row r="90" spans="1:25">
      <c r="A90" s="131" t="s">
        <v>63</v>
      </c>
      <c r="B90" s="132"/>
    </row>
    <row r="91" spans="1:25">
      <c r="A91" s="133" t="s">
        <v>94</v>
      </c>
      <c r="B91" s="134">
        <f>Dados!B149</f>
        <v>60</v>
      </c>
    </row>
    <row r="92" spans="1:25">
      <c r="A92" s="133" t="s">
        <v>95</v>
      </c>
      <c r="B92" s="134">
        <f>Dados!B150</f>
        <v>50</v>
      </c>
    </row>
    <row r="93" spans="1:25" customHeight="1" ht="15">
      <c r="A93" s="136" t="s">
        <v>96</v>
      </c>
      <c r="B93" s="137">
        <f>Dados!B151</f>
        <v>600</v>
      </c>
    </row>
    <row r="95" spans="1:25">
      <c r="B95" s="116" t="s">
        <v>9</v>
      </c>
      <c r="C95" s="116" t="s">
        <v>69</v>
      </c>
    </row>
    <row r="96" spans="1:25">
      <c r="A96" s="117" t="s">
        <v>97</v>
      </c>
      <c r="B96" s="118">
        <f>Dados!B154</f>
        <v>6</v>
      </c>
      <c r="C96" s="138">
        <f>Dados!C154</f>
        <v>4</v>
      </c>
    </row>
    <row r="97" spans="1:25">
      <c r="A97" s="117" t="s">
        <v>98</v>
      </c>
      <c r="B97" s="118">
        <f>Dados!B155</f>
        <v>300</v>
      </c>
      <c r="C97" s="138">
        <f>Dados!C155</f>
        <v>200</v>
      </c>
    </row>
    <row r="98" spans="1:25">
      <c r="A98" s="117" t="s">
        <v>99</v>
      </c>
      <c r="B98" s="138">
        <f>Dados!B156</f>
        <v>10</v>
      </c>
      <c r="C98" s="138">
        <f>Dados!C156</f>
        <v>10</v>
      </c>
    </row>
    <row r="99" spans="1:25">
      <c r="A99" s="117" t="s">
        <v>73</v>
      </c>
      <c r="B99" s="138">
        <f>Dados!B157</f>
        <v>0.6</v>
      </c>
      <c r="C99" s="138">
        <f>Dados!C157</f>
        <v>0.4</v>
      </c>
    </row>
    <row r="100" spans="1:25">
      <c r="A100" s="117" t="s">
        <v>74</v>
      </c>
      <c r="B100" s="138">
        <f>Dados!B158</f>
        <v>0</v>
      </c>
      <c r="C100" s="138">
        <f>Dados!C158</f>
        <v>0.14</v>
      </c>
    </row>
    <row r="101" spans="1:25">
      <c r="A101" s="117" t="s">
        <v>100</v>
      </c>
      <c r="B101" s="138">
        <f>Dados!B159</f>
        <v>0.71428571428571</v>
      </c>
      <c r="C101" s="138">
        <f>Dados!C159</f>
        <v>0.5</v>
      </c>
    </row>
    <row r="102" spans="1:25">
      <c r="A102" s="117" t="s">
        <v>99</v>
      </c>
      <c r="B102" s="122">
        <f>Dados!C241</f>
        <v>11.948051948052</v>
      </c>
      <c r="C102" s="122" t="e">
        <f>Dados!C189</f>
        <v>#N/A</v>
      </c>
    </row>
    <row r="104" spans="1:25">
      <c r="A104" s="117" t="s">
        <v>78</v>
      </c>
      <c r="B104" s="122">
        <f>Dados!B162</f>
        <v>0.25</v>
      </c>
      <c r="C104" s="122">
        <f>Dados!C162</f>
        <v>0</v>
      </c>
    </row>
    <row r="105" spans="1:25">
      <c r="A105" s="117" t="s">
        <v>101</v>
      </c>
      <c r="B105" s="122">
        <f>Dados!B163</f>
        <v>12.5</v>
      </c>
      <c r="C105" s="122">
        <f>Dados!C163</f>
        <v>0</v>
      </c>
    </row>
    <row r="106" spans="1:25">
      <c r="A106" s="117" t="s">
        <v>102</v>
      </c>
      <c r="B106" s="122">
        <f>Dados!D230</f>
        <v>0.70836524450174</v>
      </c>
      <c r="C106" s="122">
        <f>Dados!D178</f>
        <v>0.70836524450174</v>
      </c>
    </row>
    <row r="107" spans="1:25">
      <c r="A107" s="117" t="s">
        <v>103</v>
      </c>
      <c r="B107" s="122">
        <f>Dados!C242</f>
        <v>1.5317857142857</v>
      </c>
      <c r="C107" s="122" t="e">
        <f>Dados!C190</f>
        <v>#N/A</v>
      </c>
    </row>
    <row r="108" spans="1:25">
      <c r="A108" s="117" t="s">
        <v>104</v>
      </c>
      <c r="B108" s="122">
        <f>Dados!B164</f>
        <v>76.964285714286</v>
      </c>
      <c r="C108" s="122">
        <f>Dados!C164</f>
        <v>52</v>
      </c>
    </row>
    <row r="109" spans="1:25">
      <c r="A109" s="117" t="s">
        <v>82</v>
      </c>
      <c r="B109" s="122">
        <f>Dados!B166</f>
        <v>28.228571428571</v>
      </c>
      <c r="C109" s="122">
        <f>Dados!C166</f>
        <v>35.64</v>
      </c>
    </row>
    <row r="111" spans="1:25">
      <c r="B111" s="69" t="s">
        <v>64</v>
      </c>
      <c r="C111" s="69" t="s">
        <v>65</v>
      </c>
    </row>
    <row r="112" spans="1:25">
      <c r="A112" s="69" t="s">
        <v>86</v>
      </c>
      <c r="B112" s="124">
        <f>Dados!B227</f>
        <v>600</v>
      </c>
      <c r="C112" s="124">
        <f>Dados!B175</f>
        <v>600</v>
      </c>
    </row>
    <row r="113" spans="1:25">
      <c r="A113" s="69" t="s">
        <v>87</v>
      </c>
      <c r="B113" s="124">
        <f>Dados!C227</f>
        <v>1000</v>
      </c>
      <c r="C113" s="124">
        <f>Dados!C175</f>
        <v>300</v>
      </c>
    </row>
    <row r="114" spans="1:25">
      <c r="A114" s="69" t="s">
        <v>88</v>
      </c>
      <c r="B114" s="124">
        <f>Dados!D227</f>
        <v>1000</v>
      </c>
      <c r="C114" s="124">
        <f>Dados!D175</f>
        <v>300</v>
      </c>
    </row>
    <row r="115" spans="1:25">
      <c r="B115" s="124"/>
      <c r="C115" s="124"/>
    </row>
    <row r="116" spans="1:25">
      <c r="B116" s="69" t="s">
        <v>64</v>
      </c>
      <c r="C116" s="69" t="s">
        <v>65</v>
      </c>
    </row>
    <row r="117" spans="1:25">
      <c r="A117" s="69" t="s">
        <v>86</v>
      </c>
      <c r="B117" s="69">
        <f>B93</f>
        <v>600</v>
      </c>
      <c r="C117" s="69">
        <f>B93</f>
        <v>600</v>
      </c>
    </row>
    <row r="118" spans="1:25">
      <c r="A118" s="69" t="s">
        <v>89</v>
      </c>
      <c r="B118" s="124">
        <f>MIN(Dados!C227:D227)</f>
        <v>1000</v>
      </c>
      <c r="C118" s="124">
        <f>MIN(Dados!C175:D175)</f>
        <v>300</v>
      </c>
    </row>
    <row r="121" spans="1:25">
      <c r="B121" s="69" t="s">
        <v>105</v>
      </c>
      <c r="C121" s="69">
        <f>B86</f>
        <v>10</v>
      </c>
      <c r="D121" s="69">
        <f>Dados!C21</f>
        <v>60</v>
      </c>
    </row>
    <row r="122" spans="1:25">
      <c r="A122" s="69" t="s">
        <v>9</v>
      </c>
      <c r="B122" s="69">
        <f>B85</f>
        <v>30</v>
      </c>
      <c r="C122" s="69">
        <f>B85+B88</f>
        <v>30</v>
      </c>
      <c r="D122" s="124">
        <f>D128</f>
        <v>80</v>
      </c>
    </row>
    <row r="123" spans="1:25">
      <c r="A123" s="69" t="s">
        <v>69</v>
      </c>
      <c r="B123" s="69">
        <f>B85</f>
        <v>30</v>
      </c>
      <c r="C123" s="69">
        <f>B85+B88</f>
        <v>30</v>
      </c>
      <c r="D123" s="124">
        <f>E128</f>
        <v>45</v>
      </c>
    </row>
    <row r="124" spans="1:25">
      <c r="A124" s="69" t="s">
        <v>106</v>
      </c>
      <c r="B124" s="69">
        <f>B85</f>
        <v>30</v>
      </c>
      <c r="C124" s="124">
        <f>(((((B124*2)-B124))/60)*B86)+B124</f>
        <v>35</v>
      </c>
      <c r="D124" s="69">
        <f>B124*2</f>
        <v>60</v>
      </c>
    </row>
    <row r="126" spans="1:25">
      <c r="D126" s="69" t="s">
        <v>64</v>
      </c>
      <c r="E126" s="69" t="s">
        <v>65</v>
      </c>
    </row>
    <row r="127" spans="1:25">
      <c r="D127" s="69">
        <f>(B117*B92)/1000+(B85+B88)</f>
        <v>60</v>
      </c>
      <c r="E127" s="69">
        <f>(C117*B92)/1000+(B85+B88)</f>
        <v>60</v>
      </c>
    </row>
    <row r="128" spans="1:25">
      <c r="D128" s="124">
        <f>(B118*B92)/1000+(B85+B88)</f>
        <v>80</v>
      </c>
      <c r="E128" s="124">
        <f>(C118*B92)/1000+(B85+B88)</f>
        <v>45</v>
      </c>
    </row>
    <row r="129" spans="1:25" customHeight="1" ht="19">
      <c r="A129" s="100" t="s">
        <v>107</v>
      </c>
    </row>
    <row r="143" spans="1:25" customHeight="1" ht="20">
      <c r="A143" s="100" t="s">
        <v>108</v>
      </c>
    </row>
    <row r="144" spans="1:25">
      <c r="A144" s="131" t="s">
        <v>63</v>
      </c>
      <c r="B144" s="132" t="s">
        <v>64</v>
      </c>
      <c r="C144" s="139"/>
      <c r="D144" s="140"/>
      <c r="E144" s="116" t="s">
        <v>63</v>
      </c>
      <c r="F144" s="116" t="s">
        <v>64</v>
      </c>
      <c r="G144" s="116" t="s">
        <v>65</v>
      </c>
    </row>
    <row r="145" spans="1:25" customHeight="1" ht="30">
      <c r="A145" s="133" t="s">
        <v>42</v>
      </c>
      <c r="B145" s="141">
        <f>Dados!C20/2</f>
        <v>30</v>
      </c>
      <c r="C145" s="139"/>
      <c r="D145" s="140"/>
      <c r="E145" s="113" t="s">
        <v>66</v>
      </c>
      <c r="F145" s="325">
        <f>B167+B168</f>
        <v>313.53571428571</v>
      </c>
      <c r="G145" s="326">
        <f>C167+C168</f>
        <v>356.4</v>
      </c>
      <c r="H145" s="62">
        <f>-(1-(G145/F145))</f>
        <v>0.13671260963663</v>
      </c>
    </row>
    <row r="146" spans="1:25">
      <c r="A146" s="133" t="s">
        <v>91</v>
      </c>
      <c r="B146" s="142">
        <f>Dados!C19</f>
        <v>10</v>
      </c>
      <c r="C146" s="143"/>
      <c r="D146" s="116"/>
      <c r="E146" s="112"/>
      <c r="F146" s="110"/>
      <c r="G146" s="144"/>
      <c r="H146" s="62"/>
    </row>
    <row r="147" spans="1:25" customHeight="1" ht="15">
      <c r="A147" s="133" t="s">
        <v>92</v>
      </c>
      <c r="B147" s="145">
        <f>((VLOOKUP(Dados!D18,Dados!A436:B450,2,0))-Dados!B145)/Dados!B146</f>
        <v>0</v>
      </c>
      <c r="C147" s="146"/>
      <c r="D147" s="140"/>
      <c r="E147" s="147" t="s">
        <v>67</v>
      </c>
      <c r="F147" s="148" t="e">
        <f>F145/B148</f>
        <v>#DIV/0!</v>
      </c>
      <c r="G147" s="149" t="e">
        <f>G145/B148</f>
        <v>#DIV/0!</v>
      </c>
      <c r="H147" s="150"/>
    </row>
    <row r="148" spans="1:25">
      <c r="A148" s="133" t="s">
        <v>93</v>
      </c>
      <c r="B148" s="151">
        <f>B146*B147</f>
        <v>0</v>
      </c>
      <c r="C148" s="152"/>
      <c r="D148" s="150"/>
      <c r="E148" s="112"/>
      <c r="F148" s="110"/>
      <c r="G148" s="144"/>
      <c r="H148" s="143"/>
    </row>
    <row r="149" spans="1:25" customHeight="1" ht="15">
      <c r="A149" s="133" t="s">
        <v>94</v>
      </c>
      <c r="B149" s="153">
        <f>B145*2</f>
        <v>60</v>
      </c>
      <c r="D149" s="150"/>
      <c r="E149" s="154" t="s">
        <v>109</v>
      </c>
      <c r="F149" s="154" t="e">
        <f>B164/B148</f>
        <v>#DIV/0!</v>
      </c>
      <c r="G149" s="155" t="e">
        <f>C164/B148</f>
        <v>#DIV/0!</v>
      </c>
    </row>
    <row r="150" spans="1:25">
      <c r="A150" s="133" t="s">
        <v>95</v>
      </c>
      <c r="B150" s="151">
        <f>Dados!C21-Dados!C19</f>
        <v>50</v>
      </c>
      <c r="C150" s="156"/>
      <c r="E150" s="113"/>
      <c r="F150" s="114"/>
      <c r="G150" s="115"/>
      <c r="H150" s="143"/>
    </row>
    <row r="151" spans="1:25" customHeight="1" ht="31">
      <c r="A151" s="136" t="s">
        <v>96</v>
      </c>
      <c r="B151" s="157">
        <f>((B149-(B145+B148))/B150)*1000</f>
        <v>600</v>
      </c>
      <c r="C151" s="146"/>
      <c r="D151" s="150"/>
      <c r="E151" s="158" t="s">
        <v>68</v>
      </c>
      <c r="F151" s="159">
        <f>F145/B146</f>
        <v>31.353571428571</v>
      </c>
      <c r="G151" s="160">
        <f>G145/B146</f>
        <v>35.64</v>
      </c>
      <c r="H151" s="63">
        <f>-(1-(G151/F151))</f>
        <v>0.13671260963663</v>
      </c>
    </row>
    <row r="152" spans="1:25">
      <c r="D152" s="161"/>
      <c r="E152" s="162"/>
      <c r="F152" s="163"/>
      <c r="G152" s="164"/>
    </row>
    <row r="153" spans="1:25" customHeight="1" ht="15">
      <c r="E153" s="165"/>
      <c r="F153" s="166"/>
      <c r="G153" s="167"/>
      <c r="H153" s="143"/>
    </row>
    <row r="154" spans="1:25" customHeight="1" ht="30">
      <c r="A154" s="168" t="s">
        <v>110</v>
      </c>
      <c r="B154" s="169">
        <f>VLOOKUP(Dados!I11,Dados!A414:B419,2,0)</f>
        <v>6</v>
      </c>
      <c r="C154" s="169">
        <f>VLOOKUP(Dados!I19,Dados!A414:B419,2,0)</f>
        <v>4</v>
      </c>
      <c r="D154" s="140"/>
      <c r="E154" s="170" t="s">
        <v>70</v>
      </c>
      <c r="F154" s="171">
        <f>F151*B150</f>
        <v>1567.6785714286</v>
      </c>
      <c r="G154" s="171">
        <f>G151*B150</f>
        <v>1782</v>
      </c>
    </row>
    <row r="155" spans="1:25">
      <c r="A155" s="168" t="s">
        <v>98</v>
      </c>
      <c r="B155" s="169">
        <f>B154*B150</f>
        <v>300</v>
      </c>
      <c r="C155" s="169">
        <f>C154*B150</f>
        <v>200</v>
      </c>
      <c r="D155" s="172"/>
      <c r="E155" s="162"/>
      <c r="F155" s="163"/>
      <c r="G155" s="163"/>
    </row>
    <row r="156" spans="1:25" customHeight="1" ht="15">
      <c r="A156" s="168" t="s">
        <v>99</v>
      </c>
      <c r="B156" s="173">
        <f>_xlfn.IFS(Dados!J11=1,0,Dados!J11=2,Dados!C519,Dados!J11=3,Dados!C520)*100</f>
        <v>10</v>
      </c>
      <c r="C156" s="173">
        <f>_xlfn.IFS(Dados!J19=1,0,Dados!J19=2,Dados!C519,Dados!J19=3,Dados!C520)*100</f>
        <v>10</v>
      </c>
      <c r="D156" s="172"/>
      <c r="E156" s="165"/>
      <c r="F156" s="166"/>
      <c r="G156" s="166"/>
    </row>
    <row r="157" spans="1:25" customHeight="1" ht="30">
      <c r="A157" s="168" t="s">
        <v>73</v>
      </c>
      <c r="B157" s="174">
        <f>IF(B154&gt;0,(B154*(B156/100)),0)</f>
        <v>0.6</v>
      </c>
      <c r="C157" s="174">
        <f>IF(C154&gt;0,(C154*(C156/100)),0)</f>
        <v>0.4</v>
      </c>
      <c r="E157" s="170" t="s">
        <v>72</v>
      </c>
      <c r="F157" s="171">
        <f>F151*60</f>
        <v>1881.2142857143</v>
      </c>
      <c r="G157" s="171">
        <f>G151*60</f>
        <v>2138.4</v>
      </c>
    </row>
    <row r="158" spans="1:25">
      <c r="A158" s="168" t="s">
        <v>74</v>
      </c>
      <c r="B158" s="175">
        <f>(IF(Dados!I13&gt;=2,((VLOOKUP(Dados!I13,Dados!A476:B490,2,0))))/1000)*B154</f>
        <v>0</v>
      </c>
      <c r="C158" s="174">
        <f>(IF(Dados!I21&gt;=2,(((VLOOKUP(Dados!I21,Dados!A476:B490,2,0))*C154)))/1000)</f>
        <v>0.14</v>
      </c>
      <c r="D158" s="176"/>
      <c r="E158" s="162"/>
      <c r="F158" s="163"/>
      <c r="G158" s="163"/>
    </row>
    <row r="159" spans="1:25" customHeight="1" ht="15">
      <c r="A159" s="168" t="s">
        <v>75</v>
      </c>
      <c r="B159" s="175">
        <f>IF(Dados!I12&gt;1,(VLOOKUP(Dados!I12,Dados!A414:B419,2,0)*(VLOOKUP(Dados!K12,Dados!A469:C473,3))),0)</f>
        <v>0.71428571428571</v>
      </c>
      <c r="C159" s="174">
        <f>(VLOOKUP(Dados!J20,Dados!A414:B419,2,0)*(VLOOKUP(Dados!I20,Dados!A469:C473,3)))</f>
        <v>0.5</v>
      </c>
      <c r="E159" s="165"/>
      <c r="F159" s="166"/>
      <c r="G159" s="166"/>
    </row>
    <row r="160" spans="1:25">
      <c r="A160" s="168" t="s">
        <v>111</v>
      </c>
      <c r="B160" s="168">
        <f>(B159+B158)*B150</f>
        <v>35.714285714286</v>
      </c>
      <c r="C160" s="177">
        <f>(C159+C158)*B150</f>
        <v>32</v>
      </c>
    </row>
    <row r="161" spans="1:25">
      <c r="E161" s="178"/>
    </row>
    <row r="162" spans="1:25">
      <c r="A162" s="117" t="s">
        <v>78</v>
      </c>
      <c r="B162" s="179">
        <f>VLOOKUP(Dados!I14,Dados!A421:B429,2,0)</f>
        <v>0.25</v>
      </c>
      <c r="C162" s="180">
        <f>VLOOKUP(Dados!I22,Dados!A421:B430,2,0)</f>
        <v>0</v>
      </c>
    </row>
    <row r="163" spans="1:25">
      <c r="A163" s="117" t="s">
        <v>101</v>
      </c>
      <c r="B163" s="181">
        <f>B162*B150</f>
        <v>12.5</v>
      </c>
      <c r="C163" s="181">
        <f>C162*B150</f>
        <v>0</v>
      </c>
    </row>
    <row r="164" spans="1:25">
      <c r="A164" s="117" t="s">
        <v>104</v>
      </c>
      <c r="B164" s="181">
        <f>(SUM(IF(B157&gt;0,B157,0)+IF(B158&gt;0,B158,0)+IF(B159&gt;0,B159,))*B150+(B163*0.9))</f>
        <v>76.964285714286</v>
      </c>
      <c r="C164" s="181">
        <f>(SUM(IF(C157&gt;0,C157,0)+IF(C158&gt;0,C158,0)+IF(C159&gt;0,C159,))*B150+(C163*0.9))</f>
        <v>52</v>
      </c>
    </row>
    <row r="166" spans="1:25">
      <c r="A166" s="117" t="s">
        <v>82</v>
      </c>
      <c r="B166" s="182">
        <f>IF(Dados!I11&gt;=2,(((Dados!H11*1000)/125))*(Dados!B154*0.125),0)+IF(Dados!I11=3,(((Dados!H11*1000)/100)*(Dados!B154*0.1)),0)+(IF(Dados!I13&gt;=2,(Dados!H13*Dados!B158),0)+IF(Dados!I12&gt;=2,(Dados!B159*Dados!H13),0))</f>
        <v>28.228571428571</v>
      </c>
      <c r="C166" s="182">
        <f>IF(Dados!I19&gt;=2,(((Dados!H19*1000)/125)*Dados!C154*0.125),0)+IF(Dados!J19=3,(((Dados!H19*1000)/100)*(Dados!C154*0.1)),0)+(IF(Dados!I21&gt;=2,(Dados!H21*Dados!C158),0)+IF(Dados!J20&gt;=2,(Dados!C159*Dados!H20),0))</f>
        <v>35.64</v>
      </c>
    </row>
    <row r="167" spans="1:25">
      <c r="A167" s="121" t="s">
        <v>83</v>
      </c>
      <c r="B167" s="182">
        <f>B166*B146</f>
        <v>282.28571428571</v>
      </c>
      <c r="C167" s="182">
        <f>C166*B146</f>
        <v>356.4</v>
      </c>
    </row>
    <row r="168" spans="1:25">
      <c r="A168" s="121" t="s">
        <v>84</v>
      </c>
      <c r="B168" s="182">
        <f>Dados!H14*B163</f>
        <v>31.25</v>
      </c>
      <c r="C168" s="182">
        <f>Dados!H22*C163</f>
        <v>0</v>
      </c>
    </row>
    <row r="169" spans="1:25">
      <c r="A169" s="121" t="s">
        <v>85</v>
      </c>
      <c r="B169" s="183">
        <f>B145+B148</f>
        <v>30</v>
      </c>
      <c r="C169" s="183">
        <f>B145+B148</f>
        <v>30</v>
      </c>
    </row>
    <row r="171" spans="1:25" customHeight="1" ht="20">
      <c r="A171" s="100" t="s">
        <v>65</v>
      </c>
    </row>
    <row r="172" spans="1:25" customHeight="1" ht="16">
      <c r="A172" s="184" t="s">
        <v>112</v>
      </c>
      <c r="B172" s="185">
        <f>Dados!B145+Dados!B148</f>
        <v>30</v>
      </c>
      <c r="E172" s="116"/>
      <c r="F172" s="116"/>
    </row>
    <row r="173" spans="1:25" customHeight="1" ht="15">
      <c r="C173" s="186"/>
    </row>
    <row r="174" spans="1:25" customHeight="1" ht="15">
      <c r="C174" s="187" t="s">
        <v>113</v>
      </c>
      <c r="D174" s="188" t="s">
        <v>114</v>
      </c>
      <c r="F174" s="189"/>
    </row>
    <row r="175" spans="1:25" customHeight="1" ht="15">
      <c r="A175" s="190" t="s">
        <v>115</v>
      </c>
      <c r="B175" s="191">
        <f>Dados!B151</f>
        <v>600</v>
      </c>
      <c r="C175" s="191">
        <f>Dados!G278</f>
        <v>300</v>
      </c>
      <c r="D175" s="191">
        <f>Dados!G307</f>
        <v>300</v>
      </c>
    </row>
    <row r="176" spans="1:25" customHeight="1" ht="15"/>
    <row r="177" spans="1:25" customHeight="1" ht="30">
      <c r="A177" s="192" t="s">
        <v>116</v>
      </c>
      <c r="B177" s="193" t="s">
        <v>117</v>
      </c>
      <c r="C177" s="193" t="s">
        <v>118</v>
      </c>
      <c r="D177" s="194" t="s">
        <v>119</v>
      </c>
    </row>
    <row r="178" spans="1:25" customHeight="1" ht="15">
      <c r="A178" s="129"/>
      <c r="B178" s="195">
        <f>(6.25*(1/0.8*(0.2*$B$172^0.75+(30*($B$175/1000))+(1.9*$D$178)*D178)))/0.9</f>
        <v>186.78043876434</v>
      </c>
      <c r="C178" s="65">
        <f>(((0.1*(B172^0.75)+(0.84*(B172^0.355))*((B175/1000)^1.2))*1000)*1.2)</f>
        <v>3364.7349113833</v>
      </c>
      <c r="D178" s="196">
        <f>((C178*1000)/4750)/1000</f>
        <v>0.70836524450174</v>
      </c>
      <c r="G178" s="116"/>
      <c r="H178" s="116"/>
    </row>
    <row r="180" spans="1:25" customHeight="1" ht="15">
      <c r="A180" s="116" t="s">
        <v>120</v>
      </c>
      <c r="B180" s="116"/>
      <c r="C180" s="116"/>
    </row>
    <row r="181" spans="1:25" customHeight="1" ht="31">
      <c r="A181" s="197"/>
      <c r="B181" s="197"/>
      <c r="C181" s="198" t="s">
        <v>121</v>
      </c>
      <c r="D181" s="198" t="s">
        <v>122</v>
      </c>
      <c r="E181" s="198" t="s">
        <v>20</v>
      </c>
      <c r="F181" s="199" t="s">
        <v>123</v>
      </c>
    </row>
    <row r="182" spans="1:25">
      <c r="A182" s="140" t="s">
        <v>124</v>
      </c>
      <c r="B182" s="186" t="str">
        <f>VLOOKUP(Dados!J19,Dados!A433:B434,2,0)</f>
        <v>Leite descarte</v>
      </c>
      <c r="C182" s="200" t="e">
        <f>(IF(D182&gt;1,VLOOKUP(B196,Dados!A518:C519,3,0),0))</f>
        <v>#N/A</v>
      </c>
      <c r="D182" s="201">
        <f>IF(Dados!I19&gt;=2,VLOOKUP(Dados!I19,Dados!A414:B419,2,0),0)</f>
        <v>4</v>
      </c>
      <c r="E182" s="202">
        <f>IF(B204&gt;0,B204,0)</f>
        <v>0</v>
      </c>
      <c r="F182" s="66" t="str">
        <f>IF(D207&gt;1,D207,"0")</f>
        <v>0</v>
      </c>
    </row>
    <row r="183" spans="1:25">
      <c r="A183" s="140" t="s">
        <v>125</v>
      </c>
      <c r="B183" s="186" t="str">
        <f>VLOOKUP(Dados!K20,Dados!A542:F544,2,0)</f>
        <v>Kalvolac</v>
      </c>
      <c r="C183" s="200">
        <f>IF(D183&gt;0,VLOOKUP(Dados!I20,Dados!A469:C473,3,0),0)</f>
        <v>0.125</v>
      </c>
      <c r="D183" s="201">
        <f>IF(Dados!J20&gt;=2,VLOOKUP(Dados!J20,Dados!A414:B419,2,0),0)</f>
        <v>4</v>
      </c>
      <c r="E183" s="202">
        <f>IF(E204&gt;0,E204,0)</f>
        <v>100</v>
      </c>
      <c r="F183" s="64">
        <f>IF(F207&gt;0,F207,"0")</f>
        <v>1995</v>
      </c>
    </row>
    <row r="184" spans="1:25" customHeight="1" ht="15">
      <c r="A184" s="203" t="s">
        <v>126</v>
      </c>
      <c r="B184" s="204" t="str">
        <f>IF(Dados!J21&gt;=1,VLOOKUP(Dados!J21,Dados!A542:F544,2,0),0)</f>
        <v>Kalvolac</v>
      </c>
      <c r="C184" s="205">
        <f>IF(Dados!I21&gt;=2,VLOOKUP(Dados!I21,Dados!A476:B490,2,0),0)/1000</f>
        <v>0.035</v>
      </c>
      <c r="D184" s="205">
        <f>(IF(Dados!I21&gt;=2,VLOOKUP(Dados!I21,Dados!A476:B490,2,0),0)*D182)/1000</f>
        <v>0.14</v>
      </c>
      <c r="E184" s="206">
        <f>IF(G204&gt;0,G204,0)</f>
        <v>28</v>
      </c>
      <c r="F184" s="207">
        <f>IF(H207&gt;0,H207,"0")</f>
        <v>588</v>
      </c>
    </row>
    <row r="185" spans="1:25" customHeight="1" ht="15">
      <c r="C185" s="139"/>
      <c r="D185" s="208"/>
      <c r="E185" s="209" t="e">
        <f>B204+E204+G204</f>
        <v>#N/A</v>
      </c>
      <c r="F185" s="210" t="e">
        <f>D207+F207+H207</f>
        <v>#N/A</v>
      </c>
    </row>
    <row r="186" spans="1:25" customHeight="1" ht="15">
      <c r="B186" s="116" t="s">
        <v>127</v>
      </c>
    </row>
    <row r="187" spans="1:25" customHeight="1" ht="15">
      <c r="A187" s="198" t="s">
        <v>128</v>
      </c>
      <c r="B187" s="211" t="str">
        <f>Dados!E22</f>
        <v>Ração Pré Inicial Agrifirm</v>
      </c>
      <c r="C187" s="212">
        <f>D187*0.87</f>
        <v>0</v>
      </c>
      <c r="D187" s="213">
        <f>IF(Dados!I22&gt;=1,VLOOKUP(Dados!I22,Dados!A422:B430,2,0),0)</f>
        <v>0</v>
      </c>
      <c r="E187" s="214">
        <f>IF(B211&gt;0,B211,0)</f>
        <v>0</v>
      </c>
      <c r="F187" s="215">
        <f>(IF(D187&gt;0,D187*Dados!C509,0))*1000</f>
        <v>0</v>
      </c>
    </row>
    <row r="188" spans="1:25">
      <c r="B188" s="69" t="s">
        <v>129</v>
      </c>
      <c r="C188" s="216" t="e">
        <f>(C183*D183)+(C182*D182)+(C184*D182)</f>
        <v>#N/A</v>
      </c>
    </row>
    <row r="189" spans="1:25">
      <c r="A189" s="139"/>
      <c r="B189" s="69" t="s">
        <v>130</v>
      </c>
      <c r="C189" s="217" t="e">
        <f>(C188/(D183+D182)*100)</f>
        <v>#N/A</v>
      </c>
      <c r="D189" s="69" t="s">
        <v>131</v>
      </c>
      <c r="E189" s="218">
        <f>B178</f>
        <v>186.78043876434</v>
      </c>
      <c r="F189" s="219">
        <f>C178</f>
        <v>3364.7349113833</v>
      </c>
    </row>
    <row r="190" spans="1:25">
      <c r="B190" s="69" t="s">
        <v>132</v>
      </c>
      <c r="C190" s="216" t="e">
        <f>C187+C188</f>
        <v>#N/A</v>
      </c>
      <c r="D190" s="116" t="s">
        <v>133</v>
      </c>
      <c r="E190" s="220">
        <f>SUM((E183+E184)*0.93,E182*0.95,E187*0.81)</f>
        <v>119.04</v>
      </c>
      <c r="F190" s="221">
        <f>SUM((F182*0.93)+(F183+F184)*0.91)+(F187*0.83)</f>
        <v>2350.53</v>
      </c>
    </row>
    <row r="191" spans="1:25">
      <c r="A191" s="127"/>
      <c r="D191" s="69" t="s">
        <v>134</v>
      </c>
      <c r="E191" s="218">
        <f>E190-B178</f>
        <v>-67.740438764337</v>
      </c>
      <c r="F191" s="219">
        <f>F190-F189</f>
        <v>-1014.2049113833</v>
      </c>
    </row>
    <row r="192" spans="1:25">
      <c r="E192" s="143">
        <f>IF(AND(E191&gt;0,F191&gt;0),1,-1)</f>
        <v>-1</v>
      </c>
      <c r="F192" s="143">
        <f>IF(AND(F191&gt;0,0),1,-1)</f>
        <v>-1</v>
      </c>
    </row>
    <row r="194" spans="1:25">
      <c r="D194" s="69" t="s">
        <v>135</v>
      </c>
      <c r="E194" s="69" t="s">
        <v>136</v>
      </c>
    </row>
    <row r="195" spans="1:25">
      <c r="B195" s="69">
        <f>Dados!K20</f>
        <v>1</v>
      </c>
      <c r="D195" s="222">
        <f>B178/32</f>
        <v>5.8368887113855</v>
      </c>
      <c r="E195" s="222">
        <f>B178/31.5</f>
        <v>5.9295377385504</v>
      </c>
    </row>
    <row r="196" spans="1:25">
      <c r="B196" s="69">
        <f>Dados!J19</f>
        <v>3</v>
      </c>
      <c r="D196" s="222">
        <f>C178/650</f>
        <v>5.176515248282</v>
      </c>
      <c r="E196" s="222">
        <f>C178/622.75</f>
        <v>5.4030267545296</v>
      </c>
    </row>
    <row r="197" spans="1:25">
      <c r="B197" s="69">
        <f>Dados!I21</f>
        <v>8</v>
      </c>
      <c r="F197" s="223"/>
    </row>
    <row r="198" spans="1:25">
      <c r="E198" s="223"/>
    </row>
    <row r="199" spans="1:25">
      <c r="D199" s="69" t="s">
        <v>137</v>
      </c>
      <c r="E199" s="176"/>
    </row>
    <row r="201" spans="1:25">
      <c r="E201" s="69">
        <f>(((0.057* E204) + (0.092*E205) + (0.0395*E206))*0.97*0.96)*100</f>
        <v>2019.3072</v>
      </c>
    </row>
    <row r="202" spans="1:25" customHeight="1" ht="15"/>
    <row r="203" spans="1:25" customHeight="1" ht="15">
      <c r="A203" s="224"/>
      <c r="B203" s="225" t="s">
        <v>138</v>
      </c>
      <c r="C203" s="226"/>
      <c r="D203" s="227"/>
      <c r="E203" s="225" t="s">
        <v>29</v>
      </c>
      <c r="F203" s="227"/>
      <c r="G203" s="125" t="s">
        <v>34</v>
      </c>
      <c r="H203" s="228"/>
    </row>
    <row r="204" spans="1:25">
      <c r="A204" s="224" t="s">
        <v>20</v>
      </c>
      <c r="B204" s="229" t="e">
        <f>(VLOOKUP($B$196,Dados!$A$518:$F$519,4,FALSE))*$D$182*1000</f>
        <v>#N/A</v>
      </c>
      <c r="C204" s="230">
        <v>4</v>
      </c>
      <c r="D204" s="231" t="e">
        <f>C204*B204</f>
        <v>#N/A</v>
      </c>
      <c r="E204" s="232">
        <f>(((IF(D183&gt;0,VLOOKUP($B$195,Dados!A542:F544,4,0),0)))*10*($C$183*D183))</f>
        <v>100</v>
      </c>
      <c r="F204" s="233">
        <f>C204*E204</f>
        <v>400</v>
      </c>
      <c r="G204" s="234">
        <f>(Dados!M10*10)*D184</f>
        <v>28</v>
      </c>
      <c r="H204" s="235">
        <f>G204*C204</f>
        <v>112</v>
      </c>
    </row>
    <row r="205" spans="1:25">
      <c r="A205" s="224" t="s">
        <v>25</v>
      </c>
      <c r="B205" s="236" t="e">
        <f>(VLOOKUP($B$196,Dados!$A$518:$F$519,5,FALSE))*$D$182*1000</f>
        <v>#N/A</v>
      </c>
      <c r="C205" s="168">
        <v>9</v>
      </c>
      <c r="D205" s="237" t="e">
        <f>C205*B205</f>
        <v>#N/A</v>
      </c>
      <c r="E205" s="232">
        <f>(((IF(D183&gt;0,VLOOKUP($B$195,Dados!A542:F544,5,0),0)))*$C$183*10)*D183</f>
        <v>75</v>
      </c>
      <c r="F205" s="238">
        <f>C205*E205</f>
        <v>675</v>
      </c>
      <c r="G205" s="239">
        <f>(Dados!M11*10)*D184</f>
        <v>28</v>
      </c>
      <c r="H205" s="240">
        <f>G205*C205</f>
        <v>252</v>
      </c>
    </row>
    <row r="206" spans="1:25">
      <c r="A206" s="224" t="s">
        <v>30</v>
      </c>
      <c r="B206" s="236" t="e">
        <f>(VLOOKUP($B$196,Dados!$A$518:$F$519,6,FALSE))*$D$182*1000</f>
        <v>#N/A</v>
      </c>
      <c r="C206" s="168">
        <v>4</v>
      </c>
      <c r="D206" s="237" t="e">
        <f>C206*B206</f>
        <v>#N/A</v>
      </c>
      <c r="E206" s="232">
        <f>(((IF(D183&gt;0,VLOOKUP($B$195,Dados!A542:F544,6,0),0)))*$C$183*10)*D183</f>
        <v>230</v>
      </c>
      <c r="F206" s="238">
        <f>C206*E206</f>
        <v>920</v>
      </c>
      <c r="G206" s="241">
        <f>(Dados!M12*10)*D184</f>
        <v>56</v>
      </c>
      <c r="H206" s="240">
        <f>G206*C206</f>
        <v>224</v>
      </c>
    </row>
    <row r="207" spans="1:25" customHeight="1" ht="15">
      <c r="A207" s="224"/>
      <c r="B207" s="242" t="e">
        <f>SUM(B204:B206)</f>
        <v>#N/A</v>
      </c>
      <c r="C207" s="243"/>
      <c r="D207" s="244" t="e">
        <f>SUM(D204:D206)</f>
        <v>#N/A</v>
      </c>
      <c r="E207" s="136"/>
      <c r="F207" s="245">
        <f>SUM(F204:F206)</f>
        <v>1995</v>
      </c>
      <c r="G207" s="246"/>
      <c r="H207" s="244">
        <f>SUM(H204:H206)</f>
        <v>588</v>
      </c>
    </row>
    <row r="208" spans="1:25">
      <c r="H208" s="176">
        <f>((IF(G204="","",IF(G204&gt;0.001,(((100-3.5)/100)*(G204*0.057)+(0.092*G205)+(0.0395*G206))*3.77)))*238.85)/10</f>
        <v>569.826542103</v>
      </c>
    </row>
    <row r="209" spans="1:25" customHeight="1" ht="15"/>
    <row r="210" spans="1:25" customHeight="1" ht="15">
      <c r="A210" s="224"/>
      <c r="B210" s="187" t="s">
        <v>128</v>
      </c>
      <c r="C210" s="197"/>
      <c r="D210" s="247"/>
      <c r="F210" s="248" t="s">
        <v>139</v>
      </c>
      <c r="G210" s="248" t="s">
        <v>34</v>
      </c>
      <c r="H210" s="197" t="s">
        <v>128</v>
      </c>
    </row>
    <row r="211" spans="1:25">
      <c r="A211" s="168" t="s">
        <v>20</v>
      </c>
      <c r="B211" s="249">
        <f>IF($D$187&gt;0,((Dados!D526*1.13)*$C$187)*10,0)</f>
        <v>0</v>
      </c>
      <c r="C211" s="230">
        <v>4</v>
      </c>
      <c r="D211" s="250">
        <f>C211*B211</f>
        <v>0</v>
      </c>
      <c r="E211" s="251"/>
      <c r="F211" s="252">
        <v>1</v>
      </c>
      <c r="G211" s="253">
        <v>0</v>
      </c>
      <c r="H211" s="254">
        <v>0</v>
      </c>
    </row>
    <row r="212" spans="1:25">
      <c r="A212" s="168" t="s">
        <v>25</v>
      </c>
      <c r="B212" s="255">
        <f>IF($D$187&gt;0,((Dados!E526*1.13)*$C$187)*1000,0)</f>
        <v>0</v>
      </c>
      <c r="C212" s="168">
        <v>9</v>
      </c>
      <c r="D212" s="256">
        <f>C212*B212</f>
        <v>0</v>
      </c>
      <c r="E212" s="251"/>
      <c r="F212" s="252">
        <v>2</v>
      </c>
      <c r="G212" s="253">
        <v>50</v>
      </c>
      <c r="H212" s="254">
        <v>0.1</v>
      </c>
    </row>
    <row r="213" spans="1:25">
      <c r="A213" s="168" t="s">
        <v>30</v>
      </c>
      <c r="B213" s="255">
        <v>0</v>
      </c>
      <c r="C213" s="168">
        <v>4</v>
      </c>
      <c r="D213" s="256">
        <f>C213*B213</f>
        <v>0</v>
      </c>
      <c r="E213" s="251"/>
      <c r="F213" s="252">
        <v>3</v>
      </c>
      <c r="G213" s="253">
        <v>100</v>
      </c>
      <c r="H213" s="254">
        <v>0.15</v>
      </c>
    </row>
    <row r="214" spans="1:25">
      <c r="A214" s="168" t="s">
        <v>140</v>
      </c>
      <c r="B214" s="255">
        <v>0</v>
      </c>
      <c r="C214" s="168">
        <v>4</v>
      </c>
      <c r="D214" s="256">
        <f>C214*B214</f>
        <v>0</v>
      </c>
      <c r="F214" s="252">
        <v>4</v>
      </c>
      <c r="G214" s="253">
        <v>150</v>
      </c>
      <c r="H214" s="254">
        <v>0.2</v>
      </c>
    </row>
    <row r="215" spans="1:25">
      <c r="A215" s="168"/>
      <c r="B215" s="168"/>
      <c r="C215" s="168"/>
      <c r="D215" s="257">
        <f>SUM(D211:D213)</f>
        <v>0</v>
      </c>
      <c r="F215" s="252">
        <v>5</v>
      </c>
      <c r="G215" s="253">
        <v>200</v>
      </c>
      <c r="H215" s="254">
        <v>0.25</v>
      </c>
    </row>
    <row r="216" spans="1:25">
      <c r="B216" s="223"/>
      <c r="F216" s="252">
        <v>6</v>
      </c>
      <c r="G216" s="253">
        <v>250</v>
      </c>
      <c r="H216" s="254">
        <v>0.3</v>
      </c>
    </row>
    <row r="217" spans="1:25">
      <c r="F217" s="252">
        <v>7</v>
      </c>
      <c r="G217" s="258" t="s">
        <v>141</v>
      </c>
      <c r="H217" s="254">
        <v>0.35</v>
      </c>
    </row>
    <row r="218" spans="1:25">
      <c r="F218" s="252">
        <v>8</v>
      </c>
      <c r="G218" s="258"/>
      <c r="H218" s="254">
        <v>0.4</v>
      </c>
    </row>
    <row r="219" spans="1:25">
      <c r="F219" s="252">
        <v>9</v>
      </c>
      <c r="G219" s="258"/>
      <c r="H219" s="254">
        <v>0.45</v>
      </c>
    </row>
    <row r="220" spans="1:25" customHeight="1" ht="15">
      <c r="F220" s="259">
        <v>10</v>
      </c>
      <c r="G220" s="260"/>
      <c r="H220" s="254">
        <v>0.5</v>
      </c>
    </row>
    <row r="223" spans="1:25" customHeight="1" ht="20">
      <c r="A223" s="100" t="s">
        <v>142</v>
      </c>
    </row>
    <row r="224" spans="1:25" customHeight="1" ht="16">
      <c r="A224" s="184" t="s">
        <v>112</v>
      </c>
      <c r="B224" s="191">
        <f>Dados!B145+Dados!B148</f>
        <v>30</v>
      </c>
    </row>
    <row r="225" spans="1:25" customHeight="1" ht="15">
      <c r="C225" s="186"/>
      <c r="E225" s="189"/>
    </row>
    <row r="226" spans="1:25" customHeight="1" ht="15">
      <c r="C226" s="187" t="s">
        <v>113</v>
      </c>
      <c r="D226" s="188" t="s">
        <v>114</v>
      </c>
    </row>
    <row r="227" spans="1:25" customHeight="1" ht="15">
      <c r="A227" s="190" t="s">
        <v>115</v>
      </c>
      <c r="B227" s="191">
        <f>Dados!B151</f>
        <v>600</v>
      </c>
      <c r="C227" s="191">
        <f>Dados!G336</f>
        <v>1000</v>
      </c>
      <c r="D227" s="191">
        <f>Dados!H369</f>
        <v>1000</v>
      </c>
      <c r="E227" s="186"/>
      <c r="F227" s="124">
        <f>MIN(C227:D227)</f>
        <v>1000</v>
      </c>
    </row>
    <row r="228" spans="1:25" customHeight="1" ht="15"/>
    <row r="229" spans="1:25" customHeight="1" ht="30">
      <c r="A229" s="192" t="s">
        <v>116</v>
      </c>
      <c r="B229" s="193" t="s">
        <v>117</v>
      </c>
      <c r="C229" s="193" t="s">
        <v>118</v>
      </c>
      <c r="D229" s="194" t="s">
        <v>143</v>
      </c>
      <c r="F229" s="116"/>
    </row>
    <row r="230" spans="1:25" customHeight="1" ht="15">
      <c r="A230" s="129"/>
      <c r="B230" s="195">
        <f>(6.25*(1/0.8*(0.2*$B$224^0.75+(30*($B$227/1000))+(1.9*$D$230)*D230)))/0.9</f>
        <v>186.78043876434</v>
      </c>
      <c r="C230" s="65">
        <f>(((0.1*(B224^0.75)+(0.84*(B224^0.355))*((B227/1000)^1.2))*1000)*1.2)</f>
        <v>3364.7349113833</v>
      </c>
      <c r="D230" s="196">
        <f>((C230*1000)/4750)/1000</f>
        <v>0.70836524450174</v>
      </c>
      <c r="H230" s="116"/>
    </row>
    <row r="232" spans="1:25" customHeight="1" ht="15">
      <c r="A232" s="116" t="s">
        <v>120</v>
      </c>
      <c r="B232" s="116"/>
      <c r="C232" s="116"/>
    </row>
    <row r="233" spans="1:25" customHeight="1" ht="31">
      <c r="A233" s="197"/>
      <c r="B233" s="197"/>
      <c r="C233" s="198" t="s">
        <v>121</v>
      </c>
      <c r="D233" s="198" t="s">
        <v>122</v>
      </c>
      <c r="E233" s="198" t="s">
        <v>20</v>
      </c>
      <c r="F233" s="199" t="s">
        <v>123</v>
      </c>
    </row>
    <row r="234" spans="1:25">
      <c r="A234" s="140" t="s">
        <v>124</v>
      </c>
      <c r="B234" s="186" t="str">
        <f>VLOOKUP(Dados!J11,Dados!A432:B434,2,0)</f>
        <v>Leite descarte</v>
      </c>
      <c r="C234" s="200">
        <f>(IF(D234&gt;1,VLOOKUP(B248,Dados!A518:C520,3,0),0))</f>
        <v>0.1</v>
      </c>
      <c r="D234" s="201">
        <f>IF(Dados!I11&gt;=2,VLOOKUP(Dados!I11,Dados!A414:B419,2,0),0)</f>
        <v>6</v>
      </c>
      <c r="E234" s="202">
        <f>IF(B256&gt;0,B256,0)</f>
        <v>168</v>
      </c>
      <c r="F234" s="64">
        <f>IF(D259&gt;1,D259,"0")</f>
        <v>3564</v>
      </c>
    </row>
    <row r="235" spans="1:25">
      <c r="A235" s="140" t="s">
        <v>125</v>
      </c>
      <c r="B235" s="186" t="str">
        <f>Dados!E12</f>
        <v>Sucedâneo</v>
      </c>
      <c r="C235" s="200">
        <f>IF(Dados!I12&gt;0,VLOOKUP(Dados!K12,Dados!A469:C473,3,0),0)</f>
        <v>0.14285714285714</v>
      </c>
      <c r="D235" s="201">
        <f>IF(Dados!I12&gt;=2,VLOOKUP(Dados!I12,Dados!A414:B419,2,0),0)</f>
        <v>5</v>
      </c>
      <c r="E235" s="202">
        <f>IF(E256&gt;0,E256,0)</f>
        <v>142.85714285714</v>
      </c>
      <c r="F235" s="64">
        <f>Dados!M15*(Dados!C235*D235)</f>
        <v>2907.2782760357</v>
      </c>
    </row>
    <row r="236" spans="1:25" customHeight="1" ht="15">
      <c r="A236" s="203" t="s">
        <v>126</v>
      </c>
      <c r="B236" s="261" t="str">
        <f>Dados!F13</f>
        <v>Marca</v>
      </c>
      <c r="C236" s="262">
        <f>IF(Dados!I13&gt;=2,VLOOKUP(Dados!I13,Dados!A476:B490,2,0),0)/1000</f>
        <v>0</v>
      </c>
      <c r="D236" s="205">
        <f>(IF(Dados!I13&gt;=2,VLOOKUP(Dados!I13,Dados!A476:B490,2,0),0)*D234)/1000</f>
        <v>0</v>
      </c>
      <c r="E236" s="206">
        <f>IF(G256&gt;0,G256,0)</f>
        <v>0</v>
      </c>
      <c r="F236" s="262">
        <f>(Dados!M15)*D236</f>
        <v>0</v>
      </c>
    </row>
    <row r="237" spans="1:25" customHeight="1" ht="15">
      <c r="C237" s="139"/>
      <c r="D237" s="208"/>
      <c r="E237" s="209">
        <f>B256+E256+G256</f>
        <v>310.85714285714</v>
      </c>
      <c r="F237" s="263">
        <f>D259+F259+H259</f>
        <v>6564</v>
      </c>
    </row>
    <row r="238" spans="1:25" customHeight="1" ht="15">
      <c r="B238" s="116" t="s">
        <v>127</v>
      </c>
    </row>
    <row r="239" spans="1:25" customHeight="1" ht="15">
      <c r="A239" s="198" t="s">
        <v>128</v>
      </c>
      <c r="B239" s="211" t="str">
        <f>IF(Dados!J14&gt;0,VLOOKUP(B250,Dados!A503:B509,2,0),0)</f>
        <v>Ração comercial 20%</v>
      </c>
      <c r="C239" s="212">
        <f>D239*0.87</f>
        <v>0.2175</v>
      </c>
      <c r="D239" s="213">
        <f>IF(Dados!I14&gt;=1,VLOOKUP(Dados!I14,Dados!A422:B430,2,0),0)</f>
        <v>0.25</v>
      </c>
      <c r="E239" s="214">
        <f>IF(D239&gt;0,VLOOKUP(Dados!J14,Dados!A505:E509,5,0),0)*D239</f>
        <v>42</v>
      </c>
      <c r="F239" s="264">
        <f>((IF(D239&gt;0,VLOOKUP(Dados!J14,Dados!A505:C509,3,0),0))*C239)*1000</f>
        <v>602.475</v>
      </c>
    </row>
    <row r="240" spans="1:25">
      <c r="B240" s="69" t="s">
        <v>129</v>
      </c>
      <c r="C240" s="216">
        <f>(C235*D235)+(C234*D234)+(C236*D234)</f>
        <v>1.3142857142857</v>
      </c>
    </row>
    <row r="241" spans="1:25">
      <c r="A241" s="139"/>
      <c r="B241" s="69" t="s">
        <v>130</v>
      </c>
      <c r="C241" s="217">
        <f>(C240/(D234+D235+D236))*100</f>
        <v>11.948051948052</v>
      </c>
      <c r="D241" s="69" t="s">
        <v>131</v>
      </c>
      <c r="E241" s="218">
        <f>B230</f>
        <v>186.78043876434</v>
      </c>
      <c r="F241" s="219">
        <f>C230</f>
        <v>3364.7349113833</v>
      </c>
    </row>
    <row r="242" spans="1:25">
      <c r="B242" s="69" t="s">
        <v>132</v>
      </c>
      <c r="C242" s="217">
        <f>C239+C240</f>
        <v>1.5317857142857</v>
      </c>
      <c r="D242" s="116" t="s">
        <v>133</v>
      </c>
      <c r="E242" s="220">
        <f>SUM((E235+E236)*0.93,E234*0.95,E239*0.81)</f>
        <v>326.47714285714</v>
      </c>
      <c r="F242" s="221">
        <f>SUM((F234*0.93)+(F235+F236)*0.91)+(F239*0.83)</f>
        <v>6460.1974811925</v>
      </c>
    </row>
    <row r="243" spans="1:25">
      <c r="A243" s="127"/>
      <c r="D243" s="69" t="s">
        <v>134</v>
      </c>
      <c r="E243" s="218">
        <f>E242-B230</f>
        <v>139.69670409281</v>
      </c>
      <c r="F243" s="219">
        <f>F242-F241</f>
        <v>3095.4625698092</v>
      </c>
    </row>
    <row r="244" spans="1:25">
      <c r="E244" s="143">
        <f>IF(AND(E243&gt;0,F243&gt;0),1,-1)</f>
        <v>1</v>
      </c>
      <c r="F244" s="143">
        <f>IF(AND(F243&gt;0,0),1,-1)</f>
        <v>-1</v>
      </c>
    </row>
    <row r="246" spans="1:25">
      <c r="D246" s="69" t="s">
        <v>135</v>
      </c>
      <c r="E246" s="69" t="s">
        <v>136</v>
      </c>
    </row>
    <row r="247" spans="1:25">
      <c r="B247" s="69">
        <f>Dados!K20</f>
        <v>1</v>
      </c>
      <c r="C247" s="69" t="s">
        <v>144</v>
      </c>
      <c r="D247" s="222">
        <f>B230/32</f>
        <v>5.8368887113855</v>
      </c>
      <c r="E247" s="222">
        <f>B230/31.5</f>
        <v>5.9295377385504</v>
      </c>
    </row>
    <row r="248" spans="1:25">
      <c r="B248" s="69">
        <f>Dados!J11</f>
        <v>3</v>
      </c>
      <c r="C248" s="69" t="s">
        <v>145</v>
      </c>
      <c r="D248" s="222">
        <f>C230/650</f>
        <v>5.176515248282</v>
      </c>
      <c r="E248" s="222">
        <f>C230/622.75</f>
        <v>5.4030267545296</v>
      </c>
    </row>
    <row r="249" spans="1:25">
      <c r="B249" s="69">
        <f>Dados!I14</f>
        <v>2</v>
      </c>
      <c r="F249" s="223"/>
    </row>
    <row r="250" spans="1:25">
      <c r="B250" s="69">
        <f>Dados!J14</f>
        <v>2</v>
      </c>
      <c r="E250" s="223"/>
    </row>
    <row r="251" spans="1:25">
      <c r="D251" s="69" t="s">
        <v>137</v>
      </c>
      <c r="E251" s="176"/>
    </row>
    <row r="253" spans="1:25">
      <c r="E253" s="69">
        <f>(((0.057* E256) + (0.092*E257) + (0.0395*E258))*0.97*0.96)*100</f>
        <v>3033.0514285714</v>
      </c>
    </row>
    <row r="254" spans="1:25" customHeight="1" ht="15"/>
    <row r="255" spans="1:25" customHeight="1" ht="15">
      <c r="A255" s="224"/>
      <c r="B255" s="225" t="s">
        <v>138</v>
      </c>
      <c r="C255" s="226"/>
      <c r="D255" s="227"/>
      <c r="E255" s="225" t="s">
        <v>29</v>
      </c>
      <c r="F255" s="227"/>
      <c r="G255" s="125" t="s">
        <v>34</v>
      </c>
      <c r="H255" s="228"/>
    </row>
    <row r="256" spans="1:25">
      <c r="A256" s="224" t="s">
        <v>20</v>
      </c>
      <c r="B256" s="229">
        <f>IF($D$234&gt;0,VLOOKUP($B$248,Dados!$A$518:$F$520,4,0),0)*$D$234*1000</f>
        <v>168</v>
      </c>
      <c r="C256" s="230">
        <v>4</v>
      </c>
      <c r="D256" s="231">
        <f>C256*B256</f>
        <v>672</v>
      </c>
      <c r="E256" s="232">
        <f>(((IF(D235&gt;0,($C$235*5)*(Dados!M10*10),0))))</f>
        <v>142.85714285714</v>
      </c>
      <c r="F256" s="233">
        <f>C256*E256</f>
        <v>571.42857142857</v>
      </c>
      <c r="G256" s="234">
        <f>(Dados!M10*10)*Dados!D236</f>
        <v>0</v>
      </c>
      <c r="H256" s="235">
        <f>G256*C256</f>
        <v>0</v>
      </c>
    </row>
    <row r="257" spans="1:25">
      <c r="A257" s="224" t="s">
        <v>25</v>
      </c>
      <c r="B257" s="229">
        <f>IF($D$234&gt;0,VLOOKUP($B$248,Dados!$A$518:$F$520,5,0),0)*$D$234*1000</f>
        <v>228</v>
      </c>
      <c r="C257" s="168">
        <v>9</v>
      </c>
      <c r="D257" s="237">
        <f>C257*B257</f>
        <v>2052</v>
      </c>
      <c r="E257" s="232">
        <f>(((IF(D235&gt;0,($C$235*5)*(Dados!M11*10),0))))</f>
        <v>142.85714285714</v>
      </c>
      <c r="F257" s="238">
        <f>C257*E257</f>
        <v>1285.7142857143</v>
      </c>
      <c r="G257" s="239">
        <f>(Dados!M11*10)*Dados!D236</f>
        <v>0</v>
      </c>
      <c r="H257" s="240">
        <f>G257*C257</f>
        <v>0</v>
      </c>
    </row>
    <row r="258" spans="1:25">
      <c r="A258" s="224" t="s">
        <v>30</v>
      </c>
      <c r="B258" s="229">
        <f>IF($D$234&gt;0,VLOOKUP($B$248,Dados!$A$518:$F$520,6,0),0)*$D$234*1000</f>
        <v>210</v>
      </c>
      <c r="C258" s="168">
        <v>4</v>
      </c>
      <c r="D258" s="237">
        <f>C258*B258</f>
        <v>840</v>
      </c>
      <c r="E258" s="232">
        <f>(((IF(D235&gt;0,($C$235*5)*(Dados!M12*10),0))))</f>
        <v>285.71428571429</v>
      </c>
      <c r="F258" s="238">
        <f>C258*E258</f>
        <v>1142.8571428571</v>
      </c>
      <c r="G258" s="241">
        <f>(Dados!M12*10)*Dados!D236</f>
        <v>0</v>
      </c>
      <c r="H258" s="240">
        <f>G258*C258</f>
        <v>0</v>
      </c>
    </row>
    <row r="259" spans="1:25" customHeight="1" ht="15">
      <c r="A259" s="224"/>
      <c r="B259" s="242">
        <f>SUM(B256:B258)</f>
        <v>606</v>
      </c>
      <c r="C259" s="243"/>
      <c r="D259" s="244">
        <f>SUM(D256:D258)</f>
        <v>3564</v>
      </c>
      <c r="E259" s="136"/>
      <c r="F259" s="245">
        <f>SUM(F256:F258)</f>
        <v>3000</v>
      </c>
      <c r="G259" s="246"/>
      <c r="H259" s="244">
        <f>SUM(H256:H258)</f>
        <v>0</v>
      </c>
    </row>
    <row r="261" spans="1:25" customHeight="1" ht="15"/>
    <row r="262" spans="1:25" customHeight="1" ht="15">
      <c r="A262" s="224"/>
      <c r="B262" s="187" t="s">
        <v>128</v>
      </c>
      <c r="C262" s="197"/>
      <c r="D262" s="247"/>
      <c r="F262" s="248" t="s">
        <v>139</v>
      </c>
      <c r="G262" s="248" t="s">
        <v>34</v>
      </c>
      <c r="H262" s="197" t="s">
        <v>128</v>
      </c>
    </row>
    <row r="263" spans="1:25">
      <c r="A263" s="168" t="s">
        <v>20</v>
      </c>
      <c r="B263" s="249" t="e">
        <f>IF($D$239&gt;0,VLOOKUP(Dados!J14,Dados!B435:E506,4,0),0)</f>
        <v>#N/A</v>
      </c>
      <c r="C263" s="230">
        <v>4</v>
      </c>
      <c r="D263" s="250" t="e">
        <f>C263*B263</f>
        <v>#N/A</v>
      </c>
      <c r="E263" s="251"/>
      <c r="F263" s="252">
        <v>1</v>
      </c>
      <c r="G263" s="253">
        <v>0</v>
      </c>
      <c r="H263" s="254">
        <v>0</v>
      </c>
    </row>
    <row r="264" spans="1:25">
      <c r="A264" s="168" t="s">
        <v>25</v>
      </c>
      <c r="B264" s="255">
        <f>IF($D$239&gt;0,((Dados!E526*1.13)*$C$239)*1000,0)</f>
        <v>9.831</v>
      </c>
      <c r="C264" s="168">
        <v>9</v>
      </c>
      <c r="D264" s="256">
        <f>C264*B264</f>
        <v>88.479</v>
      </c>
      <c r="E264" s="251"/>
      <c r="F264" s="252">
        <v>2</v>
      </c>
      <c r="G264" s="253">
        <v>50</v>
      </c>
      <c r="H264" s="254">
        <v>0.1</v>
      </c>
    </row>
    <row r="265" spans="1:25">
      <c r="A265" s="168" t="s">
        <v>30</v>
      </c>
      <c r="B265" s="255">
        <v>0</v>
      </c>
      <c r="C265" s="168">
        <v>4</v>
      </c>
      <c r="D265" s="256">
        <f>C265*B265</f>
        <v>0</v>
      </c>
      <c r="E265" s="251"/>
      <c r="F265" s="252">
        <v>3</v>
      </c>
      <c r="G265" s="253">
        <v>100</v>
      </c>
      <c r="H265" s="254">
        <v>0.15</v>
      </c>
    </row>
    <row r="266" spans="1:25">
      <c r="A266" s="168" t="s">
        <v>140</v>
      </c>
      <c r="B266" s="255">
        <v>0</v>
      </c>
      <c r="C266" s="168">
        <v>4</v>
      </c>
      <c r="D266" s="256">
        <f>C266*B266</f>
        <v>0</v>
      </c>
      <c r="F266" s="252">
        <v>4</v>
      </c>
      <c r="G266" s="253">
        <v>150</v>
      </c>
      <c r="H266" s="254">
        <v>0.2</v>
      </c>
    </row>
    <row r="267" spans="1:25">
      <c r="A267" s="168"/>
      <c r="B267" s="168"/>
      <c r="C267" s="168"/>
      <c r="D267" s="257" t="e">
        <f>SUM(D263:D265)</f>
        <v>#N/A</v>
      </c>
      <c r="F267" s="252">
        <v>5</v>
      </c>
      <c r="G267" s="253">
        <v>200</v>
      </c>
      <c r="H267" s="254">
        <v>0.25</v>
      </c>
    </row>
    <row r="268" spans="1:25">
      <c r="B268" s="223"/>
      <c r="F268" s="252">
        <v>6</v>
      </c>
      <c r="G268" s="253">
        <v>250</v>
      </c>
      <c r="H268" s="254">
        <v>0.3</v>
      </c>
    </row>
    <row r="269" spans="1:25">
      <c r="F269" s="252">
        <v>7</v>
      </c>
      <c r="G269" s="258" t="s">
        <v>141</v>
      </c>
      <c r="H269" s="254">
        <v>0.35</v>
      </c>
    </row>
    <row r="270" spans="1:25">
      <c r="F270" s="252">
        <v>8</v>
      </c>
      <c r="G270" s="258"/>
      <c r="H270" s="254">
        <v>0.4</v>
      </c>
    </row>
    <row r="271" spans="1:25">
      <c r="F271" s="252">
        <v>9</v>
      </c>
      <c r="G271" s="258"/>
      <c r="H271" s="254">
        <v>0.45</v>
      </c>
    </row>
    <row r="272" spans="1:25" customHeight="1" ht="15">
      <c r="F272" s="259">
        <v>10</v>
      </c>
      <c r="G272" s="260"/>
      <c r="H272" s="254">
        <v>0.5</v>
      </c>
    </row>
    <row r="275" spans="1:25" customHeight="1" ht="19">
      <c r="A275" s="100" t="s">
        <v>146</v>
      </c>
    </row>
    <row r="276" spans="1:25">
      <c r="A276" s="265">
        <f>MATCH(G276,D283:R283,0)</f>
        <v>1</v>
      </c>
      <c r="B276" s="265">
        <f>A276-2</f>
        <v>-1</v>
      </c>
      <c r="C276" s="265"/>
      <c r="D276" s="265"/>
      <c r="E276" s="265" t="s">
        <v>147</v>
      </c>
      <c r="F276" s="265"/>
      <c r="G276" s="265">
        <f>VLOOKUP(Dados!$D$18,Dados!A436:B450,2,0)</f>
        <v>30</v>
      </c>
      <c r="H276" s="265"/>
      <c r="I276" s="265"/>
      <c r="J276" s="265">
        <f>IFERROR(VLOOKUP(A277,B284:N303,MATCH(A276,D281:N281,1)-B276,0),"")</f>
        <v>300</v>
      </c>
      <c r="K276" s="266"/>
      <c r="L276" s="267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</row>
    <row r="277" spans="1:25">
      <c r="A277" s="265">
        <f>S280</f>
        <v>6</v>
      </c>
      <c r="B277" s="265"/>
      <c r="C277" s="265"/>
      <c r="D277" s="265"/>
      <c r="E277" s="265" t="s">
        <v>148</v>
      </c>
      <c r="F277" s="265"/>
      <c r="G277" s="266">
        <f>Dados!E190</f>
        <v>119.04</v>
      </c>
      <c r="H277" s="265"/>
      <c r="I277" s="265"/>
      <c r="J277" s="266"/>
      <c r="K277" s="266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</row>
    <row r="278" spans="1:25">
      <c r="A278" s="265">
        <f>MATCH(A276,D281:R281,0)-5</f>
        <v>-4</v>
      </c>
      <c r="B278" s="265"/>
      <c r="C278" s="265"/>
      <c r="D278" s="265"/>
      <c r="E278" s="268" t="s">
        <v>149</v>
      </c>
      <c r="F278" s="268"/>
      <c r="G278" s="269">
        <f>B280</f>
        <v>300</v>
      </c>
      <c r="H278" s="265"/>
      <c r="I278" s="265"/>
      <c r="J278" s="266"/>
      <c r="K278" s="266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</row>
    <row r="279" spans="1:25">
      <c r="A279" s="265"/>
      <c r="B279" s="265"/>
      <c r="C279" s="265"/>
      <c r="D279" s="265"/>
      <c r="E279" s="265"/>
      <c r="F279" s="265"/>
      <c r="G279" s="265"/>
      <c r="H279" s="265"/>
      <c r="I279" s="265"/>
      <c r="J279" s="266"/>
      <c r="K279" s="266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</row>
    <row r="280" spans="1:25">
      <c r="A280" s="265"/>
      <c r="B280" s="270">
        <f>IFERROR(VLOOKUP(A277,B284:R303,MATCH(A276,D281:R281,0)-B276,0),"")</f>
        <v>300</v>
      </c>
      <c r="C280" s="265"/>
      <c r="D280" s="265">
        <f>IFERROR(IF($A$276=1,MATCH($G$277,D$284:D$303,1),0),0)</f>
        <v>6</v>
      </c>
      <c r="E280" s="265">
        <f>IFERROR(IF($A$276=2,MATCH($G$277,E$284:E$303,1),0),0)</f>
        <v>0</v>
      </c>
      <c r="F280" s="265">
        <f>IFERROR(IF($A$276=3,MATCH($G$277,F$284:F$303,1),0),0)</f>
        <v>0</v>
      </c>
      <c r="G280" s="265">
        <f>IFERROR(IF($A$276=4,MATCH($G$277,G$284:G$303,1),0),0)</f>
        <v>0</v>
      </c>
      <c r="H280" s="265">
        <f>IFERROR(IF($A$276=5,MATCH($G$277,H$284:H$303,1),0),0)</f>
        <v>0</v>
      </c>
      <c r="I280" s="265">
        <f>IFERROR(IF($A$276=6,MATCH($G$277,I$284:I$303,1),0),0)</f>
        <v>0</v>
      </c>
      <c r="J280" s="265">
        <f>IFERROR(IF($A$276=7,MATCH($G$277,J$284:J$303,1),0),0)</f>
        <v>0</v>
      </c>
      <c r="K280" s="265">
        <f>IFERROR(IF($A$276=8,MATCH($G$277,K$284:K$303,1),0),0)</f>
        <v>0</v>
      </c>
      <c r="L280" s="265">
        <f>IFERROR(IF($A$276=9,MATCH($G$277,L$284:L$303,1),0),0)</f>
        <v>0</v>
      </c>
      <c r="M280" s="265">
        <f>IFERROR(IF($A$276=10,MATCH($G$277,M$284:M$303,1),0),0)</f>
        <v>0</v>
      </c>
      <c r="N280" s="265">
        <f>IFERROR(IF($A$276=11,MATCH($G$277,N$284:N$303,1),0),0)</f>
        <v>0</v>
      </c>
      <c r="O280" s="265">
        <f>IFERROR(IF($A$276=12,MATCH($G$277,O$284:O$303,1),0),0)</f>
        <v>0</v>
      </c>
      <c r="P280" s="265">
        <f>IFERROR(IF($A$276=13,MATCH($G$277,P$284:P$303,1),0),0)</f>
        <v>0</v>
      </c>
      <c r="Q280" s="265">
        <f>IFERROR(IF($A$276=14,MATCH($G$277,Q$284:Q$303,1),0),0)</f>
        <v>0</v>
      </c>
      <c r="R280" s="265">
        <f>IFERROR(IF($A$276=15,MATCH($G$277,R$284:R$303,1),0),0)</f>
        <v>0</v>
      </c>
      <c r="S280" s="265">
        <f>SUM(D280:R280)</f>
        <v>6</v>
      </c>
      <c r="T280" s="265"/>
      <c r="U280" s="265"/>
      <c r="V280" s="265"/>
      <c r="W280" s="265"/>
    </row>
    <row r="281" spans="1:25">
      <c r="A281" s="265"/>
      <c r="B281" s="265"/>
      <c r="C281" s="265"/>
      <c r="D281" s="265">
        <v>1</v>
      </c>
      <c r="E281" s="265">
        <v>2</v>
      </c>
      <c r="F281" s="265">
        <v>3</v>
      </c>
      <c r="G281" s="265">
        <v>4</v>
      </c>
      <c r="H281" s="265">
        <v>5</v>
      </c>
      <c r="I281" s="265">
        <v>6</v>
      </c>
      <c r="J281" s="265">
        <v>7</v>
      </c>
      <c r="K281" s="265">
        <v>8</v>
      </c>
      <c r="L281" s="265">
        <v>9</v>
      </c>
      <c r="M281" s="265">
        <v>10</v>
      </c>
      <c r="N281" s="265">
        <v>11</v>
      </c>
      <c r="O281" s="265">
        <v>12</v>
      </c>
      <c r="P281" s="265">
        <v>13</v>
      </c>
      <c r="Q281" s="265">
        <v>14</v>
      </c>
      <c r="R281" s="265">
        <v>15</v>
      </c>
      <c r="S281" s="265"/>
      <c r="T281" s="265"/>
      <c r="U281" s="265"/>
      <c r="V281" s="265"/>
      <c r="W281" s="265"/>
    </row>
    <row r="282" spans="1:25" customHeight="1" ht="15">
      <c r="A282" s="58"/>
      <c r="B282" s="58"/>
      <c r="C282" s="58"/>
      <c r="D282" s="58"/>
      <c r="E282" s="58"/>
      <c r="F282" s="58"/>
      <c r="G282" s="58"/>
      <c r="H282" s="58" t="s">
        <v>150</v>
      </c>
      <c r="I282" s="58"/>
      <c r="J282" s="271"/>
      <c r="K282" s="271"/>
      <c r="L282" s="58"/>
      <c r="M282" s="58"/>
      <c r="N282" s="58"/>
      <c r="O282" s="58"/>
      <c r="P282" s="58"/>
      <c r="Q282" s="58"/>
      <c r="R282" s="58"/>
      <c r="S282" s="58"/>
      <c r="T282" s="58"/>
      <c r="U282" s="265"/>
      <c r="V282" s="265"/>
      <c r="W282" s="265"/>
    </row>
    <row r="283" spans="1:25" customHeight="1" ht="15">
      <c r="A283" s="265"/>
      <c r="B283" s="265"/>
      <c r="C283" s="272"/>
      <c r="D283" s="273">
        <v>30</v>
      </c>
      <c r="E283" s="274">
        <v>35</v>
      </c>
      <c r="F283" s="274">
        <v>40</v>
      </c>
      <c r="G283" s="274">
        <v>45</v>
      </c>
      <c r="H283" s="274">
        <v>50</v>
      </c>
      <c r="I283" s="274">
        <v>55</v>
      </c>
      <c r="J283" s="274">
        <v>60</v>
      </c>
      <c r="K283" s="274">
        <v>65</v>
      </c>
      <c r="L283" s="274">
        <v>70</v>
      </c>
      <c r="M283" s="274">
        <v>75</v>
      </c>
      <c r="N283" s="274">
        <v>80</v>
      </c>
      <c r="O283" s="274">
        <v>85</v>
      </c>
      <c r="P283" s="274">
        <v>90</v>
      </c>
      <c r="Q283" s="274">
        <v>95</v>
      </c>
      <c r="R283" s="275">
        <v>100</v>
      </c>
      <c r="S283" s="265" t="s">
        <v>151</v>
      </c>
      <c r="T283" s="265"/>
      <c r="U283" s="265"/>
      <c r="V283" s="265"/>
      <c r="W283" s="265"/>
    </row>
    <row r="284" spans="1:25">
      <c r="A284" s="265"/>
      <c r="B284" s="265">
        <v>1</v>
      </c>
      <c r="C284" s="276">
        <v>50</v>
      </c>
      <c r="D284" s="277">
        <f>ROUND((6.25*(1/0.8*(0.2*$D$283^0.75+(30*(C284/1000))+(1.9*((C313*1000)/4750)/1000))))/0.9,0)</f>
        <v>41</v>
      </c>
      <c r="E284" s="278">
        <f>ROUND((6.25*(1/0.8*(0.2*$E$283^0.75+(30*(C284/1000))+(1.9*((D313*1000)/4750)/1000))))/0.9,0)</f>
        <v>44</v>
      </c>
      <c r="F284" s="278">
        <f>ROUND((6.25*(1/0.8*(0.2*$F$283^0.75+(30*(C284/1000))+(1.9*((E313*1000)/4750)/1000))))/0.9,0)</f>
        <v>48</v>
      </c>
      <c r="G284" s="278">
        <f>ROUND((6.25*(1/0.8*(0.2*$G$283^0.75+(30*(C284/1000))+(1.9*((F313*1000)/4750)/1000))))/0.9,0)</f>
        <v>51</v>
      </c>
      <c r="H284" s="278">
        <f>ROUND((6.25*(1/0.8*(0.2*$H$283^0.75+(30*(C284/1000))+(1.9*((G313*1000)/4750)/1000))))/0.9,0)</f>
        <v>54</v>
      </c>
      <c r="I284" s="278">
        <f>ROUND((6.25*(1/0.8*(0.2*$I$283^0.75+(30*(C284/1000))+(1.9*((H313*1000)/4750)/1000))))/0.9,0)</f>
        <v>57</v>
      </c>
      <c r="J284" s="278">
        <f>ROUND((6.25*(1/0.8*(0.2*$J$283^0.75+(30*(C284/1000))+(1.9*((I313*1000)/4750)/1000))))/0.9,0)</f>
        <v>60</v>
      </c>
      <c r="K284" s="278">
        <f>ROUND((6.25*(1/0.8*(0.2*$K$283^0.75+(30*(C284/1000))+(1.9*((J313*1000)/4750)/1000))))/0.9,0)</f>
        <v>63</v>
      </c>
      <c r="L284" s="278">
        <f>ROUND((6.25*(1/0.8*(0.2*$L$283^0.75+(30*(C284/1000))+(1.9*((K313*1000)/4750)/1000))))/0.9,0)</f>
        <v>66</v>
      </c>
      <c r="M284" s="278">
        <f>ROUND((6.25*(1/0.8*(0.2*$M$283^0.75+(30*(C284/1000))+(1.9*((L313*1000)/4750)/1000))))/0.9,0)</f>
        <v>68</v>
      </c>
      <c r="N284" s="278">
        <f>ROUND((6.25*(1/0.8*(0.2*$N$283^0.75+(30*(C284/1000))+(1.9*((M313*1000)/4750)/1000))))/0.9,0)</f>
        <v>71</v>
      </c>
      <c r="O284" s="278">
        <f>ROUND((6.25*(1/0.8*(0.2*$O$283^0.75+(30*(C284/1000))+(1.9*((N313*1000)/4750)/1000))))/0.9,0)</f>
        <v>74</v>
      </c>
      <c r="P284" s="278">
        <f>ROUND((6.25*(1/0.8*(0.2*$P$283^0.75+(30*(C284/1000))+(1.9*((O313*1000)/4750)/1000))))/0.9,0)</f>
        <v>76</v>
      </c>
      <c r="Q284" s="278">
        <f>ROUND((6.25*(1/0.8*(0.2*$Q$283^0.75+(30*(C284/1000))+(1.9*((P313*1000)/4750)/1000))))/0.9,0)</f>
        <v>79</v>
      </c>
      <c r="R284" s="279">
        <f>ROUND((6.25*(1/0.8*(0.2*$R$283^0.75+(30*(C284/1000))+(1.9*((Q313*1000)/4750)/1000))))/0.9,0)</f>
        <v>82</v>
      </c>
      <c r="S284" s="270">
        <f>C284</f>
        <v>50</v>
      </c>
      <c r="T284" s="270"/>
      <c r="U284" s="58"/>
      <c r="V284" s="58"/>
      <c r="W284" s="58"/>
    </row>
    <row r="285" spans="1:25">
      <c r="A285" s="265"/>
      <c r="B285" s="265">
        <v>2</v>
      </c>
      <c r="C285" s="276">
        <v>100</v>
      </c>
      <c r="D285" s="280">
        <f>ROUND((6.25*(1/0.8*(0.2*$D$283^0.75+(30*(C285/1000))+(1.9*((C314*1000)/4750)/1000))))/0.9,0)</f>
        <v>54</v>
      </c>
      <c r="E285" s="281">
        <f>ROUND((6.25*(1/0.8*(0.2*$E$283^0.75+(30*(C285/1000))+(1.9*((D314*1000)/4750)/1000))))/0.9,0)</f>
        <v>58</v>
      </c>
      <c r="F285" s="281">
        <f>ROUND((6.25*(1/0.8*(0.2*$F$283^0.75+(30*(C285/1000))+(1.9*((E314*1000)/4750)/1000))))/0.9,0)</f>
        <v>61</v>
      </c>
      <c r="G285" s="281">
        <f>ROUND((6.25*(1/0.8*(0.2*$G$283^0.75+(30*(C285/1000))+(1.9*((F314*1000)/4750)/1000))))/0.9,0)</f>
        <v>64</v>
      </c>
      <c r="H285" s="281">
        <f>ROUND((6.25*(1/0.8*(0.2*$H$283^0.75+(30*(C285/1000))+(1.9*((G314*1000)/4750)/1000))))/0.9,0)</f>
        <v>67</v>
      </c>
      <c r="I285" s="281">
        <f>ROUND((6.25*(1/0.8*(0.2*$I$283^0.75+(30*(C285/1000))+(1.9*((H314*1000)/4750)/1000))))/0.9,0)</f>
        <v>70</v>
      </c>
      <c r="J285" s="281">
        <f>ROUND((6.25*(1/0.8*(0.2*$J$283^0.75+(30*(C285/1000))+(1.9*((I314*1000)/4750)/1000))))/0.9,0)</f>
        <v>73</v>
      </c>
      <c r="K285" s="281">
        <f>ROUND((6.25*(1/0.8*(0.2*$K$283^0.75+(30*(C285/1000))+(1.9*((J314*1000)/4750)/1000))))/0.9,0)</f>
        <v>76</v>
      </c>
      <c r="L285" s="281">
        <f>ROUND((6.25*(1/0.8*(0.2*$L$283^0.75+(30*(C285/1000))+(1.9*((K314*1000)/4750)/1000))))/0.9,0)</f>
        <v>79</v>
      </c>
      <c r="M285" s="281">
        <f>ROUND((6.25*(1/0.8*(0.2*$M$283^0.75+(30*(C285/1000))+(1.9*((L314*1000)/4750)/1000))))/0.9,0)</f>
        <v>82</v>
      </c>
      <c r="N285" s="281">
        <f>ROUND((6.25*(1/0.8*(0.2*$N$283^0.75+(30*(C285/1000))+(1.9*((M314*1000)/4750)/1000))))/0.9,0)</f>
        <v>85</v>
      </c>
      <c r="O285" s="281">
        <f>ROUND((6.25*(1/0.8*(0.2*$O$283^0.75+(30*(C285/1000))+(1.9*((N314*1000)/4750)/1000))))/0.9,0)</f>
        <v>87</v>
      </c>
      <c r="P285" s="281">
        <f>ROUND((6.25*(1/0.8*(0.2*$P$283^0.75+(30*(C285/1000))+(1.9*((O314*1000)/4750)/1000))))/0.9,0)</f>
        <v>90</v>
      </c>
      <c r="Q285" s="281">
        <f>ROUND((6.25*(1/0.8*(0.2*$Q$283^0.75+(30*(C285/1000))+(1.9*((P314*1000)/4750)/1000))))/0.9,0)</f>
        <v>93</v>
      </c>
      <c r="R285" s="282">
        <f>ROUND((6.25*(1/0.8*(0.2*$R$283^0.75+(30*(C285/1000))+(1.9*((Q314*1000)/4750)/1000))))/0.9,0)</f>
        <v>95</v>
      </c>
      <c r="S285" s="270">
        <f>C285</f>
        <v>100</v>
      </c>
      <c r="T285" s="270"/>
      <c r="U285" s="265"/>
      <c r="V285" s="265"/>
      <c r="W285" s="265"/>
    </row>
    <row r="286" spans="1:25">
      <c r="A286" s="265"/>
      <c r="B286" s="265">
        <v>3</v>
      </c>
      <c r="C286" s="276">
        <v>150</v>
      </c>
      <c r="D286" s="280">
        <f>ROUND((6.25*(1/0.8*(0.2*$D$283^0.75+(30*(C286/1000))+(1.9*((C315*1000)/4750)/1000))))/0.9,0)</f>
        <v>68</v>
      </c>
      <c r="E286" s="281">
        <f>ROUND((6.25*(1/0.8*(0.2*$E$283^0.75+(30*(C286/1000))+(1.9*((D315*1000)/4750)/1000))))/0.9,0)</f>
        <v>71</v>
      </c>
      <c r="F286" s="281">
        <f>ROUND((6.25*(1/0.8*(0.2*$F$283^0.75+(30*(C286/1000))+(1.9*((E315*1000)/4750)/1000))))/0.9,0)</f>
        <v>75</v>
      </c>
      <c r="G286" s="281">
        <f>ROUND((6.25*(1/0.8*(0.2*$G$283^0.75+(30*(C286/1000))+(1.9*((F315*1000)/4750)/1000))))/0.9,0)</f>
        <v>78</v>
      </c>
      <c r="H286" s="281">
        <f>ROUND((6.25*(1/0.8*(0.2*$H$283^0.75+(30*(C286/1000))+(1.9*((G315*1000)/4750)/1000))))/0.9,0)</f>
        <v>81</v>
      </c>
      <c r="I286" s="281">
        <f>ROUND((6.25*(1/0.8*(0.2*$I$283^0.75+(30*(C286/1000))+(1.9*((H315*1000)/4750)/1000))))/0.9,0)</f>
        <v>84</v>
      </c>
      <c r="J286" s="281">
        <f>ROUND((6.25*(1/0.8*(0.2*$J$283^0.75+(30*(C286/1000))+(1.9*((I315*1000)/4750)/1000))))/0.9,0)</f>
        <v>87</v>
      </c>
      <c r="K286" s="281">
        <f>ROUND((6.25*(1/0.8*(0.2*$K$283^0.75+(30*(C286/1000))+(1.9*((J315*1000)/4750)/1000))))/0.9,0)</f>
        <v>90</v>
      </c>
      <c r="L286" s="281">
        <f>ROUND((6.25*(1/0.8*(0.2*$L$283^0.75+(30*(C286/1000))+(1.9*((K315*1000)/4750)/1000))))/0.9,0)</f>
        <v>93</v>
      </c>
      <c r="M286" s="281">
        <f>ROUND((6.25*(1/0.8*(0.2*$M$283^0.75+(30*(C286/1000))+(1.9*((L315*1000)/4750)/1000))))/0.9,0)</f>
        <v>96</v>
      </c>
      <c r="N286" s="281">
        <f>ROUND((6.25*(1/0.8*(0.2*$N$283^0.75+(30*(C286/1000))+(1.9*((M315*1000)/4750)/1000))))/0.9,0)</f>
        <v>98</v>
      </c>
      <c r="O286" s="281">
        <f>ROUND((6.25*(1/0.8*(0.2*$O$283^0.75+(30*(C286/1000))+(1.9*((N315*1000)/4750)/1000))))/0.9,0)</f>
        <v>101</v>
      </c>
      <c r="P286" s="281">
        <f>ROUND((6.25*(1/0.8*(0.2*$P$283^0.75+(30*(C286/1000))+(1.9*((O315*1000)/4750)/1000))))/0.9,0)</f>
        <v>104</v>
      </c>
      <c r="Q286" s="281">
        <f>ROUND((6.25*(1/0.8*(0.2*$Q$283^0.75+(30*(C286/1000))+(1.9*((P315*1000)/4750)/1000))))/0.9,0)</f>
        <v>106</v>
      </c>
      <c r="R286" s="282">
        <f>ROUND((6.25*(1/0.8*(0.2*$R$283^0.75+(30*(C286/1000))+(1.9*((Q315*1000)/4750)/1000))))/0.9,0)</f>
        <v>109</v>
      </c>
      <c r="S286" s="270">
        <f>C286</f>
        <v>150</v>
      </c>
      <c r="T286" s="270"/>
      <c r="U286" s="265"/>
      <c r="V286" s="265"/>
      <c r="W286" s="265"/>
    </row>
    <row r="287" spans="1:25">
      <c r="A287" s="265"/>
      <c r="B287" s="265">
        <v>4</v>
      </c>
      <c r="C287" s="276">
        <v>200</v>
      </c>
      <c r="D287" s="280">
        <f>ROUND((6.25*(1/0.8*(0.2*$D$283^0.75+(30*(C287/1000))+(1.9*((C316*1000)/4750)/1000))))/0.9,0)</f>
        <v>81</v>
      </c>
      <c r="E287" s="281">
        <f>ROUND((6.25*(1/0.8*(0.2*$E$283^0.75+(30*(C287/1000))+(1.9*((D316*1000)/4750)/1000))))/0.9,0)</f>
        <v>85</v>
      </c>
      <c r="F287" s="281">
        <f>ROUND((6.25*(1/0.8*(0.2*$F$283^0.75+(30*(C287/1000))+(1.9*((E316*1000)/4750)/1000))))/0.9,0)</f>
        <v>88</v>
      </c>
      <c r="G287" s="281">
        <f>ROUND((6.25*(1/0.8*(0.2*$G$283^0.75+(30*(C287/1000))+(1.9*((F316*1000)/4750)/1000))))/0.9,0)</f>
        <v>91</v>
      </c>
      <c r="H287" s="281">
        <f>ROUND((6.25*(1/0.8*(0.2*$H$283^0.75+(30*(C287/1000))+(1.9*((G316*1000)/4750)/1000))))/0.9,0)</f>
        <v>95</v>
      </c>
      <c r="I287" s="281">
        <f>ROUND((6.25*(1/0.8*(0.2*$I$283^0.75+(30*(C287/1000))+(1.9*((H316*1000)/4750)/1000))))/0.9,0)</f>
        <v>98</v>
      </c>
      <c r="J287" s="281">
        <f>ROUND((6.25*(1/0.8*(0.2*$J$283^0.75+(30*(C287/1000))+(1.9*((I316*1000)/4750)/1000))))/0.9,0)</f>
        <v>101</v>
      </c>
      <c r="K287" s="281">
        <f>ROUND((6.25*(1/0.8*(0.2*$K$283^0.75+(30*(C287/1000))+(1.9*((J316*1000)/4750)/1000))))/0.9,0)</f>
        <v>104</v>
      </c>
      <c r="L287" s="281">
        <f>ROUND((6.25*(1/0.8*(0.2*$L$283^0.75+(30*(C287/1000))+(1.9*((K316*1000)/4750)/1000))))/0.9,0)</f>
        <v>106</v>
      </c>
      <c r="M287" s="281">
        <f>ROUND((6.25*(1/0.8*(0.2*$M$283^0.75+(30*(C287/1000))+(1.9*((L316*1000)/4750)/1000))))/0.9,0)</f>
        <v>109</v>
      </c>
      <c r="N287" s="281">
        <f>ROUND((6.25*(1/0.8*(0.2*$N$283^0.75+(30*(C287/1000))+(1.9*((M316*1000)/4750)/1000))))/0.9,0)</f>
        <v>112</v>
      </c>
      <c r="O287" s="281">
        <f>ROUND((6.25*(1/0.8*(0.2*$O$283^0.75+(30*(C287/1000))+(1.9*((N316*1000)/4750)/1000))))/0.9,0)</f>
        <v>115</v>
      </c>
      <c r="P287" s="281">
        <f>ROUND((6.25*(1/0.8*(0.2*$P$283^0.75+(30*(C287/1000))+(1.9*((O316*1000)/4750)/1000))))/0.9,0)</f>
        <v>117</v>
      </c>
      <c r="Q287" s="281">
        <f>ROUND((6.25*(1/0.8*(0.2*$Q$283^0.75+(30*(C287/1000))+(1.9*((P316*1000)/4750)/1000))))/0.9,0)</f>
        <v>120</v>
      </c>
      <c r="R287" s="282">
        <f>ROUND((6.25*(1/0.8*(0.2*$R$283^0.75+(30*(C287/1000))+(1.9*((Q316*1000)/4750)/1000))))/0.9,0)</f>
        <v>123</v>
      </c>
      <c r="S287" s="270">
        <f>C287</f>
        <v>200</v>
      </c>
      <c r="T287" s="270"/>
      <c r="U287" s="265"/>
      <c r="V287" s="265"/>
      <c r="W287" s="265"/>
    </row>
    <row r="288" spans="1:25">
      <c r="A288" s="265"/>
      <c r="B288" s="265">
        <v>5</v>
      </c>
      <c r="C288" s="276">
        <v>250</v>
      </c>
      <c r="D288" s="280">
        <f>ROUND((6.25*(1/0.8*(0.2*$D$283^0.75+(30*(C288/1000))+(1.9*((C317*1000)/4750)/1000))))/0.9,0)</f>
        <v>95</v>
      </c>
      <c r="E288" s="281">
        <f>ROUND((6.25*(1/0.8*(0.2*$E$283^0.75+(30*(C288/1000))+(1.9*((D317*1000)/4750)/1000))))/0.9,0)</f>
        <v>98</v>
      </c>
      <c r="F288" s="281">
        <f>ROUND((6.25*(1/0.8*(0.2*$F$283^0.75+(30*(C288/1000))+(1.9*((E317*1000)/4750)/1000))))/0.9,0)</f>
        <v>102</v>
      </c>
      <c r="G288" s="281">
        <f>ROUND((6.25*(1/0.8*(0.2*$G$283^0.75+(30*(C288/1000))+(1.9*((F317*1000)/4750)/1000))))/0.9,0)</f>
        <v>105</v>
      </c>
      <c r="H288" s="281">
        <f>ROUND((6.25*(1/0.8*(0.2*$H$283^0.75+(30*(C288/1000))+(1.9*((G317*1000)/4750)/1000))))/0.9,0)</f>
        <v>108</v>
      </c>
      <c r="I288" s="281">
        <f>ROUND((6.25*(1/0.8*(0.2*$I$283^0.75+(30*(C288/1000))+(1.9*((H317*1000)/4750)/1000))))/0.9,0)</f>
        <v>111</v>
      </c>
      <c r="J288" s="281">
        <f>ROUND((6.25*(1/0.8*(0.2*$J$283^0.75+(30*(C288/1000))+(1.9*((I317*1000)/4750)/1000))))/0.9,0)</f>
        <v>114</v>
      </c>
      <c r="K288" s="281">
        <f>ROUND((6.25*(1/0.8*(0.2*$K$283^0.75+(30*(C288/1000))+(1.9*((J317*1000)/4750)/1000))))/0.9,0)</f>
        <v>117</v>
      </c>
      <c r="L288" s="281">
        <f>ROUND((6.25*(1/0.8*(0.2*$L$283^0.75+(30*(C288/1000))+(1.9*((K317*1000)/4750)/1000))))/0.9,0)</f>
        <v>120</v>
      </c>
      <c r="M288" s="281">
        <f>ROUND((6.25*(1/0.8*(0.2*$M$283^0.75+(30*(C288/1000))+(1.9*((L317*1000)/4750)/1000))))/0.9,0)</f>
        <v>123</v>
      </c>
      <c r="N288" s="281">
        <f>ROUND((6.25*(1/0.8*(0.2*$N$283^0.75+(30*(C288/1000))+(1.9*((M317*1000)/4750)/1000))))/0.9,0)</f>
        <v>126</v>
      </c>
      <c r="O288" s="281">
        <f>ROUND((6.25*(1/0.8*(0.2*$O$283^0.75+(30*(C288/1000))+(1.9*((N317*1000)/4750)/1000))))/0.9,0)</f>
        <v>129</v>
      </c>
      <c r="P288" s="281">
        <f>ROUND((6.25*(1/0.8*(0.2*$P$283^0.75+(30*(C288/1000))+(1.9*((O317*1000)/4750)/1000))))/0.9,0)</f>
        <v>131</v>
      </c>
      <c r="Q288" s="281">
        <f>ROUND((6.25*(1/0.8*(0.2*$Q$283^0.75+(30*(C288/1000))+(1.9*((P317*1000)/4750)/1000))))/0.9,0)</f>
        <v>134</v>
      </c>
      <c r="R288" s="282">
        <f>ROUND((6.25*(1/0.8*(0.2*$R$283^0.75+(30*(C288/1000))+(1.9*((Q317*1000)/4750)/1000))))/0.9,0)</f>
        <v>137</v>
      </c>
      <c r="S288" s="270">
        <f>C288</f>
        <v>250</v>
      </c>
      <c r="T288" s="270"/>
      <c r="U288" s="265"/>
      <c r="V288" s="265"/>
      <c r="W288" s="265"/>
    </row>
    <row r="289" spans="1:25">
      <c r="A289" s="265"/>
      <c r="B289" s="265">
        <v>6</v>
      </c>
      <c r="C289" s="276">
        <v>300</v>
      </c>
      <c r="D289" s="280">
        <f>ROUND((6.25*(1/0.8*(0.2*$D$283^0.75+(30*(C289/1000))+(1.9*((C318*1000)/4750)/1000))))/0.9,0)</f>
        <v>108</v>
      </c>
      <c r="E289" s="281">
        <f>ROUND((6.25*(1/0.8*(0.2*$E$283^0.75+(30*(C289/1000))+(1.9*((D318*1000)/4750)/1000))))/0.9,0)</f>
        <v>112</v>
      </c>
      <c r="F289" s="281">
        <f>ROUND((6.25*(1/0.8*(0.2*$F$283^0.75+(30*(C289/1000))+(1.9*((E318*1000)/4750)/1000))))/0.9,0)</f>
        <v>115</v>
      </c>
      <c r="G289" s="281">
        <f>ROUND((6.25*(1/0.8*(0.2*$G$283^0.75+(30*(C289/1000))+(1.9*((F318*1000)/4750)/1000))))/0.9,0)</f>
        <v>119</v>
      </c>
      <c r="H289" s="281">
        <f>ROUND((6.25*(1/0.8*(0.2*$H$283^0.75+(30*(C289/1000))+(1.9*((G318*1000)/4750)/1000))))/0.9,0)</f>
        <v>122</v>
      </c>
      <c r="I289" s="281">
        <f>ROUND((6.25*(1/0.8*(0.2*$I$283^0.75+(30*(C289/1000))+(1.9*((H318*1000)/4750)/1000))))/0.9,0)</f>
        <v>125</v>
      </c>
      <c r="J289" s="281">
        <f>ROUND((6.25*(1/0.8*(0.2*$J$283^0.75+(30*(C289/1000))+(1.9*((I318*1000)/4750)/1000))))/0.9,0)</f>
        <v>128</v>
      </c>
      <c r="K289" s="281">
        <f>ROUND((6.25*(1/0.8*(0.2*$K$283^0.75+(30*(C289/1000))+(1.9*((J318*1000)/4750)/1000))))/0.9,0)</f>
        <v>131</v>
      </c>
      <c r="L289" s="281">
        <f>ROUND((6.25*(1/0.8*(0.2*$L$283^0.75+(30*(C289/1000))+(1.9*((K318*1000)/4750)/1000))))/0.9,0)</f>
        <v>134</v>
      </c>
      <c r="M289" s="281">
        <f>ROUND((6.25*(1/0.8*(0.2*$M$283^0.75+(30*(C289/1000))+(1.9*((L318*1000)/4750)/1000))))/0.9,0)</f>
        <v>137</v>
      </c>
      <c r="N289" s="281">
        <f>ROUND((6.25*(1/0.8*(0.2*$N$283^0.75+(30*(C289/1000))+(1.9*((M318*1000)/4750)/1000))))/0.9,0)</f>
        <v>140</v>
      </c>
      <c r="O289" s="281">
        <f>ROUND((6.25*(1/0.8*(0.2*$O$283^0.75+(30*(C289/1000))+(1.9*((N318*1000)/4750)/1000))))/0.9,0)</f>
        <v>142</v>
      </c>
      <c r="P289" s="281">
        <f>ROUND((6.25*(1/0.8*(0.2*$P$283^0.75+(30*(C289/1000))+(1.9*((O318*1000)/4750)/1000))))/0.9,0)</f>
        <v>145</v>
      </c>
      <c r="Q289" s="281">
        <f>ROUND((6.25*(1/0.8*(0.2*$Q$283^0.75+(30*(C289/1000))+(1.9*((P318*1000)/4750)/1000))))/0.9,0)</f>
        <v>148</v>
      </c>
      <c r="R289" s="282">
        <f>ROUND((6.25*(1/0.8*(0.2*$R$283^0.75+(30*(C289/1000))+(1.9*((Q318*1000)/4750)/1000))))/0.9,0)</f>
        <v>150</v>
      </c>
      <c r="S289" s="270">
        <f>C289</f>
        <v>300</v>
      </c>
      <c r="T289" s="270"/>
      <c r="U289" s="265"/>
      <c r="V289" s="265"/>
      <c r="W289" s="265"/>
    </row>
    <row r="290" spans="1:25">
      <c r="A290" s="265"/>
      <c r="B290" s="265">
        <v>7</v>
      </c>
      <c r="C290" s="276">
        <v>350</v>
      </c>
      <c r="D290" s="280">
        <f>ROUND((6.25*(1/0.8*(0.2*$D$283^0.75+(30*(C290/1000))+(1.9*((C319*1000)/4750)/1000))))/0.9,0)</f>
        <v>122</v>
      </c>
      <c r="E290" s="281">
        <f>ROUND((6.25*(1/0.8*(0.2*$E$283^0.75+(30*(C290/1000))+(1.9*((D319*1000)/4750)/1000))))/0.9,0)</f>
        <v>126</v>
      </c>
      <c r="F290" s="281">
        <f>ROUND((6.25*(1/0.8*(0.2*$F$283^0.75+(30*(C290/1000))+(1.9*((E319*1000)/4750)/1000))))/0.9,0)</f>
        <v>129</v>
      </c>
      <c r="G290" s="281">
        <f>ROUND((6.25*(1/0.8*(0.2*$G$283^0.75+(30*(C290/1000))+(1.9*((F319*1000)/4750)/1000))))/0.9,0)</f>
        <v>132</v>
      </c>
      <c r="H290" s="281">
        <f>ROUND((6.25*(1/0.8*(0.2*$H$283^0.75+(30*(C290/1000))+(1.9*((G319*1000)/4750)/1000))))/0.9,0)</f>
        <v>136</v>
      </c>
      <c r="I290" s="281">
        <f>ROUND((6.25*(1/0.8*(0.2*$I$283^0.75+(30*(C290/1000))+(1.9*((H319*1000)/4750)/1000))))/0.9,0)</f>
        <v>139</v>
      </c>
      <c r="J290" s="281">
        <f>ROUND((6.25*(1/0.8*(0.2*$J$283^0.75+(30*(C290/1000))+(1.9*((I319*1000)/4750)/1000))))/0.9,0)</f>
        <v>142</v>
      </c>
      <c r="K290" s="281">
        <f>ROUND((6.25*(1/0.8*(0.2*$K$283^0.75+(30*(C290/1000))+(1.9*((J319*1000)/4750)/1000))))/0.9,0)</f>
        <v>145</v>
      </c>
      <c r="L290" s="281">
        <f>ROUND((6.25*(1/0.8*(0.2*$L$283^0.75+(30*(C290/1000))+(1.9*((K319*1000)/4750)/1000))))/0.9,0)</f>
        <v>148</v>
      </c>
      <c r="M290" s="281">
        <f>ROUND((6.25*(1/0.8*(0.2*$M$283^0.75+(30*(C290/1000))+(1.9*((L319*1000)/4750)/1000))))/0.9,0)</f>
        <v>151</v>
      </c>
      <c r="N290" s="281">
        <f>ROUND((6.25*(1/0.8*(0.2*$N$283^0.75+(30*(C290/1000))+(1.9*((M319*1000)/4750)/1000))))/0.9,0)</f>
        <v>153</v>
      </c>
      <c r="O290" s="281">
        <f>ROUND((6.25*(1/0.8*(0.2*$O$283^0.75+(30*(C290/1000))+(1.9*((N319*1000)/4750)/1000))))/0.9,0)</f>
        <v>156</v>
      </c>
      <c r="P290" s="281">
        <f>ROUND((6.25*(1/0.8*(0.2*$P$283^0.75+(30*(C290/1000))+(1.9*((O319*1000)/4750)/1000))))/0.9,0)</f>
        <v>159</v>
      </c>
      <c r="Q290" s="281">
        <f>ROUND((6.25*(1/0.8*(0.2*$Q$283^0.75+(30*(C290/1000))+(1.9*((P319*1000)/4750)/1000))))/0.9,0)</f>
        <v>162</v>
      </c>
      <c r="R290" s="282">
        <f>ROUND((6.25*(1/0.8*(0.2*$R$283^0.75+(30*(C290/1000))+(1.9*((Q319*1000)/4750)/1000))))/0.9,0)</f>
        <v>164</v>
      </c>
      <c r="S290" s="270">
        <f>C290</f>
        <v>350</v>
      </c>
      <c r="T290" s="270"/>
      <c r="U290" s="265"/>
      <c r="V290" s="265"/>
      <c r="W290" s="265"/>
    </row>
    <row r="291" spans="1:25">
      <c r="A291" s="265"/>
      <c r="B291" s="265">
        <v>8</v>
      </c>
      <c r="C291" s="276">
        <v>400</v>
      </c>
      <c r="D291" s="280">
        <f>ROUND((6.25*(1/0.8*(0.2*$D$283^0.75+(30*(C291/1000))+(1.9*((C320*1000)/4750)/1000))))/0.9,0)</f>
        <v>136</v>
      </c>
      <c r="E291" s="281">
        <f>ROUND((6.25*(1/0.8*(0.2*$E$283^0.75+(30*(C291/1000))+(1.9*((D320*1000)/4750)/1000))))/0.9,0)</f>
        <v>139</v>
      </c>
      <c r="F291" s="281">
        <f>ROUND((6.25*(1/0.8*(0.2*$F$283^0.75+(30*(C291/1000))+(1.9*((E320*1000)/4750)/1000))))/0.9,0)</f>
        <v>143</v>
      </c>
      <c r="G291" s="281">
        <f>ROUND((6.25*(1/0.8*(0.2*$G$283^0.75+(30*(C291/1000))+(1.9*((F320*1000)/4750)/1000))))/0.9,0)</f>
        <v>146</v>
      </c>
      <c r="H291" s="281">
        <f>ROUND((6.25*(1/0.8*(0.2*$H$283^0.75+(30*(C291/1000))+(1.9*((G320*1000)/4750)/1000))))/0.9,0)</f>
        <v>149</v>
      </c>
      <c r="I291" s="281">
        <f>ROUND((6.25*(1/0.8*(0.2*$I$283^0.75+(30*(C291/1000))+(1.9*((H320*1000)/4750)/1000))))/0.9,0)</f>
        <v>152</v>
      </c>
      <c r="J291" s="281">
        <f>ROUND((6.25*(1/0.8*(0.2*$J$283^0.75+(30*(C291/1000))+(1.9*((I320*1000)/4750)/1000))))/0.9,0)</f>
        <v>156</v>
      </c>
      <c r="K291" s="281">
        <f>ROUND((6.25*(1/0.8*(0.2*$K$283^0.75+(30*(C291/1000))+(1.9*((J320*1000)/4750)/1000))))/0.9,0)</f>
        <v>159</v>
      </c>
      <c r="L291" s="281">
        <f>ROUND((6.25*(1/0.8*(0.2*$L$283^0.75+(30*(C291/1000))+(1.9*((K320*1000)/4750)/1000))))/0.9,0)</f>
        <v>162</v>
      </c>
      <c r="M291" s="281">
        <f>ROUND((6.25*(1/0.8*(0.2*$M$283^0.75+(30*(C291/1000))+(1.9*((L320*1000)/4750)/1000))))/0.9,0)</f>
        <v>164</v>
      </c>
      <c r="N291" s="281">
        <f>ROUND((6.25*(1/0.8*(0.2*$N$283^0.75+(30*(C291/1000))+(1.9*((M320*1000)/4750)/1000))))/0.9,0)</f>
        <v>167</v>
      </c>
      <c r="O291" s="281">
        <f>ROUND((6.25*(1/0.8*(0.2*$O$283^0.75+(30*(C291/1000))+(1.9*((N320*1000)/4750)/1000))))/0.9,0)</f>
        <v>170</v>
      </c>
      <c r="P291" s="281">
        <f>ROUND((6.25*(1/0.8*(0.2*$P$283^0.75+(30*(C291/1000))+(1.9*((O320*1000)/4750)/1000))))/0.9,0)</f>
        <v>173</v>
      </c>
      <c r="Q291" s="281">
        <f>ROUND((6.25*(1/0.8*(0.2*$Q$283^0.75+(30*(C291/1000))+(1.9*((P320*1000)/4750)/1000))))/0.9,0)</f>
        <v>176</v>
      </c>
      <c r="R291" s="282">
        <f>ROUND((6.25*(1/0.8*(0.2*$R$283^0.75+(30*(C291/1000))+(1.9*((Q320*1000)/4750)/1000))))/0.9,0)</f>
        <v>178</v>
      </c>
      <c r="S291" s="270">
        <f>C291</f>
        <v>400</v>
      </c>
      <c r="T291" s="270"/>
      <c r="U291" s="265"/>
      <c r="V291" s="265"/>
      <c r="W291" s="265"/>
    </row>
    <row r="292" spans="1:25">
      <c r="A292" s="265"/>
      <c r="B292" s="265">
        <v>9</v>
      </c>
      <c r="C292" s="276">
        <v>450</v>
      </c>
      <c r="D292" s="280">
        <f>ROUND((6.25*(1/0.8*(0.2*$D$283^0.75+(30*(C292/1000))+(1.9*((C321*1000)/4750)/1000))))/0.9,0)</f>
        <v>149</v>
      </c>
      <c r="E292" s="281">
        <f>ROUND((6.25*(1/0.8*(0.2*$E$283^0.75+(30*(C292/1000))+(1.9*((D321*1000)/4750)/1000))))/0.9,0)</f>
        <v>153</v>
      </c>
      <c r="F292" s="281">
        <f>ROUND((6.25*(1/0.8*(0.2*$F$283^0.75+(30*(C292/1000))+(1.9*((E321*1000)/4750)/1000))))/0.9,0)</f>
        <v>156</v>
      </c>
      <c r="G292" s="281">
        <f>ROUND((6.25*(1/0.8*(0.2*$G$283^0.75+(30*(C292/1000))+(1.9*((F321*1000)/4750)/1000))))/0.9,0)</f>
        <v>160</v>
      </c>
      <c r="H292" s="281">
        <f>ROUND((6.25*(1/0.8*(0.2*$H$283^0.75+(30*(C292/1000))+(1.9*((G321*1000)/4750)/1000))))/0.9,0)</f>
        <v>163</v>
      </c>
      <c r="I292" s="281">
        <f>ROUND((6.25*(1/0.8*(0.2*$I$283^0.75+(30*(C292/1000))+(1.9*((H321*1000)/4750)/1000))))/0.9,0)</f>
        <v>166</v>
      </c>
      <c r="J292" s="281">
        <f>ROUND((6.25*(1/0.8*(0.2*$J$283^0.75+(30*(C292/1000))+(1.9*((I321*1000)/4750)/1000))))/0.9,0)</f>
        <v>169</v>
      </c>
      <c r="K292" s="281">
        <f>ROUND((6.25*(1/0.8*(0.2*$K$283^0.75+(30*(C292/1000))+(1.9*((J321*1000)/4750)/1000))))/0.9,0)</f>
        <v>172</v>
      </c>
      <c r="L292" s="281">
        <f>ROUND((6.25*(1/0.8*(0.2*$L$283^0.75+(30*(C292/1000))+(1.9*((K321*1000)/4750)/1000))))/0.9,0)</f>
        <v>175</v>
      </c>
      <c r="M292" s="281">
        <f>ROUND((6.25*(1/0.8*(0.2*$M$283^0.75+(30*(C292/1000))+(1.9*((L321*1000)/4750)/1000))))/0.9,0)</f>
        <v>178</v>
      </c>
      <c r="N292" s="281">
        <f>ROUND((6.25*(1/0.8*(0.2*$N$283^0.75+(30*(C292/1000))+(1.9*((M321*1000)/4750)/1000))))/0.9,0)</f>
        <v>181</v>
      </c>
      <c r="O292" s="281">
        <f>ROUND((6.25*(1/0.8*(0.2*$O$283^0.75+(30*(C292/1000))+(1.9*((N321*1000)/4750)/1000))))/0.9,0)</f>
        <v>184</v>
      </c>
      <c r="P292" s="281">
        <f>ROUND((6.25*(1/0.8*(0.2*$P$283^0.75+(30*(C292/1000))+(1.9*((O321*1000)/4750)/1000))))/0.9,0)</f>
        <v>187</v>
      </c>
      <c r="Q292" s="281">
        <f>ROUND((6.25*(1/0.8*(0.2*$Q$283^0.75+(30*(C292/1000))+(1.9*((P321*1000)/4750)/1000))))/0.9,0)</f>
        <v>189</v>
      </c>
      <c r="R292" s="282">
        <f>ROUND((6.25*(1/0.8*(0.2*$R$283^0.75+(30*(C292/1000))+(1.9*((Q321*1000)/4750)/1000))))/0.9,0)</f>
        <v>192</v>
      </c>
      <c r="S292" s="270">
        <f>C292</f>
        <v>450</v>
      </c>
      <c r="T292" s="270"/>
      <c r="U292" s="265"/>
      <c r="V292" s="265"/>
      <c r="W292" s="265"/>
    </row>
    <row r="293" spans="1:25">
      <c r="A293" s="265"/>
      <c r="B293" s="265">
        <v>10</v>
      </c>
      <c r="C293" s="276">
        <v>500</v>
      </c>
      <c r="D293" s="280">
        <f>ROUND((6.25*(1/0.8*(0.2*$D$283^0.75+(30*(C293/1000))+(1.9*((C322*1000)/4750)/1000))))/0.9,0)</f>
        <v>163</v>
      </c>
      <c r="E293" s="281">
        <f>ROUND((6.25*(1/0.8*(0.2*$E$283^0.75+(30*(C293/1000))+(1.9*((D322*1000)/4750)/1000))))/0.9,0)</f>
        <v>167</v>
      </c>
      <c r="F293" s="281">
        <f>ROUND((6.25*(1/0.8*(0.2*$F$283^0.75+(30*(C293/1000))+(1.9*((E322*1000)/4750)/1000))))/0.9,0)</f>
        <v>170</v>
      </c>
      <c r="G293" s="281">
        <f>ROUND((6.25*(1/0.8*(0.2*$G$283^0.75+(30*(C293/1000))+(1.9*((F322*1000)/4750)/1000))))/0.9,0)</f>
        <v>173</v>
      </c>
      <c r="H293" s="281">
        <f>ROUND((6.25*(1/0.8*(0.2*$H$283^0.75+(30*(C293/1000))+(1.9*((G322*1000)/4750)/1000))))/0.9,0)</f>
        <v>177</v>
      </c>
      <c r="I293" s="281">
        <f>ROUND((6.25*(1/0.8*(0.2*$I$283^0.75+(30*(C293/1000))+(1.9*((H322*1000)/4750)/1000))))/0.9,0)</f>
        <v>180</v>
      </c>
      <c r="J293" s="281">
        <f>ROUND((6.25*(1/0.8*(0.2*$J$283^0.75+(30*(C293/1000))+(1.9*((I322*1000)/4750)/1000))))/0.9,0)</f>
        <v>183</v>
      </c>
      <c r="K293" s="281">
        <f>ROUND((6.25*(1/0.8*(0.2*$K$283^0.75+(30*(C293/1000))+(1.9*((J322*1000)/4750)/1000))))/0.9,0)</f>
        <v>186</v>
      </c>
      <c r="L293" s="281">
        <f>ROUND((6.25*(1/0.8*(0.2*$L$283^0.75+(30*(C293/1000))+(1.9*((K322*1000)/4750)/1000))))/0.9,0)</f>
        <v>189</v>
      </c>
      <c r="M293" s="281">
        <f>ROUND((6.25*(1/0.8*(0.2*$M$283^0.75+(30*(C293/1000))+(1.9*((L322*1000)/4750)/1000))))/0.9,0)</f>
        <v>192</v>
      </c>
      <c r="N293" s="281">
        <f>ROUND((6.25*(1/0.8*(0.2*$N$283^0.75+(30*(C293/1000))+(1.9*((M322*1000)/4750)/1000))))/0.9,0)</f>
        <v>195</v>
      </c>
      <c r="O293" s="281">
        <f>ROUND((6.25*(1/0.8*(0.2*$O$283^0.75+(30*(C293/1000))+(1.9*((N322*1000)/4750)/1000))))/0.9,0)</f>
        <v>198</v>
      </c>
      <c r="P293" s="281">
        <f>ROUND((6.25*(1/0.8*(0.2*$P$283^0.75+(30*(C293/1000))+(1.9*((O322*1000)/4750)/1000))))/0.9,0)</f>
        <v>201</v>
      </c>
      <c r="Q293" s="281">
        <f>ROUND((6.25*(1/0.8*(0.2*$Q$283^0.75+(30*(C293/1000))+(1.9*((P322*1000)/4750)/1000))))/0.9,0)</f>
        <v>203</v>
      </c>
      <c r="R293" s="282">
        <f>ROUND((6.25*(1/0.8*(0.2*$R$283^0.75+(30*(C293/1000))+(1.9*((Q322*1000)/4750)/1000))))/0.9,0)</f>
        <v>206</v>
      </c>
      <c r="S293" s="270">
        <f>C293</f>
        <v>500</v>
      </c>
      <c r="T293" s="270"/>
      <c r="U293" s="265"/>
      <c r="V293" s="265"/>
      <c r="W293" s="265"/>
    </row>
    <row r="294" spans="1:25">
      <c r="A294" s="265"/>
      <c r="B294" s="265">
        <v>11</v>
      </c>
      <c r="C294" s="276">
        <v>550</v>
      </c>
      <c r="D294" s="280">
        <f>ROUND((6.25*(1/0.8*(0.2*$D$283^0.75+(30*(C294/1000))+(1.9*((C323*1000)/4750)/1000))))/0.9,0)</f>
        <v>177</v>
      </c>
      <c r="E294" s="281">
        <f>ROUND((6.25*(1/0.8*(0.2*$E$283^0.75+(30*(C294/1000))+(1.9*((D323*1000)/4750)/1000))))/0.9,0)</f>
        <v>180</v>
      </c>
      <c r="F294" s="281">
        <f>ROUND((6.25*(1/0.8*(0.2*$F$283^0.75+(30*(C294/1000))+(1.9*((E323*1000)/4750)/1000))))/0.9,0)</f>
        <v>184</v>
      </c>
      <c r="G294" s="281">
        <f>ROUND((6.25*(1/0.8*(0.2*$G$283^0.75+(30*(C294/1000))+(1.9*((F323*1000)/4750)/1000))))/0.9,0)</f>
        <v>187</v>
      </c>
      <c r="H294" s="281">
        <f>ROUND((6.25*(1/0.8*(0.2*$H$283^0.75+(30*(C294/1000))+(1.9*((G323*1000)/4750)/1000))))/0.9,0)</f>
        <v>191</v>
      </c>
      <c r="I294" s="281">
        <f>ROUND((6.25*(1/0.8*(0.2*$I$283^0.75+(30*(C294/1000))+(1.9*((H323*1000)/4750)/1000))))/0.9,0)</f>
        <v>194</v>
      </c>
      <c r="J294" s="281">
        <f>ROUND((6.25*(1/0.8*(0.2*$J$283^0.75+(30*(C294/1000))+(1.9*((I323*1000)/4750)/1000))))/0.9,0)</f>
        <v>197</v>
      </c>
      <c r="K294" s="281">
        <f>ROUND((6.25*(1/0.8*(0.2*$K$283^0.75+(30*(C294/1000))+(1.9*((J323*1000)/4750)/1000))))/0.9,0)</f>
        <v>200</v>
      </c>
      <c r="L294" s="281">
        <f>ROUND((6.25*(1/0.8*(0.2*$L$283^0.75+(30*(C294/1000))+(1.9*((K323*1000)/4750)/1000))))/0.9,0)</f>
        <v>203</v>
      </c>
      <c r="M294" s="281">
        <f>ROUND((6.25*(1/0.8*(0.2*$M$283^0.75+(30*(C294/1000))+(1.9*((L323*1000)/4750)/1000))))/0.9,0)</f>
        <v>206</v>
      </c>
      <c r="N294" s="281">
        <f>ROUND((6.25*(1/0.8*(0.2*$N$283^0.75+(30*(C294/1000))+(1.9*((M323*1000)/4750)/1000))))/0.9,0)</f>
        <v>209</v>
      </c>
      <c r="O294" s="281">
        <f>ROUND((6.25*(1/0.8*(0.2*$O$283^0.75+(30*(C294/1000))+(1.9*((N323*1000)/4750)/1000))))/0.9,0)</f>
        <v>212</v>
      </c>
      <c r="P294" s="281">
        <f>ROUND((6.25*(1/0.8*(0.2*$P$283^0.75+(30*(C294/1000))+(1.9*((O323*1000)/4750)/1000))))/0.9,0)</f>
        <v>215</v>
      </c>
      <c r="Q294" s="281">
        <f>ROUND((6.25*(1/0.8*(0.2*$Q$283^0.75+(30*(C294/1000))+(1.9*((P323*1000)/4750)/1000))))/0.9,0)</f>
        <v>217</v>
      </c>
      <c r="R294" s="282">
        <f>ROUND((6.25*(1/0.8*(0.2*$R$283^0.75+(30*(C294/1000))+(1.9*((Q323*1000)/4750)/1000))))/0.9,0)</f>
        <v>220</v>
      </c>
      <c r="S294" s="270">
        <f>C294</f>
        <v>550</v>
      </c>
      <c r="T294" s="270"/>
      <c r="U294" s="265"/>
      <c r="V294" s="265"/>
      <c r="W294" s="265"/>
    </row>
    <row r="295" spans="1:25">
      <c r="A295" s="265"/>
      <c r="B295" s="265">
        <v>12</v>
      </c>
      <c r="C295" s="276">
        <v>600</v>
      </c>
      <c r="D295" s="280">
        <f>ROUND((6.25*(1/0.8*(0.2*$D$283^0.75+(30*(C295/1000))+(1.9*((C324*1000)/4750)/1000))))/0.9,0)</f>
        <v>190</v>
      </c>
      <c r="E295" s="281">
        <f>ROUND((6.25*(1/0.8*(0.2*$E$283^0.75+(30*(C295/1000))+(1.9*((D324*1000)/4750)/1000))))/0.9,0)</f>
        <v>194</v>
      </c>
      <c r="F295" s="281">
        <f>ROUND((6.25*(1/0.8*(0.2*$F$283^0.75+(30*(C295/1000))+(1.9*((E324*1000)/4750)/1000))))/0.9,0)</f>
        <v>198</v>
      </c>
      <c r="G295" s="281">
        <f>ROUND((6.25*(1/0.8*(0.2*$G$283^0.75+(30*(C295/1000))+(1.9*((F324*1000)/4750)/1000))))/0.9,0)</f>
        <v>201</v>
      </c>
      <c r="H295" s="281">
        <f>ROUND((6.25*(1/0.8*(0.2*$H$283^0.75+(30*(C295/1000))+(1.9*((G324*1000)/4750)/1000))))/0.9,0)</f>
        <v>204</v>
      </c>
      <c r="I295" s="281">
        <f>ROUND((6.25*(1/0.8*(0.2*$I$283^0.75+(30*(C295/1000))+(1.9*((H324*1000)/4750)/1000))))/0.9,0)</f>
        <v>208</v>
      </c>
      <c r="J295" s="281">
        <f>ROUND((6.25*(1/0.8*(0.2*$J$283^0.75+(30*(C295/1000))+(1.9*((I324*1000)/4750)/1000))))/0.9,0)</f>
        <v>211</v>
      </c>
      <c r="K295" s="281">
        <f>ROUND((6.25*(1/0.8*(0.2*$K$283^0.75+(30*(C295/1000))+(1.9*((J324*1000)/4750)/1000))))/0.9,0)</f>
        <v>214</v>
      </c>
      <c r="L295" s="281">
        <f>ROUND((6.25*(1/0.8*(0.2*$L$283^0.75+(30*(C295/1000))+(1.9*((K324*1000)/4750)/1000))))/0.9,0)</f>
        <v>217</v>
      </c>
      <c r="M295" s="281">
        <f>ROUND((6.25*(1/0.8*(0.2*$M$283^0.75+(30*(C295/1000))+(1.9*((L324*1000)/4750)/1000))))/0.9,0)</f>
        <v>220</v>
      </c>
      <c r="N295" s="281">
        <f>ROUND((6.25*(1/0.8*(0.2*$N$283^0.75+(30*(C295/1000))+(1.9*((M324*1000)/4750)/1000))))/0.9,0)</f>
        <v>223</v>
      </c>
      <c r="O295" s="281">
        <f>ROUND((6.25*(1/0.8*(0.2*$O$283^0.75+(30*(C295/1000))+(1.9*((N324*1000)/4750)/1000))))/0.9,0)</f>
        <v>226</v>
      </c>
      <c r="P295" s="281">
        <f>ROUND((6.25*(1/0.8*(0.2*$P$283^0.75+(30*(C295/1000))+(1.9*((O324*1000)/4750)/1000))))/0.9,0)</f>
        <v>229</v>
      </c>
      <c r="Q295" s="281">
        <f>ROUND((6.25*(1/0.8*(0.2*$Q$283^0.75+(30*(C295/1000))+(1.9*((P324*1000)/4750)/1000))))/0.9,0)</f>
        <v>231</v>
      </c>
      <c r="R295" s="282">
        <f>ROUND((6.25*(1/0.8*(0.2*$R$283^0.75+(30*(C295/1000))+(1.9*((Q324*1000)/4750)/1000))))/0.9,0)</f>
        <v>234</v>
      </c>
      <c r="S295" s="270">
        <f>C295</f>
        <v>600</v>
      </c>
      <c r="T295" s="270"/>
      <c r="U295" s="265"/>
      <c r="V295" s="265"/>
      <c r="W295" s="265"/>
    </row>
    <row r="296" spans="1:25">
      <c r="A296" s="265"/>
      <c r="B296" s="265">
        <v>13</v>
      </c>
      <c r="C296" s="276">
        <v>650</v>
      </c>
      <c r="D296" s="280">
        <f>ROUND((6.25*(1/0.8*(0.2*$D$283^0.75+(30*(C296/1000))+(1.9*((C325*1000)/4750)/1000))))/0.9,0)</f>
        <v>204</v>
      </c>
      <c r="E296" s="281">
        <f>ROUND((6.25*(1/0.8*(0.2*$E$283^0.75+(30*(C296/1000))+(1.9*((D325*1000)/4750)/1000))))/0.9,0)</f>
        <v>208</v>
      </c>
      <c r="F296" s="281">
        <f>ROUND((6.25*(1/0.8*(0.2*$F$283^0.75+(30*(C296/1000))+(1.9*((E325*1000)/4750)/1000))))/0.9,0)</f>
        <v>211</v>
      </c>
      <c r="G296" s="281">
        <f>ROUND((6.25*(1/0.8*(0.2*$G$283^0.75+(30*(C296/1000))+(1.9*((F325*1000)/4750)/1000))))/0.9,0)</f>
        <v>215</v>
      </c>
      <c r="H296" s="281">
        <f>ROUND((6.25*(1/0.8*(0.2*$H$283^0.75+(30*(C296/1000))+(1.9*((G325*1000)/4750)/1000))))/0.9,0)</f>
        <v>218</v>
      </c>
      <c r="I296" s="281">
        <f>ROUND((6.25*(1/0.8*(0.2*$I$283^0.75+(30*(C296/1000))+(1.9*((H325*1000)/4750)/1000))))/0.9,0)</f>
        <v>221</v>
      </c>
      <c r="J296" s="281">
        <f>ROUND((6.25*(1/0.8*(0.2*$J$283^0.75+(30*(C296/1000))+(1.9*((I325*1000)/4750)/1000))))/0.9,0)</f>
        <v>225</v>
      </c>
      <c r="K296" s="281">
        <f>ROUND((6.25*(1/0.8*(0.2*$K$283^0.75+(30*(C296/1000))+(1.9*((J325*1000)/4750)/1000))))/0.9,0)</f>
        <v>228</v>
      </c>
      <c r="L296" s="281">
        <f>ROUND((6.25*(1/0.8*(0.2*$L$283^0.75+(30*(C296/1000))+(1.9*((K325*1000)/4750)/1000))))/0.9,0)</f>
        <v>231</v>
      </c>
      <c r="M296" s="281">
        <f>ROUND((6.25*(1/0.8*(0.2*$M$283^0.75+(30*(C296/1000))+(1.9*((L325*1000)/4750)/1000))))/0.9,0)</f>
        <v>234</v>
      </c>
      <c r="N296" s="281">
        <f>ROUND((6.25*(1/0.8*(0.2*$N$283^0.75+(30*(C296/1000))+(1.9*((M325*1000)/4750)/1000))))/0.9,0)</f>
        <v>237</v>
      </c>
      <c r="O296" s="281">
        <f>ROUND((6.25*(1/0.8*(0.2*$O$283^0.75+(30*(C296/1000))+(1.9*((N325*1000)/4750)/1000))))/0.9,0)</f>
        <v>240</v>
      </c>
      <c r="P296" s="281">
        <f>ROUND((6.25*(1/0.8*(0.2*$P$283^0.75+(30*(C296/1000))+(1.9*((O325*1000)/4750)/1000))))/0.9,0)</f>
        <v>242</v>
      </c>
      <c r="Q296" s="281">
        <f>ROUND((6.25*(1/0.8*(0.2*$Q$283^0.75+(30*(C296/1000))+(1.9*((P325*1000)/4750)/1000))))/0.9,0)</f>
        <v>245</v>
      </c>
      <c r="R296" s="282">
        <f>ROUND((6.25*(1/0.8*(0.2*$R$283^0.75+(30*(C296/1000))+(1.9*((Q325*1000)/4750)/1000))))/0.9,0)</f>
        <v>248</v>
      </c>
      <c r="S296" s="270">
        <f>C296</f>
        <v>650</v>
      </c>
      <c r="T296" s="270"/>
      <c r="U296" s="265"/>
      <c r="V296" s="265"/>
      <c r="W296" s="265"/>
    </row>
    <row r="297" spans="1:25">
      <c r="A297" s="265"/>
      <c r="B297" s="265">
        <v>14</v>
      </c>
      <c r="C297" s="276">
        <v>700</v>
      </c>
      <c r="D297" s="280">
        <f>ROUND((6.25*(1/0.8*(0.2*$D$283^0.75+(30*(C297/1000))+(1.9*((C326*1000)/4750)/1000))))/0.9,0)</f>
        <v>218</v>
      </c>
      <c r="E297" s="281">
        <f>ROUND((6.25*(1/0.8*(0.2*$E$283^0.75+(30*(C297/1000))+(1.9*((D326*1000)/4750)/1000))))/0.9,0)</f>
        <v>221</v>
      </c>
      <c r="F297" s="281">
        <f>ROUND((6.25*(1/0.8*(0.2*$F$283^0.75+(30*(C297/1000))+(1.9*((E326*1000)/4750)/1000))))/0.9,0)</f>
        <v>225</v>
      </c>
      <c r="G297" s="281">
        <f>ROUND((6.25*(1/0.8*(0.2*$G$283^0.75+(30*(C297/1000))+(1.9*((F326*1000)/4750)/1000))))/0.9,0)</f>
        <v>229</v>
      </c>
      <c r="H297" s="281">
        <f>ROUND((6.25*(1/0.8*(0.2*$H$283^0.75+(30*(C297/1000))+(1.9*((G326*1000)/4750)/1000))))/0.9,0)</f>
        <v>232</v>
      </c>
      <c r="I297" s="281">
        <f>ROUND((6.25*(1/0.8*(0.2*$I$283^0.75+(30*(C297/1000))+(1.9*((H326*1000)/4750)/1000))))/0.9,0)</f>
        <v>235</v>
      </c>
      <c r="J297" s="281">
        <f>ROUND((6.25*(1/0.8*(0.2*$J$283^0.75+(30*(C297/1000))+(1.9*((I326*1000)/4750)/1000))))/0.9,0)</f>
        <v>238</v>
      </c>
      <c r="K297" s="281">
        <f>ROUND((6.25*(1/0.8*(0.2*$K$283^0.75+(30*(C297/1000))+(1.9*((J326*1000)/4750)/1000))))/0.9,0)</f>
        <v>242</v>
      </c>
      <c r="L297" s="281">
        <f>ROUND((6.25*(1/0.8*(0.2*$L$283^0.75+(30*(C297/1000))+(1.9*((K326*1000)/4750)/1000))))/0.9,0)</f>
        <v>245</v>
      </c>
      <c r="M297" s="281">
        <f>ROUND((6.25*(1/0.8*(0.2*$M$283^0.75+(30*(C297/1000))+(1.9*((L326*1000)/4750)/1000))))/0.9,0)</f>
        <v>248</v>
      </c>
      <c r="N297" s="281">
        <f>ROUND((6.25*(1/0.8*(0.2*$N$283^0.75+(30*(C297/1000))+(1.9*((M326*1000)/4750)/1000))))/0.9,0)</f>
        <v>251</v>
      </c>
      <c r="O297" s="281">
        <f>ROUND((6.25*(1/0.8*(0.2*$O$283^0.75+(30*(C297/1000))+(1.9*((N326*1000)/4750)/1000))))/0.9,0)</f>
        <v>254</v>
      </c>
      <c r="P297" s="281">
        <f>ROUND((6.25*(1/0.8*(0.2*$P$283^0.75+(30*(C297/1000))+(1.9*((O326*1000)/4750)/1000))))/0.9,0)</f>
        <v>256</v>
      </c>
      <c r="Q297" s="281">
        <f>ROUND((6.25*(1/0.8*(0.2*$Q$283^0.75+(30*(C297/1000))+(1.9*((P326*1000)/4750)/1000))))/0.9,0)</f>
        <v>259</v>
      </c>
      <c r="R297" s="282">
        <f>ROUND((6.25*(1/0.8*(0.2*$R$283^0.75+(30*(C297/1000))+(1.9*((Q326*1000)/4750)/1000))))/0.9,0)</f>
        <v>262</v>
      </c>
      <c r="S297" s="270">
        <f>C297</f>
        <v>700</v>
      </c>
      <c r="T297" s="270"/>
      <c r="U297" s="265"/>
      <c r="V297" s="265"/>
      <c r="W297" s="265"/>
    </row>
    <row r="298" spans="1:25">
      <c r="A298" s="265"/>
      <c r="B298" s="265">
        <v>15</v>
      </c>
      <c r="C298" s="276">
        <v>750</v>
      </c>
      <c r="D298" s="280">
        <f>ROUND((6.25*(1/0.8*(0.2*$D$283^0.75+(30*(C298/1000))+(1.9*((C327*1000)/4750)/1000))))/0.9,0)</f>
        <v>231</v>
      </c>
      <c r="E298" s="281">
        <f>ROUND((6.25*(1/0.8*(0.2*$E$283^0.75+(30*(C298/1000))+(1.9*((D327*1000)/4750)/1000))))/0.9,0)</f>
        <v>235</v>
      </c>
      <c r="F298" s="281">
        <f>ROUND((6.25*(1/0.8*(0.2*$F$283^0.75+(30*(C298/1000))+(1.9*((E327*1000)/4750)/1000))))/0.9,0)</f>
        <v>239</v>
      </c>
      <c r="G298" s="281">
        <f>ROUND((6.25*(1/0.8*(0.2*$G$283^0.75+(30*(C298/1000))+(1.9*((F327*1000)/4750)/1000))))/0.9,0)</f>
        <v>242</v>
      </c>
      <c r="H298" s="281">
        <f>ROUND((6.25*(1/0.8*(0.2*$H$283^0.75+(30*(C298/1000))+(1.9*((G327*1000)/4750)/1000))))/0.9,0)</f>
        <v>246</v>
      </c>
      <c r="I298" s="281">
        <f>ROUND((6.25*(1/0.8*(0.2*$I$283^0.75+(30*(C298/1000))+(1.9*((H327*1000)/4750)/1000))))/0.9,0)</f>
        <v>249</v>
      </c>
      <c r="J298" s="281">
        <f>ROUND((6.25*(1/0.8*(0.2*$J$283^0.75+(30*(C298/1000))+(1.9*((I327*1000)/4750)/1000))))/0.9,0)</f>
        <v>252</v>
      </c>
      <c r="K298" s="281">
        <f>ROUND((6.25*(1/0.8*(0.2*$K$283^0.75+(30*(C298/1000))+(1.9*((J327*1000)/4750)/1000))))/0.9,0)</f>
        <v>256</v>
      </c>
      <c r="L298" s="281">
        <f>ROUND((6.25*(1/0.8*(0.2*$L$283^0.75+(30*(C298/1000))+(1.9*((K327*1000)/4750)/1000))))/0.9,0)</f>
        <v>259</v>
      </c>
      <c r="M298" s="281">
        <f>ROUND((6.25*(1/0.8*(0.2*$M$283^0.75+(30*(C298/1000))+(1.9*((L327*1000)/4750)/1000))))/0.9,0)</f>
        <v>262</v>
      </c>
      <c r="N298" s="281">
        <f>ROUND((6.25*(1/0.8*(0.2*$N$283^0.75+(30*(C298/1000))+(1.9*((M327*1000)/4750)/1000))))/0.9,0)</f>
        <v>265</v>
      </c>
      <c r="O298" s="281">
        <f>ROUND((6.25*(1/0.8*(0.2*$O$283^0.75+(30*(C298/1000))+(1.9*((N327*1000)/4750)/1000))))/0.9,0)</f>
        <v>268</v>
      </c>
      <c r="P298" s="281">
        <f>ROUND((6.25*(1/0.8*(0.2*$P$283^0.75+(30*(C298/1000))+(1.9*((O327*1000)/4750)/1000))))/0.9,0)</f>
        <v>270</v>
      </c>
      <c r="Q298" s="281">
        <f>ROUND((6.25*(1/0.8*(0.2*$Q$283^0.75+(30*(C298/1000))+(1.9*((P327*1000)/4750)/1000))))/0.9,0)</f>
        <v>273</v>
      </c>
      <c r="R298" s="282">
        <f>ROUND((6.25*(1/0.8*(0.2*$R$283^0.75+(30*(C298/1000))+(1.9*((Q327*1000)/4750)/1000))))/0.9,0)</f>
        <v>276</v>
      </c>
      <c r="S298" s="270">
        <f>C298</f>
        <v>750</v>
      </c>
      <c r="T298" s="270"/>
      <c r="U298" s="265"/>
      <c r="V298" s="265"/>
      <c r="W298" s="265"/>
    </row>
    <row r="299" spans="1:25">
      <c r="A299" s="265"/>
      <c r="B299" s="265">
        <v>16</v>
      </c>
      <c r="C299" s="276">
        <v>800</v>
      </c>
      <c r="D299" s="280">
        <f>ROUND((6.25*(1/0.8*(0.2*$D$283^0.75+(30*(C299/1000))+(1.9*((C328*1000)/4750)/1000))))/0.9,0)</f>
        <v>245</v>
      </c>
      <c r="E299" s="281">
        <f>ROUND((6.25*(1/0.8*(0.2*$E$283^0.75+(30*(C299/1000))+(1.9*((D328*1000)/4750)/1000))))/0.9,0)</f>
        <v>249</v>
      </c>
      <c r="F299" s="281">
        <f>ROUND((6.25*(1/0.8*(0.2*$F$283^0.75+(30*(C299/1000))+(1.9*((E328*1000)/4750)/1000))))/0.9,0)</f>
        <v>252</v>
      </c>
      <c r="G299" s="281">
        <f>ROUND((6.25*(1/0.8*(0.2*$G$283^0.75+(30*(C299/1000))+(1.9*((F328*1000)/4750)/1000))))/0.9,0)</f>
        <v>256</v>
      </c>
      <c r="H299" s="281">
        <f>ROUND((6.25*(1/0.8*(0.2*$H$283^0.75+(30*(C299/1000))+(1.9*((G328*1000)/4750)/1000))))/0.9,0)</f>
        <v>260</v>
      </c>
      <c r="I299" s="281">
        <f>ROUND((6.25*(1/0.8*(0.2*$I$283^0.75+(30*(C299/1000))+(1.9*((H328*1000)/4750)/1000))))/0.9,0)</f>
        <v>263</v>
      </c>
      <c r="J299" s="281">
        <f>ROUND((6.25*(1/0.8*(0.2*$J$283^0.75+(30*(C299/1000))+(1.9*((I328*1000)/4750)/1000))))/0.9,0)</f>
        <v>266</v>
      </c>
      <c r="K299" s="281">
        <f>ROUND((6.25*(1/0.8*(0.2*$K$283^0.75+(30*(C299/1000))+(1.9*((J328*1000)/4750)/1000))))/0.9,0)</f>
        <v>269</v>
      </c>
      <c r="L299" s="281">
        <f>ROUND((6.25*(1/0.8*(0.2*$L$283^0.75+(30*(C299/1000))+(1.9*((K328*1000)/4750)/1000))))/0.9,0)</f>
        <v>273</v>
      </c>
      <c r="M299" s="281">
        <f>ROUND((6.25*(1/0.8*(0.2*$M$283^0.75+(30*(C299/1000))+(1.9*((L328*1000)/4750)/1000))))/0.9,0)</f>
        <v>276</v>
      </c>
      <c r="N299" s="281">
        <f>ROUND((6.25*(1/0.8*(0.2*$N$283^0.75+(30*(C299/1000))+(1.9*((M328*1000)/4750)/1000))))/0.9,0)</f>
        <v>279</v>
      </c>
      <c r="O299" s="281">
        <f>ROUND((6.25*(1/0.8*(0.2*$O$283^0.75+(30*(C299/1000))+(1.9*((N328*1000)/4750)/1000))))/0.9,0)</f>
        <v>282</v>
      </c>
      <c r="P299" s="281">
        <f>ROUND((6.25*(1/0.8*(0.2*$P$283^0.75+(30*(C299/1000))+(1.9*((O328*1000)/4750)/1000))))/0.9,0)</f>
        <v>284</v>
      </c>
      <c r="Q299" s="281">
        <f>ROUND((6.25*(1/0.8*(0.2*$Q$283^0.75+(30*(C299/1000))+(1.9*((P328*1000)/4750)/1000))))/0.9,0)</f>
        <v>287</v>
      </c>
      <c r="R299" s="282">
        <f>ROUND((6.25*(1/0.8*(0.2*$R$283^0.75+(30*(C299/1000))+(1.9*((Q328*1000)/4750)/1000))))/0.9,0)</f>
        <v>290</v>
      </c>
      <c r="S299" s="270">
        <f>C299</f>
        <v>800</v>
      </c>
      <c r="T299" s="270"/>
      <c r="U299" s="265"/>
      <c r="V299" s="265"/>
      <c r="W299" s="265"/>
    </row>
    <row r="300" spans="1:25">
      <c r="A300" s="265"/>
      <c r="B300" s="265">
        <v>17</v>
      </c>
      <c r="C300" s="276">
        <v>850</v>
      </c>
      <c r="D300" s="280">
        <f>ROUND((6.25*(1/0.8*(0.2*$D$283^0.75+(30*(C300/1000))+(1.9*((C329*1000)/4750)/1000))))/0.9,0)</f>
        <v>259</v>
      </c>
      <c r="E300" s="281">
        <f>ROUND((6.25*(1/0.8*(0.2*$E$283^0.75+(30*(C300/1000))+(1.9*((D329*1000)/4750)/1000))))/0.9,0)</f>
        <v>263</v>
      </c>
      <c r="F300" s="281">
        <f>ROUND((6.25*(1/0.8*(0.2*$F$283^0.75+(30*(C300/1000))+(1.9*((E329*1000)/4750)/1000))))/0.9,0)</f>
        <v>266</v>
      </c>
      <c r="G300" s="281">
        <f>ROUND((6.25*(1/0.8*(0.2*$G$283^0.75+(30*(C300/1000))+(1.9*((F329*1000)/4750)/1000))))/0.9,0)</f>
        <v>270</v>
      </c>
      <c r="H300" s="281">
        <f>ROUND((6.25*(1/0.8*(0.2*$H$283^0.75+(30*(C300/1000))+(1.9*((G329*1000)/4750)/1000))))/0.9,0)</f>
        <v>273</v>
      </c>
      <c r="I300" s="281">
        <f>ROUND((6.25*(1/0.8*(0.2*$I$283^0.75+(30*(C300/1000))+(1.9*((H329*1000)/4750)/1000))))/0.9,0)</f>
        <v>277</v>
      </c>
      <c r="J300" s="281">
        <f>ROUND((6.25*(1/0.8*(0.2*$J$283^0.75+(30*(C300/1000))+(1.9*((I329*1000)/4750)/1000))))/0.9,0)</f>
        <v>280</v>
      </c>
      <c r="K300" s="281">
        <f>ROUND((6.25*(1/0.8*(0.2*$K$283^0.75+(30*(C300/1000))+(1.9*((J329*1000)/4750)/1000))))/0.9,0)</f>
        <v>283</v>
      </c>
      <c r="L300" s="281">
        <f>ROUND((6.25*(1/0.8*(0.2*$L$283^0.75+(30*(C300/1000))+(1.9*((K329*1000)/4750)/1000))))/0.9,0)</f>
        <v>286</v>
      </c>
      <c r="M300" s="281">
        <f>ROUND((6.25*(1/0.8*(0.2*$M$283^0.75+(30*(C300/1000))+(1.9*((L329*1000)/4750)/1000))))/0.9,0)</f>
        <v>290</v>
      </c>
      <c r="N300" s="281">
        <f>ROUND((6.25*(1/0.8*(0.2*$N$283^0.75+(30*(C300/1000))+(1.9*((M329*1000)/4750)/1000))))/0.9,0)</f>
        <v>293</v>
      </c>
      <c r="O300" s="281">
        <f>ROUND((6.25*(1/0.8*(0.2*$O$283^0.75+(30*(C300/1000))+(1.9*((N329*1000)/4750)/1000))))/0.9,0)</f>
        <v>296</v>
      </c>
      <c r="P300" s="281">
        <f>ROUND((6.25*(1/0.8*(0.2*$P$283^0.75+(30*(C300/1000))+(1.9*((O329*1000)/4750)/1000))))/0.9,0)</f>
        <v>298</v>
      </c>
      <c r="Q300" s="281">
        <f>ROUND((6.25*(1/0.8*(0.2*$Q$283^0.75+(30*(C300/1000))+(1.9*((P329*1000)/4750)/1000))))/0.9,0)</f>
        <v>301</v>
      </c>
      <c r="R300" s="282">
        <f>ROUND((6.25*(1/0.8*(0.2*$R$283^0.75+(30*(C300/1000))+(1.9*((Q329*1000)/4750)/1000))))/0.9,0)</f>
        <v>304</v>
      </c>
      <c r="S300" s="270">
        <f>C300</f>
        <v>850</v>
      </c>
      <c r="T300" s="270"/>
      <c r="U300" s="265"/>
      <c r="V300" s="265"/>
      <c r="W300" s="265"/>
    </row>
    <row r="301" spans="1:25">
      <c r="A301" s="265"/>
      <c r="B301" s="265">
        <v>18</v>
      </c>
      <c r="C301" s="276">
        <v>900</v>
      </c>
      <c r="D301" s="280">
        <f>ROUND((6.25*(1/0.8*(0.2*$D$283^0.75+(30*(C301/1000))+(1.9*((C330*1000)/4750)/1000))))/0.9,0)</f>
        <v>272</v>
      </c>
      <c r="E301" s="281">
        <f>ROUND((6.25*(1/0.8*(0.2*$E$283^0.75+(30*(C301/1000))+(1.9*((D330*1000)/4750)/1000))))/0.9,0)</f>
        <v>276</v>
      </c>
      <c r="F301" s="281">
        <f>ROUND((6.25*(1/0.8*(0.2*$F$283^0.75+(30*(C301/1000))+(1.9*((E330*1000)/4750)/1000))))/0.9,0)</f>
        <v>280</v>
      </c>
      <c r="G301" s="281">
        <f>ROUND((6.25*(1/0.8*(0.2*$G$283^0.75+(30*(C301/1000))+(1.9*((F330*1000)/4750)/1000))))/0.9,0)</f>
        <v>284</v>
      </c>
      <c r="H301" s="281">
        <f>ROUND((6.25*(1/0.8*(0.2*$H$283^0.75+(30*(C301/1000))+(1.9*((G330*1000)/4750)/1000))))/0.9,0)</f>
        <v>287</v>
      </c>
      <c r="I301" s="281">
        <f>ROUND((6.25*(1/0.8*(0.2*$I$283^0.75+(30*(C301/1000))+(1.9*((H330*1000)/4750)/1000))))/0.9,0)</f>
        <v>291</v>
      </c>
      <c r="J301" s="281">
        <f>ROUND((6.25*(1/0.8*(0.2*$J$283^0.75+(30*(C301/1000))+(1.9*((I330*1000)/4750)/1000))))/0.9,0)</f>
        <v>294</v>
      </c>
      <c r="K301" s="281">
        <f>ROUND((6.25*(1/0.8*(0.2*$K$283^0.75+(30*(C301/1000))+(1.9*((J330*1000)/4750)/1000))))/0.9,0)</f>
        <v>297</v>
      </c>
      <c r="L301" s="281">
        <f>ROUND((6.25*(1/0.8*(0.2*$L$283^0.75+(30*(C301/1000))+(1.9*((K330*1000)/4750)/1000))))/0.9,0)</f>
        <v>300</v>
      </c>
      <c r="M301" s="281">
        <f>ROUND((6.25*(1/0.8*(0.2*$M$283^0.75+(30*(C301/1000))+(1.9*((L330*1000)/4750)/1000))))/0.9,0)</f>
        <v>304</v>
      </c>
      <c r="N301" s="281">
        <f>ROUND((6.25*(1/0.8*(0.2*$N$283^0.75+(30*(C301/1000))+(1.9*((M330*1000)/4750)/1000))))/0.9,0)</f>
        <v>307</v>
      </c>
      <c r="O301" s="281">
        <f>ROUND((6.25*(1/0.8*(0.2*$O$283^0.75+(30*(C301/1000))+(1.9*((N330*1000)/4750)/1000))))/0.9,0)</f>
        <v>310</v>
      </c>
      <c r="P301" s="281">
        <f>ROUND((6.25*(1/0.8*(0.2*$P$283^0.75+(30*(C301/1000))+(1.9*((O330*1000)/4750)/1000))))/0.9,0)</f>
        <v>313</v>
      </c>
      <c r="Q301" s="281">
        <f>ROUND((6.25*(1/0.8*(0.2*$Q$283^0.75+(30*(C301/1000))+(1.9*((P330*1000)/4750)/1000))))/0.9,0)</f>
        <v>315</v>
      </c>
      <c r="R301" s="282">
        <f>ROUND((6.25*(1/0.8*(0.2*$R$283^0.75+(30*(C301/1000))+(1.9*((Q330*1000)/4750)/1000))))/0.9,0)</f>
        <v>318</v>
      </c>
      <c r="S301" s="270">
        <f>C301</f>
        <v>900</v>
      </c>
      <c r="T301" s="270"/>
      <c r="U301" s="265"/>
      <c r="V301" s="265"/>
      <c r="W301" s="265"/>
    </row>
    <row r="302" spans="1:25">
      <c r="A302" s="265"/>
      <c r="B302" s="265">
        <v>19</v>
      </c>
      <c r="C302" s="276">
        <v>950</v>
      </c>
      <c r="D302" s="280">
        <f>ROUND((6.25*(1/0.8*(0.2*$D$283^0.75+(30*(C302/1000))+(1.9*((C331*1000)/4750)/1000))))/0.9,0)</f>
        <v>286</v>
      </c>
      <c r="E302" s="281">
        <f>ROUND((6.25*(1/0.8*(0.2*$E$283^0.75+(30*(C302/1000))+(1.9*((D331*1000)/4750)/1000))))/0.9,0)</f>
        <v>290</v>
      </c>
      <c r="F302" s="281">
        <f>ROUND((6.25*(1/0.8*(0.2*$F$283^0.75+(30*(C302/1000))+(1.9*((E331*1000)/4750)/1000))))/0.9,0)</f>
        <v>294</v>
      </c>
      <c r="G302" s="281">
        <f>ROUND((6.25*(1/0.8*(0.2*$G$283^0.75+(30*(C302/1000))+(1.9*((F331*1000)/4750)/1000))))/0.9,0)</f>
        <v>298</v>
      </c>
      <c r="H302" s="281">
        <f>ROUND((6.25*(1/0.8*(0.2*$H$283^0.75+(30*(C302/1000))+(1.9*((G331*1000)/4750)/1000))))/0.9,0)</f>
        <v>301</v>
      </c>
      <c r="I302" s="281">
        <f>ROUND((6.25*(1/0.8*(0.2*$I$283^0.75+(30*(C302/1000))+(1.9*((H331*1000)/4750)/1000))))/0.9,0)</f>
        <v>305</v>
      </c>
      <c r="J302" s="281">
        <f>ROUND((6.25*(1/0.8*(0.2*$J$283^0.75+(30*(C302/1000))+(1.9*((I331*1000)/4750)/1000))))/0.9,0)</f>
        <v>308</v>
      </c>
      <c r="K302" s="281">
        <f>ROUND((6.25*(1/0.8*(0.2*$K$283^0.75+(30*(C302/1000))+(1.9*((J331*1000)/4750)/1000))))/0.9,0)</f>
        <v>311</v>
      </c>
      <c r="L302" s="281">
        <f>ROUND((6.25*(1/0.8*(0.2*$L$283^0.75+(30*(C302/1000))+(1.9*((K331*1000)/4750)/1000))))/0.9,0)</f>
        <v>314</v>
      </c>
      <c r="M302" s="281">
        <f>ROUND((6.25*(1/0.8*(0.2*$M$283^0.75+(30*(C302/1000))+(1.9*((L331*1000)/4750)/1000))))/0.9,0)</f>
        <v>318</v>
      </c>
      <c r="N302" s="281">
        <f>ROUND((6.25*(1/0.8*(0.2*$N$283^0.75+(30*(C302/1000))+(1.9*((M331*1000)/4750)/1000))))/0.9,0)</f>
        <v>321</v>
      </c>
      <c r="O302" s="281">
        <f>ROUND((6.25*(1/0.8*(0.2*$O$283^0.75+(30*(C302/1000))+(1.9*((N331*1000)/4750)/1000))))/0.9,0)</f>
        <v>324</v>
      </c>
      <c r="P302" s="281">
        <f>ROUND((6.25*(1/0.8*(0.2*$P$283^0.75+(30*(C302/1000))+(1.9*((O331*1000)/4750)/1000))))/0.9,0)</f>
        <v>327</v>
      </c>
      <c r="Q302" s="281">
        <f>ROUND((6.25*(1/0.8*(0.2*$Q$283^0.75+(30*(C302/1000))+(1.9*((P331*1000)/4750)/1000))))/0.9,0)</f>
        <v>329</v>
      </c>
      <c r="R302" s="282">
        <f>ROUND((6.25*(1/0.8*(0.2*$R$283^0.75+(30*(C302/1000))+(1.9*((Q331*1000)/4750)/1000))))/0.9,0)</f>
        <v>332</v>
      </c>
      <c r="S302" s="270">
        <f>C302</f>
        <v>950</v>
      </c>
      <c r="T302" s="270"/>
      <c r="U302" s="265"/>
      <c r="V302" s="265"/>
      <c r="W302" s="265"/>
    </row>
    <row r="303" spans="1:25" customHeight="1" ht="15">
      <c r="A303" s="265"/>
      <c r="B303" s="265">
        <v>20</v>
      </c>
      <c r="C303" s="276">
        <v>1000</v>
      </c>
      <c r="D303" s="283">
        <f>ROUND((6.25*(1/0.8*(0.2*$D$283^0.75+(30*(C303/1000))+(1.9*((C332*1000)/4750)/1000))))/0.9,0)</f>
        <v>300</v>
      </c>
      <c r="E303" s="284">
        <f>ROUND((6.25*(1/0.8*(0.2*$E$283^0.75+(30*(C303/1000))+(1.9*((D332*1000)/4750)/1000))))/0.9,0)</f>
        <v>304</v>
      </c>
      <c r="F303" s="284">
        <f>ROUND((6.25*(1/0.8*(0.2*$F$283^0.75+(30*(C303/1000))+(1.9*((E332*1000)/4750)/1000))))/0.9,0)</f>
        <v>308</v>
      </c>
      <c r="G303" s="284">
        <f>ROUND((6.25*(1/0.8*(0.2*$G$283^0.75+(30*(C303/1000))+(1.9*((F332*1000)/4750)/1000))))/0.9,0)</f>
        <v>311</v>
      </c>
      <c r="H303" s="284">
        <f>ROUND((6.25*(1/0.8*(0.2*$H$283^0.75+(30*(C303/1000))+(1.9*((G332*1000)/4750)/1000))))/0.9,0)</f>
        <v>315</v>
      </c>
      <c r="I303" s="284">
        <f>ROUND((6.25*(1/0.8*(0.2*$I$283^0.75+(30*(C303/1000))+(1.9*((H332*1000)/4750)/1000))))/0.9,0)</f>
        <v>318</v>
      </c>
      <c r="J303" s="284">
        <f>ROUND((6.25*(1/0.8*(0.2*$J$283^0.75+(30*(C303/1000))+(1.9*((I332*1000)/4750)/1000))))/0.9,0)</f>
        <v>322</v>
      </c>
      <c r="K303" s="284">
        <f>ROUND((6.25*(1/0.8*(0.2*$K$283^0.75+(30*(C303/1000))+(1.9*((J332*1000)/4750)/1000))))/0.9,0)</f>
        <v>325</v>
      </c>
      <c r="L303" s="284">
        <f>ROUND((6.25*(1/0.8*(0.2*$L$283^0.75+(30*(C303/1000))+(1.9*((K332*1000)/4750)/1000))))/0.9,0)</f>
        <v>328</v>
      </c>
      <c r="M303" s="284">
        <f>ROUND((6.25*(1/0.8*(0.2*$M$283^0.75+(30*(C303/1000))+(1.9*((L332*1000)/4750)/1000))))/0.9,0)</f>
        <v>331</v>
      </c>
      <c r="N303" s="284">
        <f>ROUND((6.25*(1/0.8*(0.2*$N$283^0.75+(30*(C303/1000))+(1.9*((M332*1000)/4750)/1000))))/0.9,0)</f>
        <v>335</v>
      </c>
      <c r="O303" s="284">
        <f>ROUND((6.25*(1/0.8*(0.2*$O$283^0.75+(30*(C303/1000))+(1.9*((N332*1000)/4750)/1000))))/0.9,0)</f>
        <v>338</v>
      </c>
      <c r="P303" s="284">
        <f>ROUND((6.25*(1/0.8*(0.2*$P$283^0.75+(30*(C303/1000))+(1.9*((O332*1000)/4750)/1000))))/0.9,0)</f>
        <v>341</v>
      </c>
      <c r="Q303" s="284">
        <f>ROUND((6.25*(1/0.8*(0.2*$Q$283^0.75+(30*(C303/1000))+(1.9*((P332*1000)/4750)/1000))))/0.9,0)</f>
        <v>344</v>
      </c>
      <c r="R303" s="285">
        <f>ROUND((6.25*(1/0.8*(0.2*$R$283^0.75+(30*(C303/1000))+(1.9*((Q332*1000)/4750)/1000))))/0.9,0)</f>
        <v>346</v>
      </c>
      <c r="S303" s="270">
        <f>C303</f>
        <v>1000</v>
      </c>
      <c r="T303" s="270"/>
      <c r="U303" s="265"/>
      <c r="V303" s="265"/>
      <c r="W303" s="265"/>
    </row>
    <row r="304" spans="1:25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</row>
    <row r="305" spans="1:25">
      <c r="A305" s="265"/>
      <c r="B305" s="265"/>
      <c r="C305" s="270"/>
      <c r="D305" s="270"/>
      <c r="E305" s="266" t="s">
        <v>147</v>
      </c>
      <c r="F305" s="265"/>
      <c r="G305" s="265">
        <f>G276</f>
        <v>30</v>
      </c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>
        <f>MATCH(G305,C312:Q312,0)</f>
        <v>1</v>
      </c>
      <c r="T305" s="265">
        <f>S305-2</f>
        <v>-1</v>
      </c>
      <c r="U305" s="265"/>
      <c r="V305" s="265"/>
      <c r="W305" s="265"/>
    </row>
    <row r="306" spans="1:25">
      <c r="A306" s="265"/>
      <c r="B306" s="265"/>
      <c r="C306" s="265"/>
      <c r="D306" s="265"/>
      <c r="E306" s="265" t="s">
        <v>148</v>
      </c>
      <c r="F306" s="265"/>
      <c r="G306" s="265">
        <f>Dados!F190</f>
        <v>2350.53</v>
      </c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>
        <f>R309</f>
        <v>6</v>
      </c>
      <c r="T306" s="265"/>
      <c r="U306" s="265"/>
      <c r="V306" s="265"/>
      <c r="W306" s="265"/>
    </row>
    <row r="307" spans="1:25">
      <c r="A307" s="265"/>
      <c r="B307" s="265"/>
      <c r="C307" s="265"/>
      <c r="D307" s="265"/>
      <c r="E307" s="268" t="s">
        <v>149</v>
      </c>
      <c r="F307" s="268"/>
      <c r="G307" s="268">
        <f>S309</f>
        <v>300</v>
      </c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>
        <f>MATCH(S305,C310:M310,0)-5</f>
        <v>-4</v>
      </c>
      <c r="T307" s="265"/>
      <c r="U307" s="265"/>
      <c r="V307" s="265"/>
      <c r="W307" s="265"/>
    </row>
    <row r="308" spans="1:25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</row>
    <row r="309" spans="1:25">
      <c r="A309" s="265"/>
      <c r="B309" s="265"/>
      <c r="C309" s="265">
        <f>IFERROR(IF($S$305=1,MATCH($G$306,C$313:C$332,1),0),0)</f>
        <v>6</v>
      </c>
      <c r="D309" s="265">
        <f>IFERROR(IF($S$305=2,MATCH($G$306,D$313:D$332,1),0),0)</f>
        <v>0</v>
      </c>
      <c r="E309" s="265">
        <f>IFERROR(IF($S$305=3,MATCH($G$306,E$313:E$332,1),0),0)</f>
        <v>0</v>
      </c>
      <c r="F309" s="265">
        <f>IFERROR(IF($S$305=4,MATCH($G$306,F$313:F$332,1),0),0)</f>
        <v>0</v>
      </c>
      <c r="G309" s="265">
        <f>IFERROR(IF($S$305=5,MATCH($G$306,G$313:G$332,1),0),0)</f>
        <v>0</v>
      </c>
      <c r="H309" s="265">
        <f>IFERROR(IF($S$305=6,MATCH($G$306,H$313:H$332,1),0),0)</f>
        <v>0</v>
      </c>
      <c r="I309" s="265">
        <f>IFERROR(IF($S$305=7,MATCH($G$306,I$313:I$332,1),0),0)</f>
        <v>0</v>
      </c>
      <c r="J309" s="265">
        <f>IFERROR(IF($S$305=8,MATCH($G$306,J$313:J$332,1),0),0)</f>
        <v>0</v>
      </c>
      <c r="K309" s="265">
        <f>IFERROR(IF($S$305=9,MATCH($G$306,K$313:K$332,1),0),0)</f>
        <v>0</v>
      </c>
      <c r="L309" s="265">
        <f>IFERROR(IF($S$305=10,MATCH($G$306,L$313:L$332,1),0),0)</f>
        <v>0</v>
      </c>
      <c r="M309" s="265">
        <f>IFERROR(IF($S$305=11,MATCH($G$306,M$313:M$332,1),0),0)</f>
        <v>0</v>
      </c>
      <c r="N309" s="265">
        <f>IFERROR(IF($S$305=12,MATCH($G$306,N$313:N$332,1),0),0)</f>
        <v>0</v>
      </c>
      <c r="O309" s="265">
        <f>IFERROR(IF($S$305=13,MATCH($G$306,O$313:O$332,1),0),0)</f>
        <v>0</v>
      </c>
      <c r="P309" s="265">
        <f>IFERROR(IF($S$305=14,MATCH($G$306,P$313:P$332,1),0),0)</f>
        <v>0</v>
      </c>
      <c r="Q309" s="265">
        <f>IFERROR(IF($S$305=15,MATCH($G$306,Q$313:Q$332,1),0),0)</f>
        <v>0</v>
      </c>
      <c r="R309" s="265">
        <f>SUM(C309:Q309)</f>
        <v>6</v>
      </c>
      <c r="S309" s="265">
        <f>IFERROR(VLOOKUP(S306,A313:Q332,MATCH(S305,C310:Q310,0)-T305,0),"")</f>
        <v>300</v>
      </c>
      <c r="T309" s="265"/>
      <c r="U309" s="265"/>
      <c r="V309" s="265"/>
      <c r="W309" s="265"/>
    </row>
    <row r="310" spans="1:25">
      <c r="A310" s="265"/>
      <c r="B310" s="265"/>
      <c r="C310" s="265">
        <v>1</v>
      </c>
      <c r="D310" s="265">
        <v>2</v>
      </c>
      <c r="E310" s="265">
        <v>3</v>
      </c>
      <c r="F310" s="265">
        <v>4</v>
      </c>
      <c r="G310" s="265">
        <v>5</v>
      </c>
      <c r="H310" s="265">
        <v>6</v>
      </c>
      <c r="I310" s="265">
        <v>7</v>
      </c>
      <c r="J310" s="265">
        <v>8</v>
      </c>
      <c r="K310" s="265">
        <v>9</v>
      </c>
      <c r="L310" s="265">
        <v>10</v>
      </c>
      <c r="M310" s="265">
        <v>11</v>
      </c>
      <c r="N310" s="265">
        <v>12</v>
      </c>
      <c r="O310" s="265">
        <v>13</v>
      </c>
      <c r="P310" s="265">
        <v>14</v>
      </c>
      <c r="Q310" s="265">
        <v>15</v>
      </c>
      <c r="R310" s="265"/>
      <c r="S310" s="265"/>
      <c r="T310" s="265"/>
      <c r="U310" s="265"/>
      <c r="V310" s="265"/>
      <c r="W310" s="265"/>
    </row>
    <row r="311" spans="1:25" customHeight="1" ht="15">
      <c r="A311" s="58"/>
      <c r="B311" s="58"/>
      <c r="C311" s="58"/>
      <c r="D311" s="58"/>
      <c r="E311" s="58"/>
      <c r="F311" s="58"/>
      <c r="G311" s="58" t="s">
        <v>152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265"/>
      <c r="V311" s="265"/>
      <c r="W311" s="265"/>
    </row>
    <row r="312" spans="1:25" customHeight="1" ht="15">
      <c r="A312" s="265"/>
      <c r="B312" s="286" t="s">
        <v>151</v>
      </c>
      <c r="C312" s="287">
        <v>30</v>
      </c>
      <c r="D312" s="287">
        <v>35</v>
      </c>
      <c r="E312" s="287">
        <v>40</v>
      </c>
      <c r="F312" s="287">
        <v>45</v>
      </c>
      <c r="G312" s="287">
        <v>50</v>
      </c>
      <c r="H312" s="287">
        <v>55</v>
      </c>
      <c r="I312" s="287">
        <v>60</v>
      </c>
      <c r="J312" s="287">
        <v>65</v>
      </c>
      <c r="K312" s="287">
        <v>70</v>
      </c>
      <c r="L312" s="287">
        <v>75</v>
      </c>
      <c r="M312" s="287">
        <v>80</v>
      </c>
      <c r="N312" s="287">
        <v>85</v>
      </c>
      <c r="O312" s="287">
        <v>90</v>
      </c>
      <c r="P312" s="287">
        <v>95</v>
      </c>
      <c r="Q312" s="288">
        <v>100</v>
      </c>
      <c r="R312" s="265" t="s">
        <v>151</v>
      </c>
      <c r="S312" s="265"/>
      <c r="T312" s="265"/>
      <c r="U312" s="265"/>
      <c r="V312" s="265"/>
      <c r="W312" s="265"/>
    </row>
    <row r="313" spans="1:25">
      <c r="A313" s="270">
        <v>1</v>
      </c>
      <c r="B313" s="289">
        <v>50</v>
      </c>
      <c r="C313" s="270">
        <f>((0.1*($C$312^0.75)+(0.84*($C$312^0.355))*((C284/1000)^1.2))*1000)*1.2</f>
        <v>1630.8314311601</v>
      </c>
      <c r="D313" s="270">
        <f>((0.1*($D$312^0.75)+(0.84*($D$312^0.355))*((C284/1000)^1.2))*1000)*1.2</f>
        <v>1824.5679105771</v>
      </c>
      <c r="E313" s="270">
        <f>((0.1*($E$312^0.75)+(0.84*($E$312^0.355))*((C284/1000)^1.2))*1000)*1.2</f>
        <v>2011.2045117846</v>
      </c>
      <c r="F313" s="270">
        <f>((0.1*($F$312^0.75)+(0.84*($F$312^0.355))*((C284/1000)^1.2))*1000)*1.2</f>
        <v>2191.8597284749</v>
      </c>
      <c r="G313" s="270">
        <f>((0.1*($G$312^0.75)+(0.84*($G$312^0.355))*((C284/1000)^1.2))*1000)*1.2</f>
        <v>2367.3710343752</v>
      </c>
      <c r="H313" s="270">
        <f>((0.1*($H$312^0.75)+(0.84*($H$312^0.355))*((C284/1000)^1.2))*1000)*1.2</f>
        <v>2538.3865900861</v>
      </c>
      <c r="I313" s="270">
        <f>((0.1*($I$312^0.75)+(0.84*($I$312^0.355))*((C284/1000)^1.2))*1000)*1.2</f>
        <v>2705.4213791893</v>
      </c>
      <c r="J313" s="270">
        <f>((0.1*($J$312^0.75)+(0.84*($J$312^0.355))*((C284/1000)^1.2))*1000)*1.2</f>
        <v>2868.8933971948</v>
      </c>
      <c r="K313" s="270">
        <f>((0.1*($K$312^0.75)+(0.84*($K$312^0.355))*((C284/1000)^1.2))*1000)*1.2</f>
        <v>3029.1479751063</v>
      </c>
      <c r="L313" s="270">
        <f>((0.1*($L$312^0.75)+(0.84*($L$312^0.355))*((C284/1000)^1.2))*1000)*1.2</f>
        <v>3186.474699503</v>
      </c>
      <c r="M313" s="270">
        <f>((0.1*($M$312^0.75)+(0.84*($M$312^0.355))*((C284/1000)^1.2))*1000)*1.2</f>
        <v>3341.1195267273</v>
      </c>
      <c r="N313" s="270">
        <f>((0.1*($N$312^0.75)+(0.84*($N$312^0.355))*((B313/1000)^1.2))*1000)*1.2</f>
        <v>3493.29367163</v>
      </c>
      <c r="O313" s="270">
        <f>((0.1*($O$312^0.75)+(0.84*($O$312^0.355))*((B313/1000)^1.2))*1000)*1.2</f>
        <v>3643.1802690311</v>
      </c>
      <c r="P313" s="270">
        <f>((0.1*($P$312^0.75)+(0.84*($P$312^0.355))*((B313/1000)^1.2))*1000)*1.2</f>
        <v>3790.9394587952</v>
      </c>
      <c r="Q313" s="290">
        <f>((0.1*($Q$312^0.75)+(0.84*($Q$312^0.355))*((B313/1000)^1.2))*1000)*1.2</f>
        <v>3936.7123309229</v>
      </c>
      <c r="R313" s="265">
        <v>50</v>
      </c>
      <c r="S313" s="265"/>
      <c r="T313" s="265"/>
      <c r="U313" s="265"/>
      <c r="V313" s="265"/>
      <c r="W313" s="265"/>
    </row>
    <row r="314" spans="1:25">
      <c r="A314" s="270">
        <v>2</v>
      </c>
      <c r="B314" s="289">
        <v>100</v>
      </c>
      <c r="C314" s="270">
        <f>((0.1*($C$312^0.75)+(0.84*($C$312^0.355))*((C285/1000)^1.2))*1000)*1.2</f>
        <v>1750.9680417441</v>
      </c>
      <c r="D314" s="270">
        <f>((0.1*($D$312^0.75)+(0.84*($D$312^0.355))*((C285/1000)^1.2))*1000)*1.2</f>
        <v>1951.4620267949</v>
      </c>
      <c r="E314" s="270">
        <f>((0.1*($E$312^0.75)+(0.84*($E$312^0.355))*((C285/1000)^1.2))*1000)*1.2</f>
        <v>2144.2587235625</v>
      </c>
      <c r="F314" s="270">
        <f>((0.1*($F$312^0.75)+(0.84*($F$312^0.355))*((C285/1000)^1.2))*1000)*1.2</f>
        <v>2330.5952822379</v>
      </c>
      <c r="G314" s="270">
        <f>((0.1*($G$312^0.75)+(0.84*($G$312^0.355))*((C285/1000)^1.2))*1000)*1.2</f>
        <v>2511.3939773706</v>
      </c>
      <c r="H314" s="270">
        <f>((0.1*($H$312^0.75)+(0.84*($H$312^0.355))*((C285/1000)^1.2))*1000)*1.2</f>
        <v>2687.3659432646</v>
      </c>
      <c r="I314" s="270">
        <f>((0.1*($I$312^0.75)+(0.84*($I$312^0.355))*((C285/1000)^1.2))*1000)*1.2</f>
        <v>2859.0743719097</v>
      </c>
      <c r="J314" s="270">
        <f>((0.1*($J$312^0.75)+(0.84*($J$312^0.355))*((C285/1000)^1.2))*1000)*1.2</f>
        <v>3026.9750875736</v>
      </c>
      <c r="K314" s="270">
        <f>((0.1*($K$312^0.75)+(0.84*($K$312^0.355))*((C285/1000)^1.2))*1000)*1.2</f>
        <v>3191.4437200978</v>
      </c>
      <c r="L314" s="270">
        <f>((0.1*($L$312^0.75)+(0.84*($L$312^0.355))*((C285/1000)^1.2))*1000)*1.2</f>
        <v>3352.7945469993</v>
      </c>
      <c r="M314" s="270">
        <f>((0.1*($M$312^0.75)+(0.84*($M$312^0.355))*((C285/1000)^1.2))*1000)*1.2</f>
        <v>3511.2939451195</v>
      </c>
      <c r="N314" s="270">
        <f>((0.1*($N$312^0.75)+(0.84*($N$312^0.355))*((B314/1000)^1.2))*1000)*1.2</f>
        <v>3667.1702351428</v>
      </c>
      <c r="O314" s="270">
        <f>((0.1*($O$312^0.75)+(0.84*($O$312^0.355))*((B314/1000)^1.2))*1000)*1.2</f>
        <v>3820.6210419046</v>
      </c>
      <c r="P314" s="270">
        <f>((0.1*($P$312^0.75)+(0.84*($P$312^0.355))*((B314/1000)^1.2))*1000)*1.2</f>
        <v>3971.8189007565</v>
      </c>
      <c r="Q314" s="290">
        <f>((0.1*($Q$312^0.75)+(0.84*($Q$312^0.355))*((B314/1000)^1.2))*1000)*1.2</f>
        <v>4120.9155983871</v>
      </c>
      <c r="R314" s="265">
        <v>100</v>
      </c>
      <c r="S314" s="265"/>
      <c r="T314" s="265"/>
      <c r="U314" s="265"/>
      <c r="V314" s="265"/>
      <c r="W314" s="265"/>
    </row>
    <row r="315" spans="1:25">
      <c r="A315" s="270">
        <v>3</v>
      </c>
      <c r="B315" s="289">
        <v>150</v>
      </c>
      <c r="C315" s="270">
        <f>((0.1*($C$312^0.75)+(0.84*($C$312^0.355))*((C286/1000)^1.2))*1000)*1.2</f>
        <v>1884.2905815017</v>
      </c>
      <c r="D315" s="270">
        <f>((0.1*($D$312^0.75)+(0.84*($D$312^0.355))*((C286/1000)^1.2))*1000)*1.2</f>
        <v>2092.2837610873</v>
      </c>
      <c r="E315" s="270">
        <f>((0.1*($E$312^0.75)+(0.84*($E$312^0.355))*((C286/1000)^1.2))*1000)*1.2</f>
        <v>2291.9166719052</v>
      </c>
      <c r="F315" s="270">
        <f>((0.1*($F$312^0.75)+(0.84*($F$312^0.355))*((C286/1000)^1.2))*1000)*1.2</f>
        <v>2484.5581441204</v>
      </c>
      <c r="G315" s="270">
        <f>((0.1*($G$312^0.75)+(0.84*($G$312^0.355))*((C286/1000)^1.2))*1000)*1.2</f>
        <v>2671.2245606554</v>
      </c>
      <c r="H315" s="270">
        <f>((0.1*($H$312^0.75)+(0.84*($H$312^0.355))*((C286/1000)^1.2))*1000)*1.2</f>
        <v>2852.6969413729</v>
      </c>
      <c r="I315" s="270">
        <f>((0.1*($I$312^0.75)+(0.84*($I$312^0.355))*((C286/1000)^1.2))*1000)*1.2</f>
        <v>3029.591977919</v>
      </c>
      <c r="J315" s="270">
        <f>((0.1*($J$312^0.75)+(0.84*($J$312^0.355))*((C286/1000)^1.2))*1000)*1.2</f>
        <v>3202.4074753196</v>
      </c>
      <c r="K315" s="270">
        <f>((0.1*($K$312^0.75)+(0.84*($K$312^0.355))*((C286/1000)^1.2))*1000)*1.2</f>
        <v>3371.5526877883</v>
      </c>
      <c r="L315" s="270">
        <f>((0.1*($L$312^0.75)+(0.84*($L$312^0.355))*((C286/1000)^1.2))*1000)*1.2</f>
        <v>3537.3692938023</v>
      </c>
      <c r="M315" s="270">
        <f>((0.1*($M$312^0.75)+(0.84*($M$312^0.355))*((C286/1000)^1.2))*1000)*1.2</f>
        <v>3700.1463320108</v>
      </c>
      <c r="N315" s="270">
        <f>((0.1*($N$312^0.75)+(0.84*($N$312^0.355))*((B315/1000)^1.2))*1000)*1.2</f>
        <v>3860.1311064306</v>
      </c>
      <c r="O315" s="270">
        <f>((0.1*($O$312^0.75)+(0.84*($O$312^0.355))*((B315/1000)^1.2))*1000)*1.2</f>
        <v>4017.5373223044</v>
      </c>
      <c r="P315" s="270">
        <f>((0.1*($P$312^0.75)+(0.84*($P$312^0.355))*((B315/1000)^1.2))*1000)*1.2</f>
        <v>4172.5512709723</v>
      </c>
      <c r="Q315" s="290">
        <f>((0.1*($Q$312^0.75)+(0.84*($Q$312^0.355))*((B315/1000)^1.2))*1000)*1.2</f>
        <v>4325.3366098556</v>
      </c>
      <c r="R315" s="265">
        <v>150</v>
      </c>
      <c r="S315" s="265"/>
      <c r="T315" s="265"/>
      <c r="U315" s="265"/>
      <c r="V315" s="265"/>
      <c r="W315" s="265"/>
    </row>
    <row r="316" spans="1:25">
      <c r="A316" s="270">
        <v>4</v>
      </c>
      <c r="B316" s="289">
        <v>200</v>
      </c>
      <c r="C316" s="270">
        <f>((0.1*($C$312^0.75)+(0.84*($C$312^0.355))*((C287/1000)^1.2))*1000)*1.2</f>
        <v>2026.9694956495</v>
      </c>
      <c r="D316" s="270">
        <f>((0.1*($D$312^0.75)+(0.84*($D$312^0.355))*((C287/1000)^1.2))*1000)*1.2</f>
        <v>2242.9881519113</v>
      </c>
      <c r="E316" s="270">
        <f>((0.1*($E$312^0.75)+(0.84*($E$312^0.355))*((C287/1000)^1.2))*1000)*1.2</f>
        <v>2449.9370319519</v>
      </c>
      <c r="F316" s="270">
        <f>((0.1*($F$312^0.75)+(0.84*($F$312^0.355))*((C287/1000)^1.2))*1000)*1.2</f>
        <v>2649.3258870124</v>
      </c>
      <c r="G316" s="270">
        <f>((0.1*($G$312^0.75)+(0.84*($G$312^0.355))*((C287/1000)^1.2))*1000)*1.2</f>
        <v>2842.2718127718</v>
      </c>
      <c r="H316" s="270">
        <f>((0.1*($H$312^0.75)+(0.84*($H$312^0.355))*((C287/1000)^1.2))*1000)*1.2</f>
        <v>3029.630619114</v>
      </c>
      <c r="I316" s="270">
        <f>((0.1*($I$312^0.75)+(0.84*($I$312^0.355))*((C287/1000)^1.2))*1000)*1.2</f>
        <v>3212.0762518664</v>
      </c>
      <c r="J316" s="270">
        <f>((0.1*($J$312^0.75)+(0.84*($J$312^0.355))*((C287/1000)^1.2))*1000)*1.2</f>
        <v>3390.1514429599</v>
      </c>
      <c r="K316" s="270">
        <f>((0.1*($K$312^0.75)+(0.84*($K$312^0.355))*((C287/1000)^1.2))*1000)*1.2</f>
        <v>3564.3014306873</v>
      </c>
      <c r="L316" s="270">
        <f>((0.1*($L$312^0.75)+(0.84*($L$312^0.355))*((C287/1000)^1.2))*1000)*1.2</f>
        <v>3734.8972174441</v>
      </c>
      <c r="M316" s="270">
        <f>((0.1*($M$312^0.75)+(0.84*($M$312^0.355))*((C287/1000)^1.2))*1000)*1.2</f>
        <v>3902.2520940588</v>
      </c>
      <c r="N316" s="270">
        <f>((0.1*($N$312^0.75)+(0.84*($N$312^0.355))*((B316/1000)^1.2))*1000)*1.2</f>
        <v>4066.6336801021</v>
      </c>
      <c r="O316" s="270">
        <f>((0.1*($O$312^0.75)+(0.84*($O$312^0.355))*((B316/1000)^1.2))*1000)*1.2</f>
        <v>4228.272889723</v>
      </c>
      <c r="P316" s="270">
        <f>((0.1*($P$312^0.75)+(0.84*($P$312^0.355))*((B316/1000)^1.2))*1000)*1.2</f>
        <v>4387.3707356239</v>
      </c>
      <c r="Q316" s="290">
        <f>((0.1*($Q$312^0.75)+(0.84*($Q$312^0.355))*((B316/1000)^1.2))*1000)*1.2</f>
        <v>4544.1035790296</v>
      </c>
      <c r="R316" s="265">
        <v>200</v>
      </c>
      <c r="S316" s="265"/>
      <c r="T316" s="265"/>
      <c r="U316" s="265"/>
      <c r="V316" s="265"/>
      <c r="W316" s="265"/>
    </row>
    <row r="317" spans="1:25">
      <c r="A317" s="270">
        <v>5</v>
      </c>
      <c r="B317" s="289">
        <v>250</v>
      </c>
      <c r="C317" s="270">
        <f>((0.1*($C$312^0.75)+(0.84*($C$312^0.355))*((C288/1000)^1.2))*1000)*1.2</f>
        <v>2177.0356948274</v>
      </c>
      <c r="D317" s="270">
        <f>((0.1*($D$312^0.75)+(0.84*($D$312^0.355))*((C288/1000)^1.2))*1000)*1.2</f>
        <v>2401.495351559</v>
      </c>
      <c r="E317" s="270">
        <f>((0.1*($E$312^0.75)+(0.84*($E$312^0.355))*((C288/1000)^1.2))*1000)*1.2</f>
        <v>2616.1389894489</v>
      </c>
      <c r="F317" s="270">
        <f>((0.1*($F$312^0.75)+(0.84*($F$312^0.355))*((C288/1000)^1.2))*1000)*1.2</f>
        <v>2822.6245770858</v>
      </c>
      <c r="G317" s="270">
        <f>((0.1*($G$312^0.75)+(0.84*($G$312^0.355))*((C288/1000)^1.2))*1000)*1.2</f>
        <v>3022.1751373675</v>
      </c>
      <c r="H317" s="270">
        <f>((0.1*($H$312^0.75)+(0.84*($H$312^0.355))*((C288/1000)^1.2))*1000)*1.2</f>
        <v>3215.725142497</v>
      </c>
      <c r="I317" s="270">
        <f>((0.1*($I$312^0.75)+(0.84*($I$312^0.355))*((C288/1000)^1.2))*1000)*1.2</f>
        <v>3404.008756852</v>
      </c>
      <c r="J317" s="270">
        <f>((0.1*($J$312^0.75)+(0.84*($J$312^0.355))*((C288/1000)^1.2))*1000)*1.2</f>
        <v>3587.6159653851</v>
      </c>
      <c r="K317" s="270">
        <f>((0.1*($K$312^0.75)+(0.84*($K$312^0.355))*((C288/1000)^1.2))*1000)*1.2</f>
        <v>3767.0298535654</v>
      </c>
      <c r="L317" s="270">
        <f>((0.1*($L$312^0.75)+(0.84*($L$312^0.355))*((C288/1000)^1.2))*1000)*1.2</f>
        <v>3942.65226597</v>
      </c>
      <c r="M317" s="270">
        <f>((0.1*($M$312^0.75)+(0.84*($M$312^0.355))*((C288/1000)^1.2))*1000)*1.2</f>
        <v>4114.8220012776</v>
      </c>
      <c r="N317" s="270">
        <f>((0.1*($N$312^0.75)+(0.84*($N$312^0.355))*((B317/1000)^1.2))*1000)*1.2</f>
        <v>4283.8280464625</v>
      </c>
      <c r="O317" s="270">
        <f>((0.1*($O$312^0.75)+(0.84*($O$312^0.355))*((B317/1000)^1.2))*1000)*1.2</f>
        <v>4449.9194155811</v>
      </c>
      <c r="P317" s="270">
        <f>((0.1*($P$312^0.75)+(0.84*($P$312^0.355))*((B317/1000)^1.2))*1000)*1.2</f>
        <v>4613.3126049059</v>
      </c>
      <c r="Q317" s="290">
        <f>((0.1*($Q$312^0.75)+(0.84*($Q$312^0.355))*((B317/1000)^1.2))*1000)*1.2</f>
        <v>4774.1973372114</v>
      </c>
      <c r="R317" s="265">
        <v>250</v>
      </c>
      <c r="S317" s="265"/>
      <c r="T317" s="265"/>
      <c r="U317" s="265"/>
      <c r="V317" s="265"/>
      <c r="W317" s="265"/>
    </row>
    <row r="318" spans="1:25">
      <c r="A318" s="270">
        <v>6</v>
      </c>
      <c r="B318" s="289">
        <v>300</v>
      </c>
      <c r="C318" s="270">
        <f>((0.1*($C$312^0.75)+(0.84*($C$312^0.355))*((C289/1000)^1.2))*1000)*1.2</f>
        <v>2333.2642598566</v>
      </c>
      <c r="D318" s="270">
        <f>((0.1*($D$312^0.75)+(0.84*($D$312^0.355))*((C289/1000)^1.2))*1000)*1.2</f>
        <v>2566.5115409703</v>
      </c>
      <c r="E318" s="270">
        <f>((0.1*($E$312^0.75)+(0.84*($E$312^0.355))*((C289/1000)^1.2))*1000)*1.2</f>
        <v>2789.1659166789</v>
      </c>
      <c r="F318" s="270">
        <f>((0.1*($F$312^0.75)+(0.84*($F$312^0.355))*((C289/1000)^1.2))*1000)*1.2</f>
        <v>3003.0396593625</v>
      </c>
      <c r="G318" s="270">
        <f>((0.1*($G$312^0.75)+(0.84*($G$312^0.355))*((C289/1000)^1.2))*1000)*1.2</f>
        <v>3209.4660689669</v>
      </c>
      <c r="H318" s="270">
        <f>((0.1*($H$312^0.75)+(0.84*($H$312^0.355))*((C289/1000)^1.2))*1000)*1.2</f>
        <v>3409.4615102281</v>
      </c>
      <c r="I318" s="270">
        <f>((0.1*($I$312^0.75)+(0.84*($I$312^0.355))*((C289/1000)^1.2))*1000)*1.2</f>
        <v>3603.8228389081</v>
      </c>
      <c r="J318" s="270">
        <f>((0.1*($J$312^0.75)+(0.84*($J$312^0.355))*((C289/1000)^1.2))*1000)*1.2</f>
        <v>3793.1892333941</v>
      </c>
      <c r="K318" s="270">
        <f>((0.1*($K$312^0.75)+(0.84*($K$312^0.355))*((C289/1000)^1.2))*1000)*1.2</f>
        <v>3978.0831804998</v>
      </c>
      <c r="L318" s="270">
        <f>((0.1*($L$312^0.75)+(0.84*($L$312^0.355))*((C289/1000)^1.2))*1000)*1.2</f>
        <v>4158.9386334972</v>
      </c>
      <c r="M318" s="270">
        <f>((0.1*($M$312^0.75)+(0.84*($M$312^0.355))*((C289/1000)^1.2))*1000)*1.2</f>
        <v>4336.1209463774</v>
      </c>
      <c r="N318" s="270">
        <f>((0.1*($N$312^0.75)+(0.84*($N$312^0.355))*((B318/1000)^1.2))*1000)*1.2</f>
        <v>4509.9413509563</v>
      </c>
      <c r="O318" s="270">
        <f>((0.1*($O$312^0.75)+(0.84*($O$312^0.355))*((B318/1000)^1.2))*1000)*1.2</f>
        <v>4680.6677044579</v>
      </c>
      <c r="P318" s="270">
        <f>((0.1*($P$312^0.75)+(0.84*($P$312^0.355))*((B318/1000)^1.2))*1000)*1.2</f>
        <v>4848.532622547</v>
      </c>
      <c r="Q318" s="290">
        <f>((0.1*($Q$312^0.75)+(0.84*($Q$312^0.355))*((B318/1000)^1.2))*1000)*1.2</f>
        <v>5013.739738231</v>
      </c>
      <c r="R318" s="265">
        <v>300</v>
      </c>
      <c r="S318" s="265"/>
      <c r="T318" s="265"/>
      <c r="U318" s="265"/>
      <c r="V318" s="265"/>
      <c r="W318" s="265"/>
    </row>
    <row r="319" spans="1:25">
      <c r="A319" s="270">
        <v>7</v>
      </c>
      <c r="B319" s="289">
        <v>350</v>
      </c>
      <c r="C319" s="270">
        <f>((0.1*($C$312^0.75)+(0.84*($C$312^0.355))*((C290/1000)^1.2))*1000)*1.2</f>
        <v>2494.8108756544</v>
      </c>
      <c r="D319" s="270">
        <f>((0.1*($D$312^0.75)+(0.84*($D$312^0.355))*((C290/1000)^1.2))*1000)*1.2</f>
        <v>2737.1449135949</v>
      </c>
      <c r="E319" s="270">
        <f>((0.1*($E$312^0.75)+(0.84*($E$312^0.355))*((C290/1000)^1.2))*1000)*1.2</f>
        <v>2968.0827141969</v>
      </c>
      <c r="F319" s="270">
        <f>((0.1*($F$312^0.75)+(0.84*($F$312^0.355))*((C290/1000)^1.2))*1000)*1.2</f>
        <v>3189.5961061634</v>
      </c>
      <c r="G319" s="270">
        <f>((0.1*($G$312^0.75)+(0.84*($G$312^0.355))*((C290/1000)^1.2))*1000)*1.2</f>
        <v>3403.13242034</v>
      </c>
      <c r="H319" s="270">
        <f>((0.1*($H$312^0.75)+(0.84*($H$312^0.355))*((C290/1000)^1.2))*1000)*1.2</f>
        <v>3609.7927016338</v>
      </c>
      <c r="I319" s="270">
        <f>((0.1*($I$312^0.75)+(0.84*($I$312^0.355))*((C290/1000)^1.2))*1000)*1.2</f>
        <v>3810.4386312175</v>
      </c>
      <c r="J319" s="270">
        <f>((0.1*($J$312^0.75)+(0.84*($J$312^0.355))*((C290/1000)^1.2))*1000)*1.2</f>
        <v>4005.7602554674</v>
      </c>
      <c r="K319" s="270">
        <f>((0.1*($K$312^0.75)+(0.84*($K$312^0.355))*((C290/1000)^1.2))*1000)*1.2</f>
        <v>4196.3208037714</v>
      </c>
      <c r="L319" s="270">
        <f>((0.1*($L$312^0.75)+(0.84*($L$312^0.355))*((C290/1000)^1.2))*1000)*1.2</f>
        <v>4382.587431082</v>
      </c>
      <c r="M319" s="270">
        <f>((0.1*($M$312^0.75)+(0.84*($M$312^0.355))*((C290/1000)^1.2))*1000)*1.2</f>
        <v>4564.9529506513</v>
      </c>
      <c r="N319" s="270">
        <f>((0.1*($N$312^0.75)+(0.84*($N$312^0.355))*((B319/1000)^1.2))*1000)*1.2</f>
        <v>4743.7515963551</v>
      </c>
      <c r="O319" s="270">
        <f>((0.1*($O$312^0.75)+(0.84*($O$312^0.355))*((B319/1000)^1.2))*1000)*1.2</f>
        <v>4919.2707100106</v>
      </c>
      <c r="P319" s="270">
        <f>((0.1*($P$312^0.75)+(0.84*($P$312^0.355))*((B319/1000)^1.2))*1000)*1.2</f>
        <v>5091.7595753817</v>
      </c>
      <c r="Q319" s="290">
        <f>((0.1*($Q$312^0.75)+(0.84*($Q$312^0.355))*((B319/1000)^1.2))*1000)*1.2</f>
        <v>5261.4362092158</v>
      </c>
      <c r="R319" s="265">
        <v>350</v>
      </c>
      <c r="S319" s="265"/>
      <c r="T319" s="265"/>
      <c r="U319" s="265"/>
      <c r="V319" s="265"/>
      <c r="W319" s="265"/>
    </row>
    <row r="320" spans="1:25">
      <c r="A320" s="270">
        <v>8</v>
      </c>
      <c r="B320" s="289">
        <v>400</v>
      </c>
      <c r="C320" s="270">
        <f>((0.1*($C$312^0.75)+(0.84*($C$312^0.355))*((C291/1000)^1.2))*1000)*1.2</f>
        <v>2661.0543278055</v>
      </c>
      <c r="D320" s="270">
        <f>((0.1*($D$312^0.75)+(0.84*($D$312^0.355))*((C291/1000)^1.2))*1000)*1.2</f>
        <v>2912.7393126309</v>
      </c>
      <c r="E320" s="270">
        <f>((0.1*($E$312^0.75)+(0.84*($E$312^0.355))*((C291/1000)^1.2))*1000)*1.2</f>
        <v>3152.2013719623</v>
      </c>
      <c r="F320" s="270">
        <f>((0.1*($F$312^0.75)+(0.84*($F$312^0.355))*((C291/1000)^1.2))*1000)*1.2</f>
        <v>3381.5765297958</v>
      </c>
      <c r="G320" s="270">
        <f>((0.1*($G$312^0.75)+(0.84*($G$312^0.355))*((C291/1000)^1.2))*1000)*1.2</f>
        <v>3602.4294632325</v>
      </c>
      <c r="H320" s="270">
        <f>((0.1*($H$312^0.75)+(0.84*($H$312^0.355))*((C291/1000)^1.2))*1000)*1.2</f>
        <v>3815.9483593575</v>
      </c>
      <c r="I320" s="270">
        <f>((0.1*($I$312^0.75)+(0.84*($I$312^0.355))*((C291/1000)^1.2))*1000)*1.2</f>
        <v>4023.0616095006</v>
      </c>
      <c r="J320" s="270">
        <f>((0.1*($J$312^0.75)+(0.84*($J$312^0.355))*((C291/1000)^1.2))*1000)*1.2</f>
        <v>4224.5116069722</v>
      </c>
      <c r="K320" s="270">
        <f>((0.1*($K$312^0.75)+(0.84*($K$312^0.355))*((C291/1000)^1.2))*1000)*1.2</f>
        <v>4420.9035082915</v>
      </c>
      <c r="L320" s="270">
        <f>((0.1*($L$312^0.75)+(0.84*($L$312^0.355))*((C291/1000)^1.2))*1000)*1.2</f>
        <v>4612.7386354038</v>
      </c>
      <c r="M320" s="270">
        <f>((0.1*($M$312^0.75)+(0.84*($M$312^0.355))*((C291/1000)^1.2))*1000)*1.2</f>
        <v>4800.4380591774</v>
      </c>
      <c r="N320" s="270">
        <f>((0.1*($N$312^0.75)+(0.84*($N$312^0.355))*((B320/1000)^1.2))*1000)*1.2</f>
        <v>4984.3596843146</v>
      </c>
      <c r="O320" s="270">
        <f>((0.1*($O$312^0.75)+(0.84*($O$312^0.355))*((B320/1000)^1.2))*1000)*1.2</f>
        <v>5164.810903724</v>
      </c>
      <c r="P320" s="270">
        <f>((0.1*($P$312^0.75)+(0.84*($P$312^0.355))*((B320/1000)^1.2))*1000)*1.2</f>
        <v>5342.0581538804</v>
      </c>
      <c r="Q320" s="290">
        <f>((0.1*($Q$312^0.75)+(0.84*($Q$312^0.355))*((B320/1000)^1.2))*1000)*1.2</f>
        <v>5516.3342534666</v>
      </c>
      <c r="R320" s="265">
        <v>400</v>
      </c>
      <c r="S320" s="265"/>
      <c r="T320" s="265"/>
      <c r="U320" s="265"/>
      <c r="V320" s="265"/>
      <c r="W320" s="265"/>
    </row>
    <row r="321" spans="1:25">
      <c r="A321" s="270">
        <v>9</v>
      </c>
      <c r="B321" s="289">
        <v>450</v>
      </c>
      <c r="C321" s="270">
        <f>((0.1*($C$312^0.75)+(0.84*($C$312^0.355))*((C292/1000)^1.2))*1000)*1.2</f>
        <v>2831.516298029</v>
      </c>
      <c r="D321" s="270">
        <f>((0.1*($D$312^0.75)+(0.84*($D$312^0.355))*((C292/1000)^1.2))*1000)*1.2</f>
        <v>3092.7895151055</v>
      </c>
      <c r="E321" s="270">
        <f>((0.1*($E$312^0.75)+(0.84*($E$312^0.355))*((C292/1000)^1.2))*1000)*1.2</f>
        <v>3340.9921408707</v>
      </c>
      <c r="F321" s="270">
        <f>((0.1*($F$312^0.75)+(0.84*($F$312^0.355))*((C292/1000)^1.2))*1000)*1.2</f>
        <v>3578.4285611586</v>
      </c>
      <c r="G321" s="270">
        <f>((0.1*($G$312^0.75)+(0.84*($G$312^0.355))*((C292/1000)^1.2))*1000)*1.2</f>
        <v>3806.7837770511</v>
      </c>
      <c r="H321" s="270">
        <f>((0.1*($H$312^0.75)+(0.84*($H$312^0.355))*((C292/1000)^1.2))*1000)*1.2</f>
        <v>4027.3353290913</v>
      </c>
      <c r="I321" s="270">
        <f>((0.1*($I$312^0.75)+(0.84*($I$312^0.355))*((C292/1000)^1.2))*1000)*1.2</f>
        <v>4241.0800115726</v>
      </c>
      <c r="J321" s="270">
        <f>((0.1*($J$312^0.75)+(0.84*($J$312^0.355))*((C292/1000)^1.2))*1000)*1.2</f>
        <v>4448.8138930716</v>
      </c>
      <c r="K321" s="270">
        <f>((0.1*($K$312^0.75)+(0.84*($K$312^0.355))*((C292/1000)^1.2))*1000)*1.2</f>
        <v>4651.1851211626</v>
      </c>
      <c r="L321" s="270">
        <f>((0.1*($L$312^0.75)+(0.84*($L$312^0.355))*((C292/1000)^1.2))*1000)*1.2</f>
        <v>4848.7300517896</v>
      </c>
      <c r="M321" s="270">
        <f>((0.1*($M$312^0.75)+(0.84*($M$312^0.355))*((C292/1000)^1.2))*1000)*1.2</f>
        <v>5041.8987304896</v>
      </c>
      <c r="N321" s="270">
        <f>((0.1*($N$312^0.75)+(0.84*($N$312^0.355))*((B321/1000)^1.2))*1000)*1.2</f>
        <v>5231.0733334513</v>
      </c>
      <c r="O321" s="270">
        <f>((0.1*($O$312^0.75)+(0.84*($O$312^0.355))*((B321/1000)^1.2))*1000)*1.2</f>
        <v>5416.5818134823</v>
      </c>
      <c r="P321" s="270">
        <f>((0.1*($P$312^0.75)+(0.84*($P$312^0.355))*((B321/1000)^1.2))*1000)*1.2</f>
        <v>5598.7081950276</v>
      </c>
      <c r="Q321" s="290">
        <f>((0.1*($Q$312^0.75)+(0.84*($Q$312^0.355))*((B321/1000)^1.2))*1000)*1.2</f>
        <v>5777.7004743124</v>
      </c>
      <c r="R321" s="265">
        <v>450</v>
      </c>
      <c r="S321" s="265"/>
      <c r="T321" s="265"/>
      <c r="U321" s="265"/>
      <c r="V321" s="265"/>
      <c r="W321" s="265"/>
    </row>
    <row r="322" spans="1:25">
      <c r="A322" s="270">
        <v>10</v>
      </c>
      <c r="B322" s="289">
        <v>500</v>
      </c>
      <c r="C322" s="270">
        <f>((0.1*($C$312^0.75)+(0.84*($C$312^0.355))*((C293/1000)^1.2))*1000)*1.2</f>
        <v>3005.8159200779</v>
      </c>
      <c r="D322" s="270">
        <f>((0.1*($D$312^0.75)+(0.84*($D$312^0.355))*((C293/1000)^1.2))*1000)*1.2</f>
        <v>3276.893231612</v>
      </c>
      <c r="E322" s="270">
        <f>((0.1*($E$312^0.75)+(0.84*($E$312^0.355))*((C293/1000)^1.2))*1000)*1.2</f>
        <v>3534.0332023105</v>
      </c>
      <c r="F322" s="270">
        <f>((0.1*($F$312^0.75)+(0.84*($F$312^0.355))*((C293/1000)^1.2))*1000)*1.2</f>
        <v>3779.7123702166</v>
      </c>
      <c r="G322" s="270">
        <f>((0.1*($G$312^0.75)+(0.84*($G$312^0.355))*((C293/1000)^1.2))*1000)*1.2</f>
        <v>4015.7387692758</v>
      </c>
      <c r="H322" s="270">
        <f>((0.1*($H$312^0.75)+(0.84*($H$312^0.355))*((C293/1000)^1.2))*1000)*1.2</f>
        <v>4243.4813051255</v>
      </c>
      <c r="I322" s="270">
        <f>((0.1*($I$312^0.75)+(0.84*($I$312^0.355))*((C293/1000)^1.2))*1000)*1.2</f>
        <v>4464.0067149953</v>
      </c>
      <c r="J322" s="270">
        <f>((0.1*($J$312^0.75)+(0.84*($J$312^0.355))*((C293/1000)^1.2))*1000)*1.2</f>
        <v>4678.1659511323</v>
      </c>
      <c r="K322" s="270">
        <f>((0.1*($K$312^0.75)+(0.84*($K$312^0.355))*((C293/1000)^1.2))*1000)*1.2</f>
        <v>4886.6511200339</v>
      </c>
      <c r="L322" s="270">
        <f>((0.1*($L$312^0.75)+(0.84*($L$312^0.355))*((C293/1000)^1.2))*1000)*1.2</f>
        <v>5090.0344003719</v>
      </c>
      <c r="M322" s="270">
        <f>((0.1*($M$312^0.75)+(0.84*($M$312^0.355))*((C293/1000)^1.2))*1000)*1.2</f>
        <v>5288.7954646655</v>
      </c>
      <c r="N322" s="270">
        <f>((0.1*($N$312^0.75)+(0.84*($N$312^0.355))*((B322/1000)^1.2))*1000)*1.2</f>
        <v>5483.3413070201</v>
      </c>
      <c r="O322" s="270">
        <f>((0.1*($O$312^0.75)+(0.84*($O$312^0.355))*((B322/1000)^1.2))*1000)*1.2</f>
        <v>5674.020903012</v>
      </c>
      <c r="P322" s="270">
        <f>((0.1*($P$312^0.75)+(0.84*($P$312^0.355))*((B322/1000)^1.2))*1000)*1.2</f>
        <v>5861.1362610187</v>
      </c>
      <c r="Q322" s="290">
        <f>((0.1*($Q$312^0.75)+(0.84*($Q$312^0.355))*((B322/1000)^1.2))*1000)*1.2</f>
        <v>6044.9508965037</v>
      </c>
      <c r="R322" s="265">
        <v>500</v>
      </c>
      <c r="S322" s="265"/>
      <c r="T322" s="265"/>
      <c r="U322" s="265"/>
      <c r="V322" s="265"/>
      <c r="W322" s="265"/>
    </row>
    <row r="323" spans="1:25">
      <c r="A323" s="270">
        <v>11</v>
      </c>
      <c r="B323" s="289">
        <v>550</v>
      </c>
      <c r="C323" s="270">
        <f>((0.1*($C$312^0.75)+(0.84*($C$312^0.355))*((C294/1000)^1.2))*1000)*1.2</f>
        <v>3183.6419823034</v>
      </c>
      <c r="D323" s="270">
        <f>((0.1*($D$312^0.75)+(0.84*($D$312^0.355))*((C294/1000)^1.2))*1000)*1.2</f>
        <v>3464.721745309</v>
      </c>
      <c r="E323" s="270">
        <f>((0.1*($E$312^0.75)+(0.84*($E$312^0.355))*((C294/1000)^1.2))*1000)*1.2</f>
        <v>3730.9798818278</v>
      </c>
      <c r="F323" s="270">
        <f>((0.1*($F$312^0.75)+(0.84*($F$312^0.355))*((C294/1000)^1.2))*1000)*1.2</f>
        <v>3985.0685651054</v>
      </c>
      <c r="G323" s="270">
        <f>((0.1*($G$312^0.75)+(0.84*($G$312^0.355))*((C294/1000)^1.2))*1000)*1.2</f>
        <v>4228.921351159</v>
      </c>
      <c r="H323" s="270">
        <f>((0.1*($H$312^0.75)+(0.84*($H$312^0.355))*((C294/1000)^1.2))*1000)*1.2</f>
        <v>4464.0003592245</v>
      </c>
      <c r="I323" s="270">
        <f>((0.1*($I$312^0.75)+(0.84*($I$312^0.355))*((C294/1000)^1.2))*1000)*1.2</f>
        <v>4691.4436845571</v>
      </c>
      <c r="J323" s="270">
        <f>((0.1*($J$312^0.75)+(0.84*($J$312^0.355))*((C294/1000)^1.2))*1000)*1.2</f>
        <v>4912.1582734839</v>
      </c>
      <c r="K323" s="270">
        <f>((0.1*($K$312^0.75)+(0.84*($K$312^0.355))*((C294/1000)^1.2))*1000)*1.2</f>
        <v>5126.8810808053</v>
      </c>
      <c r="L323" s="270">
        <f>((0.1*($L$312^0.75)+(0.84*($L$312^0.355))*((C294/1000)^1.2))*1000)*1.2</f>
        <v>5336.2208326879</v>
      </c>
      <c r="M323" s="270">
        <f>((0.1*($M$312^0.75)+(0.84*($M$312^0.355))*((C294/1000)^1.2))*1000)*1.2</f>
        <v>5540.6874280487</v>
      </c>
      <c r="N323" s="270">
        <f>((0.1*($N$312^0.75)+(0.84*($N$312^0.355))*((B323/1000)^1.2))*1000)*1.2</f>
        <v>5740.7131810266</v>
      </c>
      <c r="O323" s="270">
        <f>((0.1*($O$312^0.75)+(0.84*($O$312^0.355))*((B323/1000)^1.2))*1000)*1.2</f>
        <v>5936.6685153008</v>
      </c>
      <c r="P323" s="270">
        <f>((0.1*($P$312^0.75)+(0.84*($P$312^0.355))*((B323/1000)^1.2))*1000)*1.2</f>
        <v>6128.8737870332</v>
      </c>
      <c r="Q323" s="290">
        <f>((0.1*($Q$312^0.75)+(0.84*($Q$312^0.355))*((B323/1000)^1.2))*1000)*1.2</f>
        <v>6317.6083449118</v>
      </c>
      <c r="R323" s="265">
        <v>550</v>
      </c>
      <c r="S323" s="265"/>
      <c r="T323" s="265"/>
      <c r="U323" s="265"/>
      <c r="V323" s="265"/>
      <c r="W323" s="265"/>
    </row>
    <row r="324" spans="1:25">
      <c r="A324" s="270">
        <v>12</v>
      </c>
      <c r="B324" s="289">
        <v>600</v>
      </c>
      <c r="C324" s="270">
        <f>((0.1*($C$312^0.75)+(0.84*($C$312^0.355))*((C295/1000)^1.2))*1000)*1.2</f>
        <v>3364.7349113833</v>
      </c>
      <c r="D324" s="270">
        <f>((0.1*($D$312^0.75)+(0.84*($D$312^0.355))*((C295/1000)^1.2))*1000)*1.2</f>
        <v>3656.0008822614</v>
      </c>
      <c r="E324" s="270">
        <f>((0.1*($E$312^0.75)+(0.84*($E$312^0.355))*((C295/1000)^1.2))*1000)*1.2</f>
        <v>3931.5446956689</v>
      </c>
      <c r="F324" s="270">
        <f>((0.1*($F$312^0.75)+(0.84*($F$312^0.355))*((C295/1000)^1.2))*1000)*1.2</f>
        <v>4194.1973866723</v>
      </c>
      <c r="G324" s="270">
        <f>((0.1*($G$312^0.75)+(0.84*($G$312^0.355))*((C295/1000)^1.2))*1000)*1.2</f>
        <v>4446.0203393438</v>
      </c>
      <c r="H324" s="270">
        <f>((0.1*($H$312^0.75)+(0.84*($H$312^0.355))*((C295/1000)^1.2))*1000)*1.2</f>
        <v>4688.5705989572</v>
      </c>
      <c r="I324" s="270">
        <f>((0.1*($I$312^0.75)+(0.84*($I$312^0.355))*((C295/1000)^1.2))*1000)*1.2</f>
        <v>4923.0589297215</v>
      </c>
      <c r="J324" s="270">
        <f>((0.1*($J$312^0.75)+(0.84*($J$312^0.355))*((C295/1000)^1.2))*1000)*1.2</f>
        <v>5150.4493007189</v>
      </c>
      <c r="K324" s="270">
        <f>((0.1*($K$312^0.75)+(0.84*($K$312^0.355))*((C295/1000)^1.2))*1000)*1.2</f>
        <v>5371.5243389665</v>
      </c>
      <c r="L324" s="270">
        <f>((0.1*($L$312^0.75)+(0.84*($L$312^0.355))*((C295/1000)^1.2))*1000)*1.2</f>
        <v>5586.9299895454</v>
      </c>
      <c r="M324" s="270">
        <f>((0.1*($M$312^0.75)+(0.84*($M$312^0.355))*((C295/1000)^1.2))*1000)*1.2</f>
        <v>5797.206933063</v>
      </c>
      <c r="N324" s="270">
        <f>((0.1*($N$312^0.75)+(0.84*($N$312^0.355))*((B324/1000)^1.2))*1000)*1.2</f>
        <v>6002.81326885</v>
      </c>
      <c r="O324" s="270">
        <f>((0.1*($O$312^0.75)+(0.84*($O$312^0.355))*((B324/1000)^1.2))*1000)*1.2</f>
        <v>6204.1412627144</v>
      </c>
      <c r="P324" s="270">
        <f>((0.1*($P$312^0.75)+(0.84*($P$312^0.355))*((B324/1000)^1.2))*1000)*1.2</f>
        <v>6401.5299556722</v>
      </c>
      <c r="Q324" s="290">
        <f>((0.1*($Q$312^0.75)+(0.84*($Q$312^0.355))*((B324/1000)^1.2))*1000)*1.2</f>
        <v>6595.2748205101</v>
      </c>
      <c r="R324" s="265">
        <v>600</v>
      </c>
      <c r="S324" s="265"/>
      <c r="T324" s="265"/>
      <c r="U324" s="265"/>
      <c r="V324" s="265"/>
      <c r="W324" s="265"/>
    </row>
    <row r="325" spans="1:25">
      <c r="A325" s="270">
        <v>13</v>
      </c>
      <c r="B325" s="289">
        <v>650</v>
      </c>
      <c r="C325" s="270">
        <f>((0.1*($C$312^0.75)+(0.84*($C$312^0.355))*((C296/1000)^1.2))*1000)*1.2</f>
        <v>3548.8745530214</v>
      </c>
      <c r="D325" s="270">
        <f>((0.1*($D$312^0.75)+(0.84*($D$312^0.355))*((C296/1000)^1.2))*1000)*1.2</f>
        <v>3850.4981048211</v>
      </c>
      <c r="E325" s="270">
        <f>((0.1*($E$312^0.75)+(0.84*($E$312^0.355))*((C296/1000)^1.2))*1000)*1.2</f>
        <v>4135.4838176079</v>
      </c>
      <c r="F325" s="270">
        <f>((0.1*($F$312^0.75)+(0.84*($F$312^0.355))*((C296/1000)^1.2))*1000)*1.2</f>
        <v>4406.8445974452</v>
      </c>
      <c r="G325" s="270">
        <f>((0.1*($G$312^0.75)+(0.84*($G$312^0.355))*((C296/1000)^1.2))*1000)*1.2</f>
        <v>4666.7718070431</v>
      </c>
      <c r="H325" s="270">
        <f>((0.1*($H$312^0.75)+(0.84*($H$312^0.355))*((C296/1000)^1.2))*1000)*1.2</f>
        <v>4916.9190147517</v>
      </c>
      <c r="I325" s="270">
        <f>((0.1*($I$312^0.75)+(0.84*($I$312^0.355))*((C296/1000)^1.2))*1000)*1.2</f>
        <v>5158.5708763182</v>
      </c>
      <c r="J325" s="270">
        <f>((0.1*($J$312^0.75)+(0.84*($J$312^0.355))*((C296/1000)^1.2))*1000)*1.2</f>
        <v>5392.7493429323</v>
      </c>
      <c r="K325" s="270">
        <f>((0.1*($K$312^0.75)+(0.84*($K$312^0.355))*((C296/1000)^1.2))*1000)*1.2</f>
        <v>5620.2834822189</v>
      </c>
      <c r="L325" s="270">
        <f>((0.1*($L$312^0.75)+(0.84*($L$312^0.355))*((C296/1000)^1.2))*1000)*1.2</f>
        <v>5841.8570843452</v>
      </c>
      <c r="M325" s="270">
        <f>((0.1*($M$312^0.75)+(0.84*($M$312^0.355))*((C296/1000)^1.2))*1000)*1.2</f>
        <v>6058.0421294813</v>
      </c>
      <c r="N325" s="270">
        <f>((0.1*($N$312^0.75)+(0.84*($N$312^0.355))*((B325/1000)^1.2))*1000)*1.2</f>
        <v>6269.3229359604</v>
      </c>
      <c r="O325" s="270">
        <f>((0.1*($O$312^0.75)+(0.84*($O$312^0.355))*((B325/1000)^1.2))*1000)*1.2</f>
        <v>6476.1139791918</v>
      </c>
      <c r="P325" s="270">
        <f>((0.1*($P$312^0.75)+(0.84*($P$312^0.355))*((B325/1000)^1.2))*1000)*1.2</f>
        <v>6678.7732994002</v>
      </c>
      <c r="Q325" s="290">
        <f>((0.1*($Q$312^0.75)+(0.84*($Q$312^0.355))*((B325/1000)^1.2))*1000)*1.2</f>
        <v>6877.6127647433</v>
      </c>
      <c r="R325" s="265">
        <v>650</v>
      </c>
      <c r="S325" s="265"/>
      <c r="T325" s="265"/>
      <c r="U325" s="265"/>
      <c r="V325" s="265"/>
      <c r="W325" s="265"/>
    </row>
    <row r="326" spans="1:25">
      <c r="A326" s="270">
        <v>14</v>
      </c>
      <c r="B326" s="289">
        <v>700</v>
      </c>
      <c r="C326" s="270">
        <f>((0.1*($C$312^0.75)+(0.84*($C$312^0.355))*((C297/1000)^1.2))*1000)*1.2</f>
        <v>3735.8715750277</v>
      </c>
      <c r="D326" s="270">
        <f>((0.1*($D$312^0.75)+(0.84*($D$312^0.355))*((C297/1000)^1.2))*1000)*1.2</f>
        <v>4048.0134311443</v>
      </c>
      <c r="E326" s="270">
        <f>((0.1*($E$312^0.75)+(0.84*($E$312^0.355))*((C297/1000)^1.2))*1000)*1.2</f>
        <v>4342.5875576495</v>
      </c>
      <c r="F326" s="270">
        <f>((0.1*($F$312^0.75)+(0.84*($F$312^0.355))*((C297/1000)^1.2))*1000)*1.2</f>
        <v>4622.7915537809</v>
      </c>
      <c r="G326" s="270">
        <f>((0.1*($G$312^0.75)+(0.84*($G$312^0.355))*((C297/1000)^1.2))*1000)*1.2</f>
        <v>4890.948777825</v>
      </c>
      <c r="H326" s="270">
        <f>((0.1*($H$312^0.75)+(0.84*($H$312^0.355))*((C297/1000)^1.2))*1000)*1.2</f>
        <v>5148.8108190018</v>
      </c>
      <c r="I326" s="270">
        <f>((0.1*($I$312^0.75)+(0.84*($I$312^0.355))*((C297/1000)^1.2))*1000)*1.2</f>
        <v>5397.7373712061</v>
      </c>
      <c r="J326" s="270">
        <f>((0.1*($J$312^0.75)+(0.84*($J$312^0.355))*((C297/1000)^1.2))*1000)*1.2</f>
        <v>5638.8092674703</v>
      </c>
      <c r="K326" s="270">
        <f>((0.1*($K$312^0.75)+(0.84*($K$312^0.355))*((C297/1000)^1.2))*1000)*1.2</f>
        <v>5872.9027366675</v>
      </c>
      <c r="L326" s="270">
        <f>((0.1*($L$312^0.75)+(0.84*($L$312^0.355))*((C297/1000)^1.2))*1000)*1.2</f>
        <v>6100.740001311</v>
      </c>
      <c r="M326" s="270">
        <f>((0.1*($M$312^0.75)+(0.84*($M$312^0.355))*((C297/1000)^1.2))*1000)*1.2</f>
        <v>6322.9248268232</v>
      </c>
      <c r="N326" s="270">
        <f>((0.1*($N$312^0.75)+(0.84*($N$312^0.355))*((B326/1000)^1.2))*1000)*1.2</f>
        <v>6539.9681573923</v>
      </c>
      <c r="O326" s="270">
        <f>((0.1*($O$312^0.75)+(0.84*($O$312^0.355))*((B326/1000)^1.2))*1000)*1.2</f>
        <v>6752.3070226659</v>
      </c>
      <c r="P326" s="270">
        <f>((0.1*($P$312^0.75)+(0.84*($P$312^0.355))*((B326/1000)^1.2))*1000)*1.2</f>
        <v>6960.3187568966</v>
      </c>
      <c r="Q326" s="290">
        <f>((0.1*($Q$312^0.75)+(0.84*($Q$312^0.355))*((B326/1000)^1.2))*1000)*1.2</f>
        <v>7164.3318780278</v>
      </c>
      <c r="R326" s="265">
        <v>700</v>
      </c>
      <c r="S326" s="265"/>
      <c r="T326" s="265"/>
      <c r="U326" s="265"/>
      <c r="V326" s="265"/>
      <c r="W326" s="265"/>
    </row>
    <row r="327" spans="1:25">
      <c r="A327" s="270">
        <v>15</v>
      </c>
      <c r="B327" s="289">
        <v>750</v>
      </c>
      <c r="C327" s="270">
        <f>((0.1*($C$312^0.75)+(0.84*($C$312^0.355))*((C298/1000)^1.2))*1000)*1.2</f>
        <v>3925.5612333023</v>
      </c>
      <c r="D327" s="270">
        <f>((0.1*($D$312^0.75)+(0.84*($D$312^0.355))*((C298/1000)^1.2))*1000)*1.2</f>
        <v>4248.3728505203</v>
      </c>
      <c r="E327" s="270">
        <f>((0.1*($E$312^0.75)+(0.84*($E$312^0.355))*((C298/1000)^1.2))*1000)*1.2</f>
        <v>4552.673457705</v>
      </c>
      <c r="F327" s="270">
        <f>((0.1*($F$312^0.75)+(0.84*($F$312^0.355))*((C298/1000)^1.2))*1000)*1.2</f>
        <v>4841.84800673</v>
      </c>
      <c r="G327" s="270">
        <f>((0.1*($G$312^0.75)+(0.84*($G$312^0.355))*((C298/1000)^1.2))*1000)*1.2</f>
        <v>5118.3537521097</v>
      </c>
      <c r="H327" s="270">
        <f>((0.1*($H$312^0.75)+(0.84*($H$312^0.355))*((C298/1000)^1.2))*1000)*1.2</f>
        <v>5384.0417153708</v>
      </c>
      <c r="I327" s="270">
        <f>((0.1*($I$312^0.75)+(0.84*($I$312^0.355))*((C298/1000)^1.2))*1000)*1.2</f>
        <v>5640.3477090567</v>
      </c>
      <c r="J327" s="270">
        <f>((0.1*($J$312^0.75)+(0.84*($J$312^0.355))*((C298/1000)^1.2))*1000)*1.2</f>
        <v>5888.4122959031</v>
      </c>
      <c r="K327" s="270">
        <f>((0.1*($K$312^0.75)+(0.84*($K$312^0.355))*((C298/1000)^1.2))*1000)*1.2</f>
        <v>6129.1595451226</v>
      </c>
      <c r="L327" s="270">
        <f>((0.1*($L$312^0.75)+(0.84*($L$312^0.355))*((C298/1000)^1.2))*1000)*1.2</f>
        <v>6363.3506649755</v>
      </c>
      <c r="M327" s="270">
        <f>((0.1*($M$312^0.75)+(0.84*($M$312^0.355))*((C298/1000)^1.2))*1000)*1.2</f>
        <v>6591.6216638238</v>
      </c>
      <c r="N327" s="270">
        <f>((0.1*($N$312^0.75)+(0.84*($N$312^0.355))*((B327/1000)^1.2))*1000)*1.2</f>
        <v>6814.5104951058</v>
      </c>
      <c r="O327" s="270">
        <f>((0.1*($O$312^0.75)+(0.84*($O$312^0.355))*((B327/1000)^1.2))*1000)*1.2</f>
        <v>7032.4770674736</v>
      </c>
      <c r="P327" s="270">
        <f>((0.1*($P$312^0.75)+(0.84*($P$312^0.355))*((B327/1000)^1.2))*1000)*1.2</f>
        <v>7245.9182870295</v>
      </c>
      <c r="Q327" s="290">
        <f>((0.1*($Q$312^0.75)+(0.84*($Q$312^0.355))*((B327/1000)^1.2))*1000)*1.2</f>
        <v>7455.1795612487</v>
      </c>
      <c r="R327" s="265">
        <v>750</v>
      </c>
      <c r="S327" s="265"/>
      <c r="T327" s="265"/>
      <c r="U327" s="265"/>
      <c r="V327" s="265"/>
      <c r="W327" s="265"/>
    </row>
    <row r="328" spans="1:25">
      <c r="A328" s="270">
        <v>16</v>
      </c>
      <c r="B328" s="289">
        <v>800</v>
      </c>
      <c r="C328" s="270">
        <f>((0.1*($C$312^0.75)+(0.84*($C$312^0.355))*((C299/1000)^1.2))*1000)*1.2</f>
        <v>4117.7987350577</v>
      </c>
      <c r="D328" s="270">
        <f>((0.1*($D$312^0.75)+(0.84*($D$312^0.355))*((C299/1000)^1.2))*1000)*1.2</f>
        <v>4451.4234257829</v>
      </c>
      <c r="E328" s="270">
        <f>((0.1*($E$312^0.75)+(0.84*($E$312^0.355))*((C299/1000)^1.2))*1000)*1.2</f>
        <v>4765.5811562483</v>
      </c>
      <c r="F328" s="270">
        <f>((0.1*($F$312^0.75)+(0.84*($F$312^0.355))*((C299/1000)^1.2))*1000)*1.2</f>
        <v>5063.8467474173</v>
      </c>
      <c r="G328" s="270">
        <f>((0.1*($G$312^0.75)+(0.84*($G$312^0.355))*((C299/1000)^1.2))*1000)*1.2</f>
        <v>5348.8131484778</v>
      </c>
      <c r="H328" s="270">
        <f>((0.1*($H$312^0.75)+(0.84*($H$312^0.355))*((C299/1000)^1.2))*1000)*1.2</f>
        <v>5622.432148803</v>
      </c>
      <c r="I328" s="270">
        <f>((0.1*($I$312^0.75)+(0.84*($I$312^0.355))*((C299/1000)^1.2))*1000)*1.2</f>
        <v>5886.2167019828</v>
      </c>
      <c r="J328" s="270">
        <f>((0.1*($J$312^0.75)+(0.84*($J$312^0.355))*((C299/1000)^1.2))*1000)*1.2</f>
        <v>6141.3679027241</v>
      </c>
      <c r="K328" s="270">
        <f>((0.1*($K$312^0.75)+(0.84*($K$312^0.355))*((C299/1000)^1.2))*1000)*1.2</f>
        <v>6388.8583031536</v>
      </c>
      <c r="L328" s="270">
        <f>((0.1*($L$312^0.75)+(0.84*($L$312^0.355))*((C299/1000)^1.2))*1000)*1.2</f>
        <v>6629.488620921</v>
      </c>
      <c r="M328" s="270">
        <f>((0.1*($M$312^0.75)+(0.84*($M$312^0.355))*((C299/1000)^1.2))*1000)*1.2</f>
        <v>6863.9275404037</v>
      </c>
      <c r="N328" s="270">
        <f>((0.1*($N$312^0.75)+(0.84*($N$312^0.355))*((B328/1000)^1.2))*1000)*1.2</f>
        <v>7092.7403870684</v>
      </c>
      <c r="O328" s="270">
        <f>((0.1*($O$312^0.75)+(0.84*($O$312^0.355))*((B328/1000)^1.2))*1000)*1.2</f>
        <v>7316.4102558743</v>
      </c>
      <c r="P328" s="270">
        <f>((0.1*($P$312^0.75)+(0.84*($P$312^0.355))*((B328/1000)^1.2))*1000)*1.2</f>
        <v>7535.3538876557</v>
      </c>
      <c r="Q328" s="290">
        <f>((0.1*($Q$312^0.75)+(0.84*($Q$312^0.355))*((B328/1000)^1.2))*1000)*1.2</f>
        <v>7749.9338062735</v>
      </c>
      <c r="R328" s="265">
        <v>800</v>
      </c>
      <c r="S328" s="265"/>
      <c r="T328" s="265"/>
      <c r="U328" s="265"/>
      <c r="V328" s="265"/>
      <c r="W328" s="265"/>
    </row>
    <row r="329" spans="1:25">
      <c r="A329" s="270">
        <v>17</v>
      </c>
      <c r="B329" s="289">
        <v>850</v>
      </c>
      <c r="C329" s="270">
        <f>((0.1*($C$312^0.75)+(0.84*($C$312^0.355))*((C300/1000)^1.2))*1000)*1.2</f>
        <v>4312.4557146524</v>
      </c>
      <c r="D329" s="270">
        <f>((0.1*($D$312^0.75)+(0.84*($D$312^0.355))*((C300/1000)^1.2))*1000)*1.2</f>
        <v>4657.0295709141</v>
      </c>
      <c r="E329" s="270">
        <f>((0.1*($E$312^0.75)+(0.84*($E$312^0.355))*((C300/1000)^1.2))*1000)*1.2</f>
        <v>4981.1684852161</v>
      </c>
      <c r="F329" s="270">
        <f>((0.1*($F$312^0.75)+(0.84*($F$312^0.355))*((C300/1000)^1.2))*1000)*1.2</f>
        <v>5288.6395372808</v>
      </c>
      <c r="G329" s="270">
        <f>((0.1*($G$312^0.75)+(0.84*($G$312^0.355))*((C300/1000)^1.2))*1000)*1.2</f>
        <v>5582.1730788067</v>
      </c>
      <c r="H329" s="270">
        <f>((0.1*($H$312^0.75)+(0.84*($H$312^0.355))*((C300/1000)^1.2))*1000)*1.2</f>
        <v>5863.8229352647</v>
      </c>
      <c r="I329" s="270">
        <f>((0.1*($I$312^0.75)+(0.84*($I$312^0.355))*((C300/1000)^1.2))*1000)*1.2</f>
        <v>6135.1801721794</v>
      </c>
      <c r="J329" s="270">
        <f>((0.1*($J$312^0.75)+(0.84*($J$312^0.355))*((C300/1000)^1.2))*1000)*1.2</f>
        <v>6397.5071780771</v>
      </c>
      <c r="K329" s="270">
        <f>((0.1*($K$312^0.75)+(0.84*($K$312^0.355))*((C300/1000)^1.2))*1000)*1.2</f>
        <v>6651.8255981984</v>
      </c>
      <c r="L329" s="270">
        <f>((0.1*($L$312^0.75)+(0.84*($L$312^0.355))*((C300/1000)^1.2))*1000)*1.2</f>
        <v>6898.976156843</v>
      </c>
      <c r="M329" s="270">
        <f>((0.1*($M$312^0.75)+(0.84*($M$312^0.355))*((C300/1000)^1.2))*1000)*1.2</f>
        <v>7139.6606256596</v>
      </c>
      <c r="N329" s="270">
        <f>((0.1*($N$312^0.75)+(0.84*($N$312^0.355))*((B329/1000)^1.2))*1000)*1.2</f>
        <v>7374.4720466448</v>
      </c>
      <c r="O329" s="270">
        <f>((0.1*($O$312^0.75)+(0.84*($O$312^0.355))*((B329/1000)^1.2))*1000)*1.2</f>
        <v>7603.9169928849</v>
      </c>
      <c r="P329" s="270">
        <f>((0.1*($P$312^0.75)+(0.84*($P$312^0.355))*((B329/1000)^1.2))*1000)*1.2</f>
        <v>7828.4322895834</v>
      </c>
      <c r="Q329" s="290">
        <f>((0.1*($Q$312^0.75)+(0.84*($Q$312^0.355))*((B329/1000)^1.2))*1000)*1.2</f>
        <v>8048.397792412</v>
      </c>
      <c r="R329" s="265">
        <v>850</v>
      </c>
      <c r="S329" s="265"/>
      <c r="T329" s="265"/>
      <c r="U329" s="265"/>
      <c r="V329" s="265"/>
      <c r="W329" s="265"/>
    </row>
    <row r="330" spans="1:25">
      <c r="A330" s="270">
        <v>18</v>
      </c>
      <c r="B330" s="289">
        <v>900</v>
      </c>
      <c r="C330" s="270">
        <f>((0.1*($C$312^0.75)+(0.84*($C$312^0.355))*((C301/1000)^1.2))*1000)*1.2</f>
        <v>4509.4175046283</v>
      </c>
      <c r="D330" s="270">
        <f>((0.1*($D$312^0.75)+(0.84*($D$312^0.355))*((C301/1000)^1.2))*1000)*1.2</f>
        <v>4865.0701685818</v>
      </c>
      <c r="E330" s="270">
        <f>((0.1*($E$312^0.75)+(0.84*($E$312^0.355))*((C301/1000)^1.2))*1000)*1.2</f>
        <v>5199.3084476157</v>
      </c>
      <c r="F330" s="270">
        <f>((0.1*($F$312^0.75)+(0.84*($F$312^0.355))*((C301/1000)^1.2))*1000)*1.2</f>
        <v>5516.093956626</v>
      </c>
      <c r="G330" s="270">
        <f>((0.1*($G$312^0.75)+(0.84*($G$312^0.355))*((C301/1000)^1.2))*1000)*1.2</f>
        <v>5818.2960767178</v>
      </c>
      <c r="H330" s="270">
        <f>((0.1*($H$312^0.75)+(0.84*($H$312^0.355))*((C301/1000)^1.2))*1000)*1.2</f>
        <v>6108.071877605</v>
      </c>
      <c r="I330" s="270">
        <f>((0.1*($I$312^0.75)+(0.84*($I$312^0.355))*((C301/1000)^1.2))*1000)*1.2</f>
        <v>6387.0914616212</v>
      </c>
      <c r="J330" s="270">
        <f>((0.1*($J$312^0.75)+(0.84*($J$312^0.355))*((C301/1000)^1.2))*1000)*1.2</f>
        <v>6656.6792368531</v>
      </c>
      <c r="K330" s="270">
        <f>((0.1*($K$312^0.75)+(0.84*($K$312^0.355))*((C301/1000)^1.2))*1000)*1.2</f>
        <v>6917.9065229358</v>
      </c>
      <c r="L330" s="270">
        <f>((0.1*($L$312^0.75)+(0.84*($L$312^0.355))*((C301/1000)^1.2))*1000)*1.2</f>
        <v>7171.6545245125</v>
      </c>
      <c r="M330" s="270">
        <f>((0.1*($M$312^0.75)+(0.84*($M$312^0.355))*((C301/1000)^1.2))*1000)*1.2</f>
        <v>7418.6584922691</v>
      </c>
      <c r="N330" s="270">
        <f>((0.1*($N$312^0.75)+(0.84*($N$312^0.355))*((B330/1000)^1.2))*1000)*1.2</f>
        <v>7659.5395129056</v>
      </c>
      <c r="O330" s="270">
        <f>((0.1*($O$312^0.75)+(0.84*($O$312^0.355))*((B330/1000)^1.2))*1000)*1.2</f>
        <v>7894.8279156252</v>
      </c>
      <c r="P330" s="270">
        <f>((0.1*($P$312^0.75)+(0.84*($P$312^0.355))*((B330/1000)^1.2))*1000)*1.2</f>
        <v>8124.9808478069</v>
      </c>
      <c r="Q330" s="290">
        <f>((0.1*($Q$312^0.75)+(0.84*($Q$312^0.355))*((B330/1000)^1.2))*1000)*1.2</f>
        <v>8350.3957021483</v>
      </c>
      <c r="R330" s="265">
        <v>900</v>
      </c>
      <c r="S330" s="265"/>
      <c r="T330" s="265"/>
      <c r="U330" s="265"/>
      <c r="V330" s="265"/>
      <c r="W330" s="265"/>
    </row>
    <row r="331" spans="1:25">
      <c r="A331" s="270">
        <v>19</v>
      </c>
      <c r="B331" s="289">
        <v>950</v>
      </c>
      <c r="C331" s="270">
        <f>((0.1*($C$312^0.75)+(0.84*($C$312^0.355))*((C302/1000)^1.2))*1000)*1.2</f>
        <v>4708.5809878832</v>
      </c>
      <c r="D331" s="270">
        <f>((0.1*($D$312^0.75)+(0.84*($D$312^0.355))*((C302/1000)^1.2))*1000)*1.2</f>
        <v>5075.4363015004</v>
      </c>
      <c r="E331" s="270">
        <f>((0.1*($E$312^0.75)+(0.84*($E$312^0.355))*((C302/1000)^1.2))*1000)*1.2</f>
        <v>5419.8868387541</v>
      </c>
      <c r="F331" s="270">
        <f>((0.1*($F$312^0.75)+(0.84*($F$312^0.355))*((C302/1000)^1.2))*1000)*1.2</f>
        <v>5746.0909242817</v>
      </c>
      <c r="G331" s="270">
        <f>((0.1*($G$312^0.75)+(0.84*($G$312^0.355))*((C302/1000)^1.2))*1000)*1.2</f>
        <v>6057.0585227045</v>
      </c>
      <c r="H331" s="270">
        <f>((0.1*($H$312^0.75)+(0.84*($H$312^0.355))*((C302/1000)^1.2))*1000)*1.2</f>
        <v>6355.0511020718</v>
      </c>
      <c r="I331" s="270">
        <f>((0.1*($I$312^0.75)+(0.84*($I$312^0.355))*((C302/1000)^1.2))*1000)*1.2</f>
        <v>6641.8186850212</v>
      </c>
      <c r="J331" s="270">
        <f>((0.1*($J$312^0.75)+(0.84*($J$312^0.355))*((C302/1000)^1.2))*1000)*1.2</f>
        <v>6918.7483924719</v>
      </c>
      <c r="K331" s="270">
        <f>((0.1*($K$312^0.75)+(0.84*($K$312^0.355))*((C302/1000)^1.2))*1000)*1.2</f>
        <v>7186.9617737277</v>
      </c>
      <c r="L331" s="270">
        <f>((0.1*($L$312^0.75)+(0.84*($L$312^0.355))*((C302/1000)^1.2))*1000)*1.2</f>
        <v>7447.3809662756</v>
      </c>
      <c r="M331" s="270">
        <f>((0.1*($M$312^0.75)+(0.84*($M$312^0.355))*((C302/1000)^1.2))*1000)*1.2</f>
        <v>7700.7750740764</v>
      </c>
      <c r="N331" s="270">
        <f>((0.1*($N$312^0.75)+(0.84*($N$312^0.355))*((B331/1000)^1.2))*1000)*1.2</f>
        <v>7947.7935420252</v>
      </c>
      <c r="O331" s="270">
        <f>((0.1*($O$312^0.75)+(0.84*($O$312^0.355))*((B331/1000)^1.2))*1000)*1.2</f>
        <v>8188.9907209944</v>
      </c>
      <c r="P331" s="270">
        <f>((0.1*($P$312^0.75)+(0.84*($P$312^0.355))*((B331/1000)^1.2))*1000)*1.2</f>
        <v>8424.8443077057</v>
      </c>
      <c r="Q331" s="290">
        <f>((0.1*($Q$312^0.75)+(0.84*($Q$312^0.355))*((B331/1000)^1.2))*1000)*1.2</f>
        <v>8655.7694279158</v>
      </c>
      <c r="R331" s="265">
        <v>950</v>
      </c>
      <c r="S331" s="265"/>
      <c r="T331" s="265"/>
      <c r="U331" s="265"/>
      <c r="V331" s="265"/>
      <c r="W331" s="265"/>
    </row>
    <row r="332" spans="1:25" customHeight="1" ht="15">
      <c r="A332" s="270">
        <v>20</v>
      </c>
      <c r="B332" s="291">
        <v>1000</v>
      </c>
      <c r="C332" s="292">
        <f>((0.1*($C$312^0.75)+(0.84*($C$312^0.355))*((C303/1000)^1.2))*1000)*1.2</f>
        <v>4909.8528828768</v>
      </c>
      <c r="D332" s="292">
        <f>((0.1*($D$312^0.75)+(0.84*($D$312^0.355))*((C303/1000)^1.2))*1000)*1.2</f>
        <v>5288.0294411814</v>
      </c>
      <c r="E332" s="292">
        <f>((0.1*($E$312^0.75)+(0.84*($E$312^0.355))*((C303/1000)^1.2))*1000)*1.2</f>
        <v>5642.8003470613</v>
      </c>
      <c r="F332" s="292">
        <f>((0.1*($F$312^0.75)+(0.84*($F$312^0.355))*((C303/1000)^1.2))*1000)*1.2</f>
        <v>5978.5227173308</v>
      </c>
      <c r="G332" s="292">
        <f>((0.1*($G$312^0.75)+(0.84*($G$312^0.355))*((C303/1000)^1.2))*1000)*1.2</f>
        <v>6298.3485883915</v>
      </c>
      <c r="H332" s="292">
        <f>((0.1*($H$312^0.75)+(0.84*($H$312^0.355))*((C303/1000)^1.2))*1000)*1.2</f>
        <v>6604.6449318245</v>
      </c>
      <c r="I332" s="292">
        <f>((0.1*($I$312^0.75)+(0.84*($I$312^0.355))*((C303/1000)^1.2))*1000)*1.2</f>
        <v>6899.2425366343</v>
      </c>
      <c r="J332" s="292">
        <f>((0.1*($J$312^0.75)+(0.84*($J$312^0.355))*((C303/1000)^1.2))*1000)*1.2</f>
        <v>7183.5919004721</v>
      </c>
      <c r="K332" s="292">
        <f>((0.1*($K$312^0.75)+(0.84*($K$312^0.355))*((C303/1000)^1.2))*1000)*1.2</f>
        <v>7458.8653340582</v>
      </c>
      <c r="L332" s="292">
        <f>((0.1*($L$312^0.75)+(0.84*($L$312^0.355))*((C303/1000)^1.2))*1000)*1.2</f>
        <v>7726.0263410527</v>
      </c>
      <c r="M332" s="292">
        <f>((0.1*($M$312^0.75)+(0.84*($M$312^0.355))*((C303/1000)^1.2))*1000)*1.2</f>
        <v>7985.8782370733</v>
      </c>
      <c r="N332" s="292">
        <f>((0.1*($N$312^0.75)+(0.84*($N$312^0.355))*((B332/1000)^1.2))*1000)*1.2</f>
        <v>8239.0991254195</v>
      </c>
      <c r="O332" s="292">
        <f>((0.1*($O$312^0.75)+(0.84*($O$312^0.355))*((B332/1000)^1.2))*1000)*1.2</f>
        <v>8486.2676329347</v>
      </c>
      <c r="P332" s="292">
        <f>((0.1*($P$312^0.75)+(0.84*($P$312^0.355))*((B332/1000)^1.2))*1000)*1.2</f>
        <v>8727.882223225</v>
      </c>
      <c r="Q332" s="293">
        <f>((0.1*($Q$312^0.75)+(0.84*($Q$312^0.355))*((B332/1000)^1.2))*1000)*1.2</f>
        <v>8964.375942835</v>
      </c>
      <c r="R332" s="265">
        <v>1000</v>
      </c>
      <c r="S332" s="265"/>
      <c r="T332" s="265"/>
      <c r="U332" s="265"/>
      <c r="V332" s="265"/>
      <c r="W332" s="265"/>
    </row>
    <row r="333" spans="1:25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</row>
    <row r="334" spans="1:25">
      <c r="A334" s="265">
        <f>MATCH(G334,D341:R341,0)</f>
        <v>1</v>
      </c>
      <c r="B334" s="265">
        <f>A334-2</f>
        <v>-1</v>
      </c>
      <c r="C334" s="265"/>
      <c r="D334" s="265"/>
      <c r="E334" s="265" t="s">
        <v>147</v>
      </c>
      <c r="F334" s="265"/>
      <c r="G334" s="265">
        <f>VLOOKUP(Dados!$D$18,Dados!A436:B450,2,0)</f>
        <v>30</v>
      </c>
      <c r="H334" s="265"/>
      <c r="I334" s="265"/>
      <c r="J334" s="265">
        <f>IFERROR(VLOOKUP(A335,B342:R361,MATCH(A334,D339:R339,1)-B334,0),"")</f>
        <v>1000</v>
      </c>
      <c r="K334" s="266"/>
      <c r="L334" s="267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</row>
    <row r="335" spans="1:25">
      <c r="A335" s="265">
        <f>S338</f>
        <v>20</v>
      </c>
      <c r="B335" s="265"/>
      <c r="C335" s="265"/>
      <c r="D335" s="265"/>
      <c r="E335" s="265" t="s">
        <v>148</v>
      </c>
      <c r="F335" s="265"/>
      <c r="G335" s="270">
        <f>Dados!E242</f>
        <v>326.47714285714</v>
      </c>
      <c r="H335" s="265"/>
      <c r="I335" s="265"/>
      <c r="J335" s="266"/>
      <c r="K335" s="266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</row>
    <row r="336" spans="1:25">
      <c r="A336" s="265">
        <f>MATCH(A334,D339:R339,0)-5</f>
        <v>-4</v>
      </c>
      <c r="B336" s="265"/>
      <c r="C336" s="265"/>
      <c r="D336" s="265"/>
      <c r="E336" s="268" t="s">
        <v>149</v>
      </c>
      <c r="F336" s="268"/>
      <c r="G336" s="269">
        <f>B338</f>
        <v>1000</v>
      </c>
      <c r="H336" s="265"/>
      <c r="I336" s="265"/>
      <c r="J336" s="266"/>
      <c r="K336" s="266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</row>
    <row r="337" spans="1:25">
      <c r="A337" s="265"/>
      <c r="B337" s="265"/>
      <c r="C337" s="265"/>
      <c r="D337" s="265"/>
      <c r="E337" s="265"/>
      <c r="F337" s="265"/>
      <c r="G337" s="265"/>
      <c r="H337" s="265"/>
      <c r="I337" s="265"/>
      <c r="J337" s="266"/>
      <c r="K337" s="266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</row>
    <row r="338" spans="1:25">
      <c r="A338" s="265"/>
      <c r="B338" s="270">
        <f>IFERROR(VLOOKUP(A335,B342:R361,MATCH(A334,D339:R339,0)-B334,0),"")</f>
        <v>1000</v>
      </c>
      <c r="C338" s="265"/>
      <c r="D338" s="265">
        <f>IFERROR(IF($A$334=1,MATCH($G$335,D342:D361,1),0),0)</f>
        <v>20</v>
      </c>
      <c r="E338" s="265">
        <f>IFERROR(IF($A$334=2,MATCH($G$335,E342:E361,1),0),0)</f>
        <v>0</v>
      </c>
      <c r="F338" s="265">
        <f>IFERROR(IF($A$334=3,MATCH($G$335,F342:F361,1),0),0)</f>
        <v>0</v>
      </c>
      <c r="G338" s="265">
        <f>IFERROR(IF($A$334=4,MATCH($G$335,G342:G361,1),0),0)</f>
        <v>0</v>
      </c>
      <c r="H338" s="265">
        <f>IFERROR(IF($A$334=5,MATCH($G$335,H342:H361,1),0),0)</f>
        <v>0</v>
      </c>
      <c r="I338" s="265">
        <f>IFERROR(IF($A$334=6,MATCH($G$335,I342:I361,1),0),0)</f>
        <v>0</v>
      </c>
      <c r="J338" s="265">
        <f>IFERROR(IF($A$334=7,MATCH($G$335,J342:J361,1),0),0)</f>
        <v>0</v>
      </c>
      <c r="K338" s="265">
        <f>IFERROR(IF($A$334=8,MATCH($G$335,K342:K361,1),0),0)</f>
        <v>0</v>
      </c>
      <c r="L338" s="265">
        <f>IFERROR(IF($A$334=9,MATCH($G$335,L342:L361,1),0),0)</f>
        <v>0</v>
      </c>
      <c r="M338" s="265">
        <f>IFERROR(IF($A$334=10,MATCH($G$335,M342:M361,1),0),0)</f>
        <v>0</v>
      </c>
      <c r="N338" s="265">
        <f>IFERROR(IF($A$334=11,MATCH($G$335,N342:N361,1),0),0)</f>
        <v>0</v>
      </c>
      <c r="O338" s="265">
        <f>IFERROR(IF($A$334=11,MATCH($G$335,O342:O361,1),0),0)</f>
        <v>0</v>
      </c>
      <c r="P338" s="265">
        <f>IFERROR(IF($A$334=11,MATCH($G$335,P342:P361,1),0),0)</f>
        <v>0</v>
      </c>
      <c r="Q338" s="265">
        <f>IFERROR(IF($A$334=11,MATCH($G$335,Q342:Q361,1),0),0)</f>
        <v>0</v>
      </c>
      <c r="R338" s="265">
        <f>IFERROR(IF($A$334=11,MATCH($G$335,R342:R361,1),0),0)</f>
        <v>0</v>
      </c>
      <c r="S338" s="265">
        <f>SUM(D338:R338)</f>
        <v>20</v>
      </c>
      <c r="T338" s="265"/>
      <c r="U338" s="265"/>
      <c r="V338" s="265"/>
      <c r="W338" s="265"/>
    </row>
    <row r="339" spans="1:25">
      <c r="A339" s="265"/>
      <c r="B339" s="265"/>
      <c r="C339" s="265"/>
      <c r="D339" s="265">
        <v>1</v>
      </c>
      <c r="E339" s="265">
        <v>2</v>
      </c>
      <c r="F339" s="265">
        <v>3</v>
      </c>
      <c r="G339" s="265">
        <v>4</v>
      </c>
      <c r="H339" s="265">
        <v>5</v>
      </c>
      <c r="I339" s="265">
        <v>6</v>
      </c>
      <c r="J339" s="265">
        <v>7</v>
      </c>
      <c r="K339" s="265">
        <v>8</v>
      </c>
      <c r="L339" s="265">
        <v>9</v>
      </c>
      <c r="M339" s="265">
        <v>10</v>
      </c>
      <c r="N339" s="265">
        <v>11</v>
      </c>
      <c r="O339" s="265">
        <v>12</v>
      </c>
      <c r="P339" s="265">
        <v>13</v>
      </c>
      <c r="Q339" s="265">
        <v>14</v>
      </c>
      <c r="R339" s="265">
        <v>15</v>
      </c>
      <c r="S339" s="265"/>
      <c r="T339" s="265"/>
      <c r="U339" s="265"/>
      <c r="V339" s="265"/>
      <c r="W339" s="265"/>
    </row>
    <row r="340" spans="1:25" customHeight="1" ht="15">
      <c r="A340" s="58"/>
      <c r="B340" s="58"/>
      <c r="C340" s="58"/>
      <c r="D340" s="58"/>
      <c r="E340" s="58"/>
      <c r="F340" s="58"/>
      <c r="G340" s="58"/>
      <c r="H340" s="58" t="s">
        <v>150</v>
      </c>
      <c r="I340" s="58"/>
      <c r="J340" s="271"/>
      <c r="K340" s="271"/>
      <c r="L340" s="58"/>
      <c r="M340" s="58"/>
      <c r="N340" s="58"/>
      <c r="O340" s="58"/>
      <c r="P340" s="58"/>
      <c r="Q340" s="58"/>
      <c r="R340" s="58"/>
      <c r="S340" s="58"/>
      <c r="T340" s="265"/>
      <c r="U340" s="265"/>
      <c r="V340" s="265"/>
      <c r="W340" s="265"/>
    </row>
    <row r="341" spans="1:25" customHeight="1" ht="15">
      <c r="A341" s="265"/>
      <c r="B341" s="265"/>
      <c r="C341" s="272"/>
      <c r="D341" s="273">
        <v>30</v>
      </c>
      <c r="E341" s="274">
        <v>35</v>
      </c>
      <c r="F341" s="274">
        <v>40</v>
      </c>
      <c r="G341" s="274">
        <v>45</v>
      </c>
      <c r="H341" s="274">
        <v>50</v>
      </c>
      <c r="I341" s="274">
        <v>55</v>
      </c>
      <c r="J341" s="274">
        <v>60</v>
      </c>
      <c r="K341" s="274">
        <v>65</v>
      </c>
      <c r="L341" s="274">
        <v>70</v>
      </c>
      <c r="M341" s="274">
        <v>75</v>
      </c>
      <c r="N341" s="274">
        <v>80</v>
      </c>
      <c r="O341" s="274">
        <v>85</v>
      </c>
      <c r="P341" s="274">
        <v>90</v>
      </c>
      <c r="Q341" s="274">
        <v>95</v>
      </c>
      <c r="R341" s="275">
        <v>100</v>
      </c>
      <c r="S341" s="265" t="s">
        <v>151</v>
      </c>
      <c r="T341" s="265"/>
      <c r="U341" s="265"/>
      <c r="V341" s="265"/>
      <c r="W341" s="265"/>
    </row>
    <row r="342" spans="1:25">
      <c r="A342" s="265"/>
      <c r="B342" s="265">
        <v>1</v>
      </c>
      <c r="C342" s="276">
        <v>50</v>
      </c>
      <c r="D342" s="280">
        <f>ROUND((6.25*(1/0.8*(0.2*$D$283^0.75+(30*(C342/1000))+(1.9*((D375*1000)/4750)/1000))))/0.9,0)</f>
        <v>41</v>
      </c>
      <c r="E342" s="281">
        <f>ROUND((6.25*(1/0.8*(0.2*$E$283^0.75+(30*(C342/1000))+(1.9*((E375*1000)/4750)/1000))))/0.9,0)</f>
        <v>44</v>
      </c>
      <c r="F342" s="281">
        <f>ROUND((6.25*(1/0.8*(0.2*$F$283^0.75+(30*(C342/1000))+(1.9*((F375*1000)/4750)/1000))))/0.9,0)</f>
        <v>48</v>
      </c>
      <c r="G342" s="281">
        <f>ROUND((6.25*(1/0.8*(0.2*$G$283^0.75+(30*(C342/1000))+(1.9*((G375*1000)/4750)/1000))))/0.9,0)</f>
        <v>51</v>
      </c>
      <c r="H342" s="281">
        <f>ROUND((6.25*(1/0.8*(0.2*$H$283^0.75+(30*(C342/1000))+(1.9*((H375*1000)/4750)/1000))))/0.9,0)</f>
        <v>54</v>
      </c>
      <c r="I342" s="281">
        <f>ROUND((6.25*(1/0.8*(0.2*$I$283^0.75+(30*(C342/1000))+(1.9*((I375*1000)/4750)/1000))))/0.9,0)</f>
        <v>57</v>
      </c>
      <c r="J342" s="281">
        <f>ROUND((6.25*(1/0.8*(0.2*$J$283^0.75+(30*(C342/1000))+(1.9*((J375*1000)/4750)/1000))))/0.9,0)</f>
        <v>60</v>
      </c>
      <c r="K342" s="281">
        <f>ROUND((6.25*(1/0.8*(0.2*$K$283^0.75+(30*(C342/1000))+(1.9*((K375*1000)/4750)/1000))))/0.9,0)</f>
        <v>63</v>
      </c>
      <c r="L342" s="281">
        <f>ROUND((6.25*(1/0.8*(0.2*$L$283^0.75+(30*(C342/1000))+(1.9*((L375*1000)/4750)/1000))))/0.9,0)</f>
        <v>66</v>
      </c>
      <c r="M342" s="281">
        <f>ROUND((6.25*(1/0.8*(0.2*$M$283^0.75+(30*(C342/1000))+(1.9*((M375*1000)/4750)/1000))))/0.9,0)</f>
        <v>68</v>
      </c>
      <c r="N342" s="281">
        <f>ROUND((6.25*(1/0.8*(0.2*$N$283^0.75+(30*(C342/1000))+(1.9*((N375*1000)/4750)/1000))))/0.9,0)</f>
        <v>71</v>
      </c>
      <c r="O342" s="281">
        <f>ROUND((6.25*(1/0.8*(0.2*$O$341^0.75+(30*(C342/1000))+(1.9*((O375*1000)/4750)/1000))))/0.9,0)</f>
        <v>74</v>
      </c>
      <c r="P342" s="281">
        <f>ROUND((6.25*(1/0.8*(0.2*$P$341^0.75+(30*(C342/1000))+(1.9*((P375*1000)/4750)/1000))))/0.9,0)</f>
        <v>76</v>
      </c>
      <c r="Q342" s="281">
        <f>ROUND((6.25*(1/0.8*(0.2*$Q$341^0.75+(30*(C342/1000))+(1.9*((Q375*1000)/4750)/1000))))/0.9,0)</f>
        <v>79</v>
      </c>
      <c r="R342" s="282">
        <f>ROUND((6.25*(1/0.8*(0.2*$R$341^0.75+(30*(C342/1000))+(1.9*((R375*1000)/4750)/1000))))/0.9,0)</f>
        <v>82</v>
      </c>
      <c r="S342" s="270">
        <f>C342</f>
        <v>50</v>
      </c>
      <c r="T342" s="265"/>
      <c r="U342" s="265"/>
      <c r="V342" s="265"/>
      <c r="W342" s="265"/>
    </row>
    <row r="343" spans="1:25">
      <c r="A343" s="265"/>
      <c r="B343" s="265">
        <v>2</v>
      </c>
      <c r="C343" s="276">
        <v>100</v>
      </c>
      <c r="D343" s="280">
        <f>ROUND((6.25*(1/0.8*(0.2*$D$283^0.75+(30*(C343/1000))+(1.9*((D376*1000)/4750)/1000))))/0.9,0)</f>
        <v>54</v>
      </c>
      <c r="E343" s="281">
        <f>ROUND((6.25*(1/0.8*(0.2*$E$283^0.75+(30*(C343/1000))+(1.9*((E376*1000)/4750)/1000))))/0.9,0)</f>
        <v>58</v>
      </c>
      <c r="F343" s="281">
        <f>ROUND((6.25*(1/0.8*(0.2*$F$283^0.75+(30*(C343/1000))+(1.9*((F376*1000)/4750)/1000))))/0.9,0)</f>
        <v>61</v>
      </c>
      <c r="G343" s="281">
        <f>ROUND((6.25*(1/0.8*(0.2*$G$283^0.75+(30*(C343/1000))+(1.9*((G376*1000)/4750)/1000))))/0.9,0)</f>
        <v>64</v>
      </c>
      <c r="H343" s="281">
        <f>ROUND((6.25*(1/0.8*(0.2*$H$283^0.75+(30*(C343/1000))+(1.9*((H376*1000)/4750)/1000))))/0.9,0)</f>
        <v>67</v>
      </c>
      <c r="I343" s="281">
        <f>ROUND((6.25*(1/0.8*(0.2*$I$283^0.75+(30*(C343/1000))+(1.9*((I376*1000)/4750)/1000))))/0.9,0)</f>
        <v>70</v>
      </c>
      <c r="J343" s="281">
        <f>ROUND((6.25*(1/0.8*(0.2*$J$283^0.75+(30*(C343/1000))+(1.9*((J376*1000)/4750)/1000))))/0.9,0)</f>
        <v>73</v>
      </c>
      <c r="K343" s="281">
        <f>ROUND((6.25*(1/0.8*(0.2*$K$283^0.75+(30*(C343/1000))+(1.9*((K376*1000)/4750)/1000))))/0.9,0)</f>
        <v>76</v>
      </c>
      <c r="L343" s="281">
        <f>ROUND((6.25*(1/0.8*(0.2*$L$283^0.75+(30*(C343/1000))+(1.9*((L376*1000)/4750)/1000))))/0.9,0)</f>
        <v>79</v>
      </c>
      <c r="M343" s="281">
        <f>ROUND((6.25*(1/0.8*(0.2*$M$283^0.75+(30*(C343/1000))+(1.9*((M376*1000)/4750)/1000))))/0.9,0)</f>
        <v>82</v>
      </c>
      <c r="N343" s="281">
        <f>ROUND((6.25*(1/0.8*(0.2*$N$283^0.75+(30*(C343/1000))+(1.9*((N376*1000)/4750)/1000))))/0.9,0)</f>
        <v>85</v>
      </c>
      <c r="O343" s="281">
        <f>ROUND((6.25*(1/0.8*(0.2*$O$341^0.75+(30*(C343/1000))+(1.9*((O376*1000)/4750)/1000))))/0.9,0)</f>
        <v>87</v>
      </c>
      <c r="P343" s="281">
        <f>ROUND((6.25*(1/0.8*(0.2*$P$341^0.75+(30*(C343/1000))+(1.9*((P376*1000)/4750)/1000))))/0.9,0)</f>
        <v>90</v>
      </c>
      <c r="Q343" s="281">
        <f>ROUND((6.25*(1/0.8*(0.2*$Q$341^0.75+(30*(C343/1000))+(1.9*((Q376*1000)/4750)/1000))))/0.9,0)</f>
        <v>93</v>
      </c>
      <c r="R343" s="282">
        <f>ROUND((6.25*(1/0.8*(0.2*$R$341^0.75+(30*(C343/1000))+(1.9*((R376*1000)/4750)/1000))))/0.9,0)</f>
        <v>95</v>
      </c>
      <c r="S343" s="270">
        <f>C343</f>
        <v>100</v>
      </c>
      <c r="T343" s="265"/>
      <c r="U343" s="265"/>
      <c r="V343" s="265"/>
      <c r="W343" s="265"/>
    </row>
    <row r="344" spans="1:25">
      <c r="A344" s="265"/>
      <c r="B344" s="265">
        <v>3</v>
      </c>
      <c r="C344" s="276">
        <v>150</v>
      </c>
      <c r="D344" s="280">
        <f>ROUND((6.25*(1/0.8*(0.2*$D$283^0.75+(30*(C344/1000))+(1.9*((D377*1000)/4750)/1000))))/0.9,0)</f>
        <v>68</v>
      </c>
      <c r="E344" s="281">
        <f>ROUND((6.25*(1/0.8*(0.2*$E$283^0.75+(30*(C344/1000))+(1.9*((E377*1000)/4750)/1000))))/0.9,0)</f>
        <v>71</v>
      </c>
      <c r="F344" s="281">
        <f>ROUND((6.25*(1/0.8*(0.2*$F$283^0.75+(30*(C344/1000))+(1.9*((F377*1000)/4750)/1000))))/0.9,0)</f>
        <v>75</v>
      </c>
      <c r="G344" s="281">
        <f>ROUND((6.25*(1/0.8*(0.2*$G$283^0.75+(30*(C344/1000))+(1.9*((G377*1000)/4750)/1000))))/0.9,0)</f>
        <v>78</v>
      </c>
      <c r="H344" s="281">
        <f>ROUND((6.25*(1/0.8*(0.2*$H$283^0.75+(30*(C344/1000))+(1.9*((H377*1000)/4750)/1000))))/0.9,0)</f>
        <v>81</v>
      </c>
      <c r="I344" s="281">
        <f>ROUND((6.25*(1/0.8*(0.2*$I$283^0.75+(30*(C344/1000))+(1.9*((I377*1000)/4750)/1000))))/0.9,0)</f>
        <v>84</v>
      </c>
      <c r="J344" s="281">
        <f>ROUND((6.25*(1/0.8*(0.2*$J$283^0.75+(30*(C344/1000))+(1.9*((J377*1000)/4750)/1000))))/0.9,0)</f>
        <v>87</v>
      </c>
      <c r="K344" s="281">
        <f>ROUND((6.25*(1/0.8*(0.2*$K$283^0.75+(30*(C344/1000))+(1.9*((K377*1000)/4750)/1000))))/0.9,0)</f>
        <v>90</v>
      </c>
      <c r="L344" s="281">
        <f>ROUND((6.25*(1/0.8*(0.2*$L$283^0.75+(30*(C344/1000))+(1.9*((L377*1000)/4750)/1000))))/0.9,0)</f>
        <v>93</v>
      </c>
      <c r="M344" s="281">
        <f>ROUND((6.25*(1/0.8*(0.2*$M$283^0.75+(30*(C344/1000))+(1.9*((M377*1000)/4750)/1000))))/0.9,0)</f>
        <v>96</v>
      </c>
      <c r="N344" s="281">
        <f>ROUND((6.25*(1/0.8*(0.2*$N$283^0.75+(30*(C344/1000))+(1.9*((N377*1000)/4750)/1000))))/0.9,0)</f>
        <v>98</v>
      </c>
      <c r="O344" s="281">
        <f>ROUND((6.25*(1/0.8*(0.2*$O$341^0.75+(30*(C344/1000))+(1.9*((O377*1000)/4750)/1000))))/0.9,0)</f>
        <v>101</v>
      </c>
      <c r="P344" s="281">
        <f>ROUND((6.25*(1/0.8*(0.2*$P$341^0.75+(30*(C344/1000))+(1.9*((P377*1000)/4750)/1000))))/0.9,0)</f>
        <v>104</v>
      </c>
      <c r="Q344" s="281">
        <f>ROUND((6.25*(1/0.8*(0.2*$Q$341^0.75+(30*(C344/1000))+(1.9*((Q377*1000)/4750)/1000))))/0.9,0)</f>
        <v>106</v>
      </c>
      <c r="R344" s="282">
        <f>ROUND((6.25*(1/0.8*(0.2*$R$341^0.75+(30*(C344/1000))+(1.9*((R377*1000)/4750)/1000))))/0.9,0)</f>
        <v>109</v>
      </c>
      <c r="S344" s="270">
        <f>C344</f>
        <v>150</v>
      </c>
      <c r="T344" s="265"/>
      <c r="U344" s="265"/>
      <c r="V344" s="265"/>
      <c r="W344" s="265"/>
    </row>
    <row r="345" spans="1:25">
      <c r="A345" s="265"/>
      <c r="B345" s="265">
        <v>4</v>
      </c>
      <c r="C345" s="276">
        <v>200</v>
      </c>
      <c r="D345" s="280">
        <f>ROUND((6.25*(1/0.8*(0.2*$D$283^0.75+(30*(C345/1000))+(1.9*((D378*1000)/4750)/1000))))/0.9,0)</f>
        <v>81</v>
      </c>
      <c r="E345" s="281">
        <f>ROUND((6.25*(1/0.8*(0.2*$E$283^0.75+(30*(C345/1000))+(1.9*((E378*1000)/4750)/1000))))/0.9,0)</f>
        <v>85</v>
      </c>
      <c r="F345" s="281">
        <f>ROUND((6.25*(1/0.8*(0.2*$F$283^0.75+(30*(C345/1000))+(1.9*((F378*1000)/4750)/1000))))/0.9,0)</f>
        <v>88</v>
      </c>
      <c r="G345" s="281">
        <f>ROUND((6.25*(1/0.8*(0.2*$G$283^0.75+(30*(C345/1000))+(1.9*((G378*1000)/4750)/1000))))/0.9,0)</f>
        <v>91</v>
      </c>
      <c r="H345" s="281">
        <f>ROUND((6.25*(1/0.8*(0.2*$H$283^0.75+(30*(C345/1000))+(1.9*((H378*1000)/4750)/1000))))/0.9,0)</f>
        <v>95</v>
      </c>
      <c r="I345" s="281">
        <f>ROUND((6.25*(1/0.8*(0.2*$I$283^0.75+(30*(C345/1000))+(1.9*((I378*1000)/4750)/1000))))/0.9,0)</f>
        <v>98</v>
      </c>
      <c r="J345" s="281">
        <f>ROUND((6.25*(1/0.8*(0.2*$J$283^0.75+(30*(C345/1000))+(1.9*((J378*1000)/4750)/1000))))/0.9,0)</f>
        <v>101</v>
      </c>
      <c r="K345" s="281">
        <f>ROUND((6.25*(1/0.8*(0.2*$K$283^0.75+(30*(C345/1000))+(1.9*((K378*1000)/4750)/1000))))/0.9,0)</f>
        <v>104</v>
      </c>
      <c r="L345" s="281">
        <f>ROUND((6.25*(1/0.8*(0.2*$L$283^0.75+(30*(C345/1000))+(1.9*((L378*1000)/4750)/1000))))/0.9,0)</f>
        <v>106</v>
      </c>
      <c r="M345" s="281">
        <f>ROUND((6.25*(1/0.8*(0.2*$M$283^0.75+(30*(C345/1000))+(1.9*((M378*1000)/4750)/1000))))/0.9,0)</f>
        <v>109</v>
      </c>
      <c r="N345" s="281">
        <f>ROUND((6.25*(1/0.8*(0.2*$N$283^0.75+(30*(C345/1000))+(1.9*((N378*1000)/4750)/1000))))/0.9,0)</f>
        <v>112</v>
      </c>
      <c r="O345" s="281">
        <f>ROUND((6.25*(1/0.8*(0.2*$O$341^0.75+(30*(C345/1000))+(1.9*((O378*1000)/4750)/1000))))/0.9,0)</f>
        <v>115</v>
      </c>
      <c r="P345" s="281">
        <f>ROUND((6.25*(1/0.8*(0.2*$P$341^0.75+(30*(C345/1000))+(1.9*((P378*1000)/4750)/1000))))/0.9,0)</f>
        <v>117</v>
      </c>
      <c r="Q345" s="281">
        <f>ROUND((6.25*(1/0.8*(0.2*$Q$341^0.75+(30*(C345/1000))+(1.9*((Q378*1000)/4750)/1000))))/0.9,0)</f>
        <v>120</v>
      </c>
      <c r="R345" s="282">
        <f>ROUND((6.25*(1/0.8*(0.2*$R$341^0.75+(30*(C345/1000))+(1.9*((R378*1000)/4750)/1000))))/0.9,0)</f>
        <v>123</v>
      </c>
      <c r="S345" s="270">
        <f>C345</f>
        <v>200</v>
      </c>
      <c r="T345" s="265"/>
      <c r="U345" s="265"/>
      <c r="V345" s="265"/>
      <c r="W345" s="265"/>
    </row>
    <row r="346" spans="1:25">
      <c r="A346" s="265"/>
      <c r="B346" s="265">
        <v>5</v>
      </c>
      <c r="C346" s="276">
        <v>250</v>
      </c>
      <c r="D346" s="280">
        <f>ROUND((6.25*(1/0.8*(0.2*$D$283^0.75+(30*(C346/1000))+(1.9*((D379*1000)/4750)/1000))))/0.9,0)</f>
        <v>95</v>
      </c>
      <c r="E346" s="281">
        <f>ROUND((6.25*(1/0.8*(0.2*$E$283^0.75+(30*(C346/1000))+(1.9*((E379*1000)/4750)/1000))))/0.9,0)</f>
        <v>98</v>
      </c>
      <c r="F346" s="281">
        <f>ROUND((6.25*(1/0.8*(0.2*$F$283^0.75+(30*(C346/1000))+(1.9*((F379*1000)/4750)/1000))))/0.9,0)</f>
        <v>102</v>
      </c>
      <c r="G346" s="281">
        <f>ROUND((6.25*(1/0.8*(0.2*$G$283^0.75+(30*(C346/1000))+(1.9*((G379*1000)/4750)/1000))))/0.9,0)</f>
        <v>105</v>
      </c>
      <c r="H346" s="281">
        <f>ROUND((6.25*(1/0.8*(0.2*$H$283^0.75+(30*(C346/1000))+(1.9*((H379*1000)/4750)/1000))))/0.9,0)</f>
        <v>108</v>
      </c>
      <c r="I346" s="281">
        <f>ROUND((6.25*(1/0.8*(0.2*$I$283^0.75+(30*(C346/1000))+(1.9*((I379*1000)/4750)/1000))))/0.9,0)</f>
        <v>111</v>
      </c>
      <c r="J346" s="281">
        <f>ROUND((6.25*(1/0.8*(0.2*$J$283^0.75+(30*(C346/1000))+(1.9*((J379*1000)/4750)/1000))))/0.9,0)</f>
        <v>114</v>
      </c>
      <c r="K346" s="281">
        <f>ROUND((6.25*(1/0.8*(0.2*$K$283^0.75+(30*(C346/1000))+(1.9*((K379*1000)/4750)/1000))))/0.9,0)</f>
        <v>117</v>
      </c>
      <c r="L346" s="281">
        <f>ROUND((6.25*(1/0.8*(0.2*$L$283^0.75+(30*(C346/1000))+(1.9*((L379*1000)/4750)/1000))))/0.9,0)</f>
        <v>120</v>
      </c>
      <c r="M346" s="281">
        <f>ROUND((6.25*(1/0.8*(0.2*$M$283^0.75+(30*(C346/1000))+(1.9*((M379*1000)/4750)/1000))))/0.9,0)</f>
        <v>123</v>
      </c>
      <c r="N346" s="281">
        <f>ROUND((6.25*(1/0.8*(0.2*$N$283^0.75+(30*(C346/1000))+(1.9*((N379*1000)/4750)/1000))))/0.9,0)</f>
        <v>126</v>
      </c>
      <c r="O346" s="281">
        <f>ROUND((6.25*(1/0.8*(0.2*$O$341^0.75+(30*(C346/1000))+(1.9*((O379*1000)/4750)/1000))))/0.9,0)</f>
        <v>129</v>
      </c>
      <c r="P346" s="281">
        <f>ROUND((6.25*(1/0.8*(0.2*$P$341^0.75+(30*(C346/1000))+(1.9*((P379*1000)/4750)/1000))))/0.9,0)</f>
        <v>131</v>
      </c>
      <c r="Q346" s="281">
        <f>ROUND((6.25*(1/0.8*(0.2*$Q$341^0.75+(30*(C346/1000))+(1.9*((Q379*1000)/4750)/1000))))/0.9,0)</f>
        <v>134</v>
      </c>
      <c r="R346" s="282">
        <f>ROUND((6.25*(1/0.8*(0.2*$R$341^0.75+(30*(C346/1000))+(1.9*((R379*1000)/4750)/1000))))/0.9,0)</f>
        <v>137</v>
      </c>
      <c r="S346" s="270">
        <f>C346</f>
        <v>250</v>
      </c>
      <c r="T346" s="265"/>
      <c r="U346" s="265"/>
      <c r="V346" s="265"/>
      <c r="W346" s="265"/>
    </row>
    <row r="347" spans="1:25">
      <c r="A347" s="265"/>
      <c r="B347" s="265">
        <v>6</v>
      </c>
      <c r="C347" s="276">
        <v>300</v>
      </c>
      <c r="D347" s="280">
        <f>ROUND((6.25*(1/0.8*(0.2*$D$283^0.75+(30*(C347/1000))+(1.9*((D380*1000)/4750)/1000))))/0.9,0)</f>
        <v>108</v>
      </c>
      <c r="E347" s="281">
        <f>ROUND((6.25*(1/0.8*(0.2*$E$283^0.75+(30*(C347/1000))+(1.9*((E380*1000)/4750)/1000))))/0.9,0)</f>
        <v>112</v>
      </c>
      <c r="F347" s="281">
        <f>ROUND((6.25*(1/0.8*(0.2*$F$283^0.75+(30*(C347/1000))+(1.9*((F380*1000)/4750)/1000))))/0.9,0)</f>
        <v>115</v>
      </c>
      <c r="G347" s="281">
        <f>ROUND((6.25*(1/0.8*(0.2*$G$283^0.75+(30*(C347/1000))+(1.9*((G380*1000)/4750)/1000))))/0.9,0)</f>
        <v>119</v>
      </c>
      <c r="H347" s="281">
        <f>ROUND((6.25*(1/0.8*(0.2*$H$283^0.75+(30*(C347/1000))+(1.9*((H380*1000)/4750)/1000))))/0.9,0)</f>
        <v>122</v>
      </c>
      <c r="I347" s="281">
        <f>ROUND((6.25*(1/0.8*(0.2*$I$283^0.75+(30*(C347/1000))+(1.9*((I380*1000)/4750)/1000))))/0.9,0)</f>
        <v>125</v>
      </c>
      <c r="J347" s="281">
        <f>ROUND((6.25*(1/0.8*(0.2*$J$283^0.75+(30*(C347/1000))+(1.9*((J380*1000)/4750)/1000))))/0.9,0)</f>
        <v>128</v>
      </c>
      <c r="K347" s="281">
        <f>ROUND((6.25*(1/0.8*(0.2*$K$283^0.75+(30*(C347/1000))+(1.9*((K380*1000)/4750)/1000))))/0.9,0)</f>
        <v>131</v>
      </c>
      <c r="L347" s="281">
        <f>ROUND((6.25*(1/0.8*(0.2*$L$283^0.75+(30*(C347/1000))+(1.9*((L380*1000)/4750)/1000))))/0.9,0)</f>
        <v>134</v>
      </c>
      <c r="M347" s="281">
        <f>ROUND((6.25*(1/0.8*(0.2*$M$283^0.75+(30*(C347/1000))+(1.9*((M380*1000)/4750)/1000))))/0.9,0)</f>
        <v>137</v>
      </c>
      <c r="N347" s="281">
        <f>ROUND((6.25*(1/0.8*(0.2*$N$283^0.75+(30*(C347/1000))+(1.9*((N380*1000)/4750)/1000))))/0.9,0)</f>
        <v>140</v>
      </c>
      <c r="O347" s="281">
        <f>ROUND((6.25*(1/0.8*(0.2*$O$341^0.75+(30*(C347/1000))+(1.9*((O380*1000)/4750)/1000))))/0.9,0)</f>
        <v>142</v>
      </c>
      <c r="P347" s="281">
        <f>ROUND((6.25*(1/0.8*(0.2*$P$341^0.75+(30*(C347/1000))+(1.9*((P380*1000)/4750)/1000))))/0.9,0)</f>
        <v>145</v>
      </c>
      <c r="Q347" s="281">
        <f>ROUND((6.25*(1/0.8*(0.2*$Q$341^0.75+(30*(C347/1000))+(1.9*((Q380*1000)/4750)/1000))))/0.9,0)</f>
        <v>148</v>
      </c>
      <c r="R347" s="282">
        <f>ROUND((6.25*(1/0.8*(0.2*$R$341^0.75+(30*(C347/1000))+(1.9*((R380*1000)/4750)/1000))))/0.9,0)</f>
        <v>150</v>
      </c>
      <c r="S347" s="270">
        <f>C347</f>
        <v>300</v>
      </c>
      <c r="T347" s="265"/>
      <c r="U347" s="265"/>
      <c r="V347" s="265"/>
      <c r="W347" s="265"/>
    </row>
    <row r="348" spans="1:25">
      <c r="A348" s="265"/>
      <c r="B348" s="265">
        <v>7</v>
      </c>
      <c r="C348" s="276">
        <v>350</v>
      </c>
      <c r="D348" s="280">
        <f>ROUND((6.25*(1/0.8*(0.2*$D$283^0.75+(30*(C348/1000))+(1.9*((D381*1000)/4750)/1000))))/0.9,0)</f>
        <v>122</v>
      </c>
      <c r="E348" s="281">
        <f>ROUND((6.25*(1/0.8*(0.2*$E$283^0.75+(30*(C348/1000))+(1.9*((E381*1000)/4750)/1000))))/0.9,0)</f>
        <v>126</v>
      </c>
      <c r="F348" s="281">
        <f>ROUND((6.25*(1/0.8*(0.2*$F$283^0.75+(30*(C348/1000))+(1.9*((F381*1000)/4750)/1000))))/0.9,0)</f>
        <v>129</v>
      </c>
      <c r="G348" s="281">
        <f>ROUND((6.25*(1/0.8*(0.2*$G$283^0.75+(30*(C348/1000))+(1.9*((G381*1000)/4750)/1000))))/0.9,0)</f>
        <v>132</v>
      </c>
      <c r="H348" s="281">
        <f>ROUND((6.25*(1/0.8*(0.2*$H$283^0.75+(30*(C348/1000))+(1.9*((H381*1000)/4750)/1000))))/0.9,0)</f>
        <v>136</v>
      </c>
      <c r="I348" s="281">
        <f>ROUND((6.25*(1/0.8*(0.2*$I$283^0.75+(30*(C348/1000))+(1.9*((I381*1000)/4750)/1000))))/0.9,0)</f>
        <v>139</v>
      </c>
      <c r="J348" s="281">
        <f>ROUND((6.25*(1/0.8*(0.2*$J$283^0.75+(30*(C348/1000))+(1.9*((J381*1000)/4750)/1000))))/0.9,0)</f>
        <v>142</v>
      </c>
      <c r="K348" s="281">
        <f>ROUND((6.25*(1/0.8*(0.2*$K$283^0.75+(30*(C348/1000))+(1.9*((K381*1000)/4750)/1000))))/0.9,0)</f>
        <v>145</v>
      </c>
      <c r="L348" s="281">
        <f>ROUND((6.25*(1/0.8*(0.2*$L$283^0.75+(30*(C348/1000))+(1.9*((L381*1000)/4750)/1000))))/0.9,0)</f>
        <v>148</v>
      </c>
      <c r="M348" s="281">
        <f>ROUND((6.25*(1/0.8*(0.2*$M$283^0.75+(30*(C348/1000))+(1.9*((M381*1000)/4750)/1000))))/0.9,0)</f>
        <v>151</v>
      </c>
      <c r="N348" s="281">
        <f>ROUND((6.25*(1/0.8*(0.2*$N$283^0.75+(30*(C348/1000))+(1.9*((N381*1000)/4750)/1000))))/0.9,0)</f>
        <v>153</v>
      </c>
      <c r="O348" s="281">
        <f>ROUND((6.25*(1/0.8*(0.2*$O$341^0.75+(30*(C348/1000))+(1.9*((O381*1000)/4750)/1000))))/0.9,0)</f>
        <v>156</v>
      </c>
      <c r="P348" s="281">
        <f>ROUND((6.25*(1/0.8*(0.2*$P$341^0.75+(30*(C348/1000))+(1.9*((P381*1000)/4750)/1000))))/0.9,0)</f>
        <v>159</v>
      </c>
      <c r="Q348" s="281">
        <f>ROUND((6.25*(1/0.8*(0.2*$Q$341^0.75+(30*(C348/1000))+(1.9*((Q381*1000)/4750)/1000))))/0.9,0)</f>
        <v>162</v>
      </c>
      <c r="R348" s="282">
        <f>ROUND((6.25*(1/0.8*(0.2*$R$341^0.75+(30*(C348/1000))+(1.9*((R381*1000)/4750)/1000))))/0.9,0)</f>
        <v>164</v>
      </c>
      <c r="S348" s="270">
        <f>C348</f>
        <v>350</v>
      </c>
      <c r="T348" s="265"/>
      <c r="U348" s="265"/>
      <c r="V348" s="265"/>
      <c r="W348" s="265"/>
    </row>
    <row r="349" spans="1:25">
      <c r="A349" s="265"/>
      <c r="B349" s="265">
        <v>8</v>
      </c>
      <c r="C349" s="276">
        <v>400</v>
      </c>
      <c r="D349" s="280">
        <f>ROUND((6.25*(1/0.8*(0.2*$D$283^0.75+(30*(C349/1000))+(1.9*((D382*1000)/4750)/1000))))/0.9,0)</f>
        <v>136</v>
      </c>
      <c r="E349" s="281">
        <f>ROUND((6.25*(1/0.8*(0.2*$E$283^0.75+(30*(C349/1000))+(1.9*((E382*1000)/4750)/1000))))/0.9,0)</f>
        <v>139</v>
      </c>
      <c r="F349" s="281">
        <f>ROUND((6.25*(1/0.8*(0.2*$F$283^0.75+(30*(C349/1000))+(1.9*((F382*1000)/4750)/1000))))/0.9,0)</f>
        <v>143</v>
      </c>
      <c r="G349" s="281">
        <f>ROUND((6.25*(1/0.8*(0.2*$G$283^0.75+(30*(C349/1000))+(1.9*((G382*1000)/4750)/1000))))/0.9,0)</f>
        <v>146</v>
      </c>
      <c r="H349" s="281">
        <f>ROUND((6.25*(1/0.8*(0.2*$H$283^0.75+(30*(C349/1000))+(1.9*((H382*1000)/4750)/1000))))/0.9,0)</f>
        <v>149</v>
      </c>
      <c r="I349" s="281">
        <f>ROUND((6.25*(1/0.8*(0.2*$I$283^0.75+(30*(C349/1000))+(1.9*((I382*1000)/4750)/1000))))/0.9,0)</f>
        <v>152</v>
      </c>
      <c r="J349" s="281">
        <f>ROUND((6.25*(1/0.8*(0.2*$J$283^0.75+(30*(C349/1000))+(1.9*((J382*1000)/4750)/1000))))/0.9,0)</f>
        <v>156</v>
      </c>
      <c r="K349" s="281">
        <f>ROUND((6.25*(1/0.8*(0.2*$K$283^0.75+(30*(C349/1000))+(1.9*((K382*1000)/4750)/1000))))/0.9,0)</f>
        <v>159</v>
      </c>
      <c r="L349" s="281">
        <f>ROUND((6.25*(1/0.8*(0.2*$L$283^0.75+(30*(C349/1000))+(1.9*((L382*1000)/4750)/1000))))/0.9,0)</f>
        <v>162</v>
      </c>
      <c r="M349" s="281">
        <f>ROUND((6.25*(1/0.8*(0.2*$M$283^0.75+(30*(C349/1000))+(1.9*((M382*1000)/4750)/1000))))/0.9,0)</f>
        <v>164</v>
      </c>
      <c r="N349" s="281">
        <f>ROUND((6.25*(1/0.8*(0.2*$N$283^0.75+(30*(C349/1000))+(1.9*((N382*1000)/4750)/1000))))/0.9,0)</f>
        <v>167</v>
      </c>
      <c r="O349" s="281">
        <f>ROUND((6.25*(1/0.8*(0.2*$O$341^0.75+(30*(C349/1000))+(1.9*((O382*1000)/4750)/1000))))/0.9,0)</f>
        <v>170</v>
      </c>
      <c r="P349" s="281">
        <f>ROUND((6.25*(1/0.8*(0.2*$P$341^0.75+(30*(C349/1000))+(1.9*((P382*1000)/4750)/1000))))/0.9,0)</f>
        <v>173</v>
      </c>
      <c r="Q349" s="281">
        <f>ROUND((6.25*(1/0.8*(0.2*$Q$341^0.75+(30*(C349/1000))+(1.9*((Q382*1000)/4750)/1000))))/0.9,0)</f>
        <v>176</v>
      </c>
      <c r="R349" s="282">
        <f>ROUND((6.25*(1/0.8*(0.2*$R$341^0.75+(30*(C349/1000))+(1.9*((R382*1000)/4750)/1000))))/0.9,0)</f>
        <v>178</v>
      </c>
      <c r="S349" s="270">
        <f>C349</f>
        <v>400</v>
      </c>
      <c r="T349" s="265"/>
      <c r="U349" s="265"/>
      <c r="V349" s="265"/>
      <c r="W349" s="265"/>
    </row>
    <row r="350" spans="1:25">
      <c r="A350" s="265"/>
      <c r="B350" s="265">
        <v>9</v>
      </c>
      <c r="C350" s="276">
        <v>450</v>
      </c>
      <c r="D350" s="280">
        <f>ROUND((6.25*(1/0.8*(0.2*$D$283^0.75+(30*(C350/1000))+(1.9*((D383*1000)/4750)/1000))))/0.9,0)</f>
        <v>149</v>
      </c>
      <c r="E350" s="281">
        <f>ROUND((6.25*(1/0.8*(0.2*$E$283^0.75+(30*(C350/1000))+(1.9*((E383*1000)/4750)/1000))))/0.9,0)</f>
        <v>153</v>
      </c>
      <c r="F350" s="281">
        <f>ROUND((6.25*(1/0.8*(0.2*$F$283^0.75+(30*(C350/1000))+(1.9*((F383*1000)/4750)/1000))))/0.9,0)</f>
        <v>156</v>
      </c>
      <c r="G350" s="281">
        <f>ROUND((6.25*(1/0.8*(0.2*$G$283^0.75+(30*(C350/1000))+(1.9*((G383*1000)/4750)/1000))))/0.9,0)</f>
        <v>160</v>
      </c>
      <c r="H350" s="281">
        <f>ROUND((6.25*(1/0.8*(0.2*$H$283^0.75+(30*(C350/1000))+(1.9*((H383*1000)/4750)/1000))))/0.9,0)</f>
        <v>163</v>
      </c>
      <c r="I350" s="281">
        <f>ROUND((6.25*(1/0.8*(0.2*$I$283^0.75+(30*(C350/1000))+(1.9*((I383*1000)/4750)/1000))))/0.9,0)</f>
        <v>166</v>
      </c>
      <c r="J350" s="281">
        <f>ROUND((6.25*(1/0.8*(0.2*$J$283^0.75+(30*(C350/1000))+(1.9*((J383*1000)/4750)/1000))))/0.9,0)</f>
        <v>169</v>
      </c>
      <c r="K350" s="281">
        <f>ROUND((6.25*(1/0.8*(0.2*$K$283^0.75+(30*(C350/1000))+(1.9*((K383*1000)/4750)/1000))))/0.9,0)</f>
        <v>172</v>
      </c>
      <c r="L350" s="281">
        <f>ROUND((6.25*(1/0.8*(0.2*$L$283^0.75+(30*(C350/1000))+(1.9*((L383*1000)/4750)/1000))))/0.9,0)</f>
        <v>175</v>
      </c>
      <c r="M350" s="281">
        <f>ROUND((6.25*(1/0.8*(0.2*$M$283^0.75+(30*(C350/1000))+(1.9*((M383*1000)/4750)/1000))))/0.9,0)</f>
        <v>178</v>
      </c>
      <c r="N350" s="281">
        <f>ROUND((6.25*(1/0.8*(0.2*$N$283^0.75+(30*(C350/1000))+(1.9*((N383*1000)/4750)/1000))))/0.9,0)</f>
        <v>181</v>
      </c>
      <c r="O350" s="281">
        <f>ROUND((6.25*(1/0.8*(0.2*$O$341^0.75+(30*(C350/1000))+(1.9*((O383*1000)/4750)/1000))))/0.9,0)</f>
        <v>184</v>
      </c>
      <c r="P350" s="281">
        <f>ROUND((6.25*(1/0.8*(0.2*$P$341^0.75+(30*(C350/1000))+(1.9*((P383*1000)/4750)/1000))))/0.9,0)</f>
        <v>187</v>
      </c>
      <c r="Q350" s="281">
        <f>ROUND((6.25*(1/0.8*(0.2*$Q$341^0.75+(30*(C350/1000))+(1.9*((Q383*1000)/4750)/1000))))/0.9,0)</f>
        <v>189</v>
      </c>
      <c r="R350" s="282">
        <f>ROUND((6.25*(1/0.8*(0.2*$R$341^0.75+(30*(C350/1000))+(1.9*((R383*1000)/4750)/1000))))/0.9,0)</f>
        <v>192</v>
      </c>
      <c r="S350" s="270">
        <f>C350</f>
        <v>450</v>
      </c>
      <c r="T350" s="265"/>
      <c r="U350" s="265"/>
      <c r="V350" s="265"/>
      <c r="W350" s="265"/>
    </row>
    <row r="351" spans="1:25">
      <c r="A351" s="265"/>
      <c r="B351" s="265">
        <v>10</v>
      </c>
      <c r="C351" s="276">
        <v>500</v>
      </c>
      <c r="D351" s="280">
        <f>ROUND((6.25*(1/0.8*(0.2*$D$283^0.75+(30*(C351/1000))+(1.9*((D384*1000)/4750)/1000))))/0.9,0)</f>
        <v>163</v>
      </c>
      <c r="E351" s="281">
        <f>ROUND((6.25*(1/0.8*(0.2*$E$283^0.75+(30*(C351/1000))+(1.9*((E384*1000)/4750)/1000))))/0.9,0)</f>
        <v>167</v>
      </c>
      <c r="F351" s="281">
        <f>ROUND((6.25*(1/0.8*(0.2*$F$283^0.75+(30*(C351/1000))+(1.9*((F384*1000)/4750)/1000))))/0.9,0)</f>
        <v>170</v>
      </c>
      <c r="G351" s="281">
        <f>ROUND((6.25*(1/0.8*(0.2*$G$283^0.75+(30*(C351/1000))+(1.9*((G384*1000)/4750)/1000))))/0.9,0)</f>
        <v>173</v>
      </c>
      <c r="H351" s="281">
        <f>ROUND((6.25*(1/0.8*(0.2*$H$283^0.75+(30*(C351/1000))+(1.9*((H384*1000)/4750)/1000))))/0.9,0)</f>
        <v>177</v>
      </c>
      <c r="I351" s="281">
        <f>ROUND((6.25*(1/0.8*(0.2*$I$283^0.75+(30*(C351/1000))+(1.9*((I384*1000)/4750)/1000))))/0.9,0)</f>
        <v>180</v>
      </c>
      <c r="J351" s="281">
        <f>ROUND((6.25*(1/0.8*(0.2*$J$283^0.75+(30*(C351/1000))+(1.9*((J384*1000)/4750)/1000))))/0.9,0)</f>
        <v>183</v>
      </c>
      <c r="K351" s="281">
        <f>ROUND((6.25*(1/0.8*(0.2*$K$283^0.75+(30*(C351/1000))+(1.9*((K384*1000)/4750)/1000))))/0.9,0)</f>
        <v>186</v>
      </c>
      <c r="L351" s="281">
        <f>ROUND((6.25*(1/0.8*(0.2*$L$283^0.75+(30*(C351/1000))+(1.9*((L384*1000)/4750)/1000))))/0.9,0)</f>
        <v>189</v>
      </c>
      <c r="M351" s="281">
        <f>ROUND((6.25*(1/0.8*(0.2*$M$283^0.75+(30*(C351/1000))+(1.9*((M384*1000)/4750)/1000))))/0.9,0)</f>
        <v>192</v>
      </c>
      <c r="N351" s="281">
        <f>ROUND((6.25*(1/0.8*(0.2*$N$283^0.75+(30*(C351/1000))+(1.9*((N384*1000)/4750)/1000))))/0.9,0)</f>
        <v>195</v>
      </c>
      <c r="O351" s="281">
        <f>ROUND((6.25*(1/0.8*(0.2*$O$341^0.75+(30*(C351/1000))+(1.9*((O384*1000)/4750)/1000))))/0.9,0)</f>
        <v>198</v>
      </c>
      <c r="P351" s="281">
        <f>ROUND((6.25*(1/0.8*(0.2*$P$341^0.75+(30*(C351/1000))+(1.9*((P384*1000)/4750)/1000))))/0.9,0)</f>
        <v>201</v>
      </c>
      <c r="Q351" s="281">
        <f>ROUND((6.25*(1/0.8*(0.2*$Q$341^0.75+(30*(C351/1000))+(1.9*((Q384*1000)/4750)/1000))))/0.9,0)</f>
        <v>203</v>
      </c>
      <c r="R351" s="282">
        <f>ROUND((6.25*(1/0.8*(0.2*$R$341^0.75+(30*(C351/1000))+(1.9*((R384*1000)/4750)/1000))))/0.9,0)</f>
        <v>206</v>
      </c>
      <c r="S351" s="270">
        <f>C351</f>
        <v>500</v>
      </c>
      <c r="T351" s="265"/>
      <c r="U351" s="265"/>
      <c r="V351" s="265"/>
      <c r="W351" s="265"/>
    </row>
    <row r="352" spans="1:25">
      <c r="A352" s="265"/>
      <c r="B352" s="265">
        <v>11</v>
      </c>
      <c r="C352" s="276">
        <v>550</v>
      </c>
      <c r="D352" s="280">
        <f>ROUND((6.25*(1/0.8*(0.2*$D$283^0.75+(30*(C352/1000))+(1.9*((D385*1000)/4750)/1000))))/0.9,0)</f>
        <v>177</v>
      </c>
      <c r="E352" s="281">
        <f>ROUND((6.25*(1/0.8*(0.2*$E$283^0.75+(30*(C352/1000))+(1.9*((E385*1000)/4750)/1000))))/0.9,0)</f>
        <v>180</v>
      </c>
      <c r="F352" s="281">
        <f>ROUND((6.25*(1/0.8*(0.2*$F$283^0.75+(30*(C352/1000))+(1.9*((F385*1000)/4750)/1000))))/0.9,0)</f>
        <v>184</v>
      </c>
      <c r="G352" s="281">
        <f>ROUND((6.25*(1/0.8*(0.2*$G$283^0.75+(30*(C352/1000))+(1.9*((G385*1000)/4750)/1000))))/0.9,0)</f>
        <v>187</v>
      </c>
      <c r="H352" s="281">
        <f>ROUND((6.25*(1/0.8*(0.2*$H$283^0.75+(30*(C352/1000))+(1.9*((H385*1000)/4750)/1000))))/0.9,0)</f>
        <v>191</v>
      </c>
      <c r="I352" s="281">
        <f>ROUND((6.25*(1/0.8*(0.2*$I$283^0.75+(30*(C352/1000))+(1.9*((I385*1000)/4750)/1000))))/0.9,0)</f>
        <v>194</v>
      </c>
      <c r="J352" s="281">
        <f>ROUND((6.25*(1/0.8*(0.2*$J$283^0.75+(30*(C352/1000))+(1.9*((J385*1000)/4750)/1000))))/0.9,0)</f>
        <v>197</v>
      </c>
      <c r="K352" s="281">
        <f>ROUND((6.25*(1/0.8*(0.2*$K$283^0.75+(30*(C352/1000))+(1.9*((K385*1000)/4750)/1000))))/0.9,0)</f>
        <v>200</v>
      </c>
      <c r="L352" s="281">
        <f>ROUND((6.25*(1/0.8*(0.2*$L$283^0.75+(30*(C352/1000))+(1.9*((L385*1000)/4750)/1000))))/0.9,0)</f>
        <v>203</v>
      </c>
      <c r="M352" s="281">
        <f>ROUND((6.25*(1/0.8*(0.2*$M$283^0.75+(30*(C352/1000))+(1.9*((M385*1000)/4750)/1000))))/0.9,0)</f>
        <v>206</v>
      </c>
      <c r="N352" s="281">
        <f>ROUND((6.25*(1/0.8*(0.2*$N$283^0.75+(30*(C352/1000))+(1.9*((N385*1000)/4750)/1000))))/0.9,0)</f>
        <v>209</v>
      </c>
      <c r="O352" s="281">
        <f>ROUND((6.25*(1/0.8*(0.2*$O$341^0.75+(30*(C352/1000))+(1.9*((O385*1000)/4750)/1000))))/0.9,0)</f>
        <v>212</v>
      </c>
      <c r="P352" s="281">
        <f>ROUND((6.25*(1/0.8*(0.2*$P$341^0.75+(30*(C352/1000))+(1.9*((P385*1000)/4750)/1000))))/0.9,0)</f>
        <v>215</v>
      </c>
      <c r="Q352" s="281">
        <f>ROUND((6.25*(1/0.8*(0.2*$Q$341^0.75+(30*(C352/1000))+(1.9*((Q385*1000)/4750)/1000))))/0.9,0)</f>
        <v>217</v>
      </c>
      <c r="R352" s="282">
        <f>ROUND((6.25*(1/0.8*(0.2*$R$341^0.75+(30*(C352/1000))+(1.9*((R385*1000)/4750)/1000))))/0.9,0)</f>
        <v>220</v>
      </c>
      <c r="S352" s="270">
        <f>C352</f>
        <v>550</v>
      </c>
      <c r="T352" s="265"/>
      <c r="U352" s="265"/>
      <c r="V352" s="265"/>
      <c r="W352" s="265"/>
    </row>
    <row r="353" spans="1:25">
      <c r="A353" s="265"/>
      <c r="B353" s="265">
        <v>12</v>
      </c>
      <c r="C353" s="276">
        <v>600</v>
      </c>
      <c r="D353" s="280">
        <f>ROUND((6.25*(1/0.8*(0.2*$D$283^0.75+(30*(C353/1000))+(1.9*((D386*1000)/4750)/1000))))/0.9,0)</f>
        <v>190</v>
      </c>
      <c r="E353" s="281">
        <f>ROUND((6.25*(1/0.8*(0.2*$E$283^0.75+(30*(C353/1000))+(1.9*((E386*1000)/4750)/1000))))/0.9,0)</f>
        <v>194</v>
      </c>
      <c r="F353" s="281">
        <f>ROUND((6.25*(1/0.8*(0.2*$F$283^0.75+(30*(C353/1000))+(1.9*((F386*1000)/4750)/1000))))/0.9,0)</f>
        <v>198</v>
      </c>
      <c r="G353" s="281">
        <f>ROUND((6.25*(1/0.8*(0.2*$G$283^0.75+(30*(C353/1000))+(1.9*((G386*1000)/4750)/1000))))/0.9,0)</f>
        <v>201</v>
      </c>
      <c r="H353" s="281">
        <f>ROUND((6.25*(1/0.8*(0.2*$H$283^0.75+(30*(C353/1000))+(1.9*((H386*1000)/4750)/1000))))/0.9,0)</f>
        <v>204</v>
      </c>
      <c r="I353" s="281">
        <f>ROUND((6.25*(1/0.8*(0.2*$I$283^0.75+(30*(C353/1000))+(1.9*((I386*1000)/4750)/1000))))/0.9,0)</f>
        <v>208</v>
      </c>
      <c r="J353" s="281">
        <f>ROUND((6.25*(1/0.8*(0.2*$J$283^0.75+(30*(C353/1000))+(1.9*((J386*1000)/4750)/1000))))/0.9,0)</f>
        <v>211</v>
      </c>
      <c r="K353" s="281">
        <f>ROUND((6.25*(1/0.8*(0.2*$K$283^0.75+(30*(C353/1000))+(1.9*((K386*1000)/4750)/1000))))/0.9,0)</f>
        <v>214</v>
      </c>
      <c r="L353" s="281">
        <f>ROUND((6.25*(1/0.8*(0.2*$L$283^0.75+(30*(C353/1000))+(1.9*((L386*1000)/4750)/1000))))/0.9,0)</f>
        <v>217</v>
      </c>
      <c r="M353" s="281">
        <f>ROUND((6.25*(1/0.8*(0.2*$M$283^0.75+(30*(C353/1000))+(1.9*((M386*1000)/4750)/1000))))/0.9,0)</f>
        <v>220</v>
      </c>
      <c r="N353" s="281">
        <f>ROUND((6.25*(1/0.8*(0.2*$N$283^0.75+(30*(C353/1000))+(1.9*((N386*1000)/4750)/1000))))/0.9,0)</f>
        <v>223</v>
      </c>
      <c r="O353" s="281">
        <f>ROUND((6.25*(1/0.8*(0.2*$O$341^0.75+(30*(C353/1000))+(1.9*((O386*1000)/4750)/1000))))/0.9,0)</f>
        <v>226</v>
      </c>
      <c r="P353" s="281">
        <f>ROUND((6.25*(1/0.8*(0.2*$P$341^0.75+(30*(C353/1000))+(1.9*((P386*1000)/4750)/1000))))/0.9,0)</f>
        <v>229</v>
      </c>
      <c r="Q353" s="281">
        <f>ROUND((6.25*(1/0.8*(0.2*$Q$341^0.75+(30*(C353/1000))+(1.9*((Q386*1000)/4750)/1000))))/0.9,0)</f>
        <v>231</v>
      </c>
      <c r="R353" s="282">
        <f>ROUND((6.25*(1/0.8*(0.2*$R$341^0.75+(30*(C353/1000))+(1.9*((R386*1000)/4750)/1000))))/0.9,0)</f>
        <v>234</v>
      </c>
      <c r="S353" s="270">
        <f>C353</f>
        <v>600</v>
      </c>
      <c r="T353" s="265"/>
      <c r="U353" s="265"/>
      <c r="V353" s="265"/>
      <c r="W353" s="265"/>
    </row>
    <row r="354" spans="1:25">
      <c r="A354" s="265"/>
      <c r="B354" s="265">
        <v>13</v>
      </c>
      <c r="C354" s="276">
        <v>650</v>
      </c>
      <c r="D354" s="280">
        <f>ROUND((6.25*(1/0.8*(0.2*$D$283^0.75+(30*(C354/1000))+(1.9*((D387*1000)/4750)/1000))))/0.9,0)</f>
        <v>204</v>
      </c>
      <c r="E354" s="281">
        <f>ROUND((6.25*(1/0.8*(0.2*$E$283^0.75+(30*(C354/1000))+(1.9*((E387*1000)/4750)/1000))))/0.9,0)</f>
        <v>208</v>
      </c>
      <c r="F354" s="281">
        <f>ROUND((6.25*(1/0.8*(0.2*$F$283^0.75+(30*(C354/1000))+(1.9*((F387*1000)/4750)/1000))))/0.9,0)</f>
        <v>211</v>
      </c>
      <c r="G354" s="281">
        <f>ROUND((6.25*(1/0.8*(0.2*$G$283^0.75+(30*(C354/1000))+(1.9*((G387*1000)/4750)/1000))))/0.9,0)</f>
        <v>215</v>
      </c>
      <c r="H354" s="281">
        <f>ROUND((6.25*(1/0.8*(0.2*$H$283^0.75+(30*(C354/1000))+(1.9*((H387*1000)/4750)/1000))))/0.9,0)</f>
        <v>218</v>
      </c>
      <c r="I354" s="281">
        <f>ROUND((6.25*(1/0.8*(0.2*$I$283^0.75+(30*(C354/1000))+(1.9*((I387*1000)/4750)/1000))))/0.9,0)</f>
        <v>221</v>
      </c>
      <c r="J354" s="281">
        <f>ROUND((6.25*(1/0.8*(0.2*$J$283^0.75+(30*(C354/1000))+(1.9*((J387*1000)/4750)/1000))))/0.9,0)</f>
        <v>225</v>
      </c>
      <c r="K354" s="281">
        <f>ROUND((6.25*(1/0.8*(0.2*$K$283^0.75+(30*(C354/1000))+(1.9*((K387*1000)/4750)/1000))))/0.9,0)</f>
        <v>228</v>
      </c>
      <c r="L354" s="281">
        <f>ROUND((6.25*(1/0.8*(0.2*$L$283^0.75+(30*(C354/1000))+(1.9*((L387*1000)/4750)/1000))))/0.9,0)</f>
        <v>231</v>
      </c>
      <c r="M354" s="281">
        <f>ROUND((6.25*(1/0.8*(0.2*$M$283^0.75+(30*(C354/1000))+(1.9*((M387*1000)/4750)/1000))))/0.9,0)</f>
        <v>234</v>
      </c>
      <c r="N354" s="281">
        <f>ROUND((6.25*(1/0.8*(0.2*$N$283^0.75+(30*(C354/1000))+(1.9*((N387*1000)/4750)/1000))))/0.9,0)</f>
        <v>237</v>
      </c>
      <c r="O354" s="281">
        <f>ROUND((6.25*(1/0.8*(0.2*$O$341^0.75+(30*(C354/1000))+(1.9*((O387*1000)/4750)/1000))))/0.9,0)</f>
        <v>240</v>
      </c>
      <c r="P354" s="281">
        <f>ROUND((6.25*(1/0.8*(0.2*$P$341^0.75+(30*(C354/1000))+(1.9*((P387*1000)/4750)/1000))))/0.9,0)</f>
        <v>242</v>
      </c>
      <c r="Q354" s="281">
        <f>ROUND((6.25*(1/0.8*(0.2*$Q$341^0.75+(30*(C354/1000))+(1.9*((Q387*1000)/4750)/1000))))/0.9,0)</f>
        <v>245</v>
      </c>
      <c r="R354" s="282">
        <f>ROUND((6.25*(1/0.8*(0.2*$R$341^0.75+(30*(C354/1000))+(1.9*((R387*1000)/4750)/1000))))/0.9,0)</f>
        <v>248</v>
      </c>
      <c r="S354" s="270">
        <f>C354</f>
        <v>650</v>
      </c>
      <c r="T354" s="265"/>
      <c r="U354" s="265"/>
      <c r="V354" s="265"/>
      <c r="W354" s="265"/>
    </row>
    <row r="355" spans="1:25">
      <c r="A355" s="265"/>
      <c r="B355" s="265">
        <v>14</v>
      </c>
      <c r="C355" s="276">
        <v>700</v>
      </c>
      <c r="D355" s="280">
        <f>ROUND((6.25*(1/0.8*(0.2*$D$283^0.75+(30*(C355/1000))+(1.9*((D388*1000)/4750)/1000))))/0.9,0)</f>
        <v>218</v>
      </c>
      <c r="E355" s="281">
        <f>ROUND((6.25*(1/0.8*(0.2*$E$283^0.75+(30*(C355/1000))+(1.9*((E388*1000)/4750)/1000))))/0.9,0)</f>
        <v>221</v>
      </c>
      <c r="F355" s="281">
        <f>ROUND((6.25*(1/0.8*(0.2*$F$283^0.75+(30*(C355/1000))+(1.9*((F388*1000)/4750)/1000))))/0.9,0)</f>
        <v>225</v>
      </c>
      <c r="G355" s="281">
        <f>ROUND((6.25*(1/0.8*(0.2*$G$283^0.75+(30*(C355/1000))+(1.9*((G388*1000)/4750)/1000))))/0.9,0)</f>
        <v>229</v>
      </c>
      <c r="H355" s="281">
        <f>ROUND((6.25*(1/0.8*(0.2*$H$283^0.75+(30*(C355/1000))+(1.9*((H388*1000)/4750)/1000))))/0.9,0)</f>
        <v>232</v>
      </c>
      <c r="I355" s="281">
        <f>ROUND((6.25*(1/0.8*(0.2*$I$283^0.75+(30*(C355/1000))+(1.9*((I388*1000)/4750)/1000))))/0.9,0)</f>
        <v>235</v>
      </c>
      <c r="J355" s="281">
        <f>ROUND((6.25*(1/0.8*(0.2*$J$283^0.75+(30*(C355/1000))+(1.9*((J388*1000)/4750)/1000))))/0.9,0)</f>
        <v>238</v>
      </c>
      <c r="K355" s="281">
        <f>ROUND((6.25*(1/0.8*(0.2*$K$283^0.75+(30*(C355/1000))+(1.9*((K388*1000)/4750)/1000))))/0.9,0)</f>
        <v>242</v>
      </c>
      <c r="L355" s="281">
        <f>ROUND((6.25*(1/0.8*(0.2*$L$283^0.75+(30*(C355/1000))+(1.9*((L388*1000)/4750)/1000))))/0.9,0)</f>
        <v>245</v>
      </c>
      <c r="M355" s="281">
        <f>ROUND((6.25*(1/0.8*(0.2*$M$283^0.75+(30*(C355/1000))+(1.9*((M388*1000)/4750)/1000))))/0.9,0)</f>
        <v>248</v>
      </c>
      <c r="N355" s="281">
        <f>ROUND((6.25*(1/0.8*(0.2*$N$283^0.75+(30*(C355/1000))+(1.9*((N388*1000)/4750)/1000))))/0.9,0)</f>
        <v>251</v>
      </c>
      <c r="O355" s="281">
        <f>ROUND((6.25*(1/0.8*(0.2*$O$341^0.75+(30*(C355/1000))+(1.9*((O388*1000)/4750)/1000))))/0.9,0)</f>
        <v>254</v>
      </c>
      <c r="P355" s="281">
        <f>ROUND((6.25*(1/0.8*(0.2*$P$341^0.75+(30*(C355/1000))+(1.9*((P388*1000)/4750)/1000))))/0.9,0)</f>
        <v>256</v>
      </c>
      <c r="Q355" s="281">
        <f>ROUND((6.25*(1/0.8*(0.2*$Q$341^0.75+(30*(C355/1000))+(1.9*((Q388*1000)/4750)/1000))))/0.9,0)</f>
        <v>259</v>
      </c>
      <c r="R355" s="282">
        <f>ROUND((6.25*(1/0.8*(0.2*$R$341^0.75+(30*(C355/1000))+(1.9*((R388*1000)/4750)/1000))))/0.9,0)</f>
        <v>262</v>
      </c>
      <c r="S355" s="270">
        <f>C355</f>
        <v>700</v>
      </c>
      <c r="T355" s="265"/>
      <c r="U355" s="265"/>
      <c r="V355" s="265"/>
      <c r="W355" s="265"/>
    </row>
    <row r="356" spans="1:25">
      <c r="A356" s="265"/>
      <c r="B356" s="265">
        <v>15</v>
      </c>
      <c r="C356" s="276">
        <v>750</v>
      </c>
      <c r="D356" s="280">
        <f>ROUND((6.25*(1/0.8*(0.2*$D$283^0.75+(30*(C356/1000))+(1.9*((D389*1000)/4750)/1000))))/0.9,0)</f>
        <v>231</v>
      </c>
      <c r="E356" s="281">
        <f>ROUND((6.25*(1/0.8*(0.2*$E$283^0.75+(30*(C356/1000))+(1.9*((E389*1000)/4750)/1000))))/0.9,0)</f>
        <v>235</v>
      </c>
      <c r="F356" s="281">
        <f>ROUND((6.25*(1/0.8*(0.2*$F$283^0.75+(30*(C356/1000))+(1.9*((F389*1000)/4750)/1000))))/0.9,0)</f>
        <v>239</v>
      </c>
      <c r="G356" s="281">
        <f>ROUND((6.25*(1/0.8*(0.2*$G$283^0.75+(30*(C356/1000))+(1.9*((G389*1000)/4750)/1000))))/0.9,0)</f>
        <v>242</v>
      </c>
      <c r="H356" s="281">
        <f>ROUND((6.25*(1/0.8*(0.2*$H$283^0.75+(30*(C356/1000))+(1.9*((H389*1000)/4750)/1000))))/0.9,0)</f>
        <v>246</v>
      </c>
      <c r="I356" s="281">
        <f>ROUND((6.25*(1/0.8*(0.2*$I$283^0.75+(30*(C356/1000))+(1.9*((I389*1000)/4750)/1000))))/0.9,0)</f>
        <v>249</v>
      </c>
      <c r="J356" s="281">
        <f>ROUND((6.25*(1/0.8*(0.2*$J$283^0.75+(30*(C356/1000))+(1.9*((J389*1000)/4750)/1000))))/0.9,0)</f>
        <v>252</v>
      </c>
      <c r="K356" s="281">
        <f>ROUND((6.25*(1/0.8*(0.2*$K$283^0.75+(30*(C356/1000))+(1.9*((K389*1000)/4750)/1000))))/0.9,0)</f>
        <v>256</v>
      </c>
      <c r="L356" s="281">
        <f>ROUND((6.25*(1/0.8*(0.2*$L$283^0.75+(30*(C356/1000))+(1.9*((L389*1000)/4750)/1000))))/0.9,0)</f>
        <v>259</v>
      </c>
      <c r="M356" s="281">
        <f>ROUND((6.25*(1/0.8*(0.2*$M$283^0.75+(30*(C356/1000))+(1.9*((M389*1000)/4750)/1000))))/0.9,0)</f>
        <v>262</v>
      </c>
      <c r="N356" s="281">
        <f>ROUND((6.25*(1/0.8*(0.2*$N$283^0.75+(30*(C356/1000))+(1.9*((N389*1000)/4750)/1000))))/0.9,0)</f>
        <v>265</v>
      </c>
      <c r="O356" s="281">
        <f>ROUND((6.25*(1/0.8*(0.2*$O$341^0.75+(30*(C356/1000))+(1.9*((O389*1000)/4750)/1000))))/0.9,0)</f>
        <v>268</v>
      </c>
      <c r="P356" s="281">
        <f>ROUND((6.25*(1/0.8*(0.2*$P$341^0.75+(30*(C356/1000))+(1.9*((P389*1000)/4750)/1000))))/0.9,0)</f>
        <v>270</v>
      </c>
      <c r="Q356" s="281">
        <f>ROUND((6.25*(1/0.8*(0.2*$Q$341^0.75+(30*(C356/1000))+(1.9*((Q389*1000)/4750)/1000))))/0.9,0)</f>
        <v>273</v>
      </c>
      <c r="R356" s="282">
        <f>ROUND((6.25*(1/0.8*(0.2*$R$341^0.75+(30*(C356/1000))+(1.9*((R389*1000)/4750)/1000))))/0.9,0)</f>
        <v>276</v>
      </c>
      <c r="S356" s="270">
        <f>C356</f>
        <v>750</v>
      </c>
      <c r="T356" s="265"/>
      <c r="U356" s="265"/>
      <c r="V356" s="265"/>
      <c r="W356" s="265"/>
    </row>
    <row r="357" spans="1:25">
      <c r="A357" s="265"/>
      <c r="B357" s="265">
        <v>16</v>
      </c>
      <c r="C357" s="276">
        <v>800</v>
      </c>
      <c r="D357" s="280">
        <f>ROUND((6.25*(1/0.8*(0.2*$D$283^0.75+(30*(C357/1000))+(1.9*((D390*1000)/4750)/1000))))/0.9,0)</f>
        <v>245</v>
      </c>
      <c r="E357" s="281">
        <f>ROUND((6.25*(1/0.8*(0.2*$E$283^0.75+(30*(C357/1000))+(1.9*((E390*1000)/4750)/1000))))/0.9,0)</f>
        <v>249</v>
      </c>
      <c r="F357" s="281">
        <f>ROUND((6.25*(1/0.8*(0.2*$F$283^0.75+(30*(C357/1000))+(1.9*((F390*1000)/4750)/1000))))/0.9,0)</f>
        <v>252</v>
      </c>
      <c r="G357" s="281">
        <f>ROUND((6.25*(1/0.8*(0.2*$G$283^0.75+(30*(C357/1000))+(1.9*((G390*1000)/4750)/1000))))/0.9,0)</f>
        <v>256</v>
      </c>
      <c r="H357" s="281">
        <f>ROUND((6.25*(1/0.8*(0.2*$H$283^0.75+(30*(C357/1000))+(1.9*((H390*1000)/4750)/1000))))/0.9,0)</f>
        <v>260</v>
      </c>
      <c r="I357" s="281">
        <f>ROUND((6.25*(1/0.8*(0.2*$I$283^0.75+(30*(C357/1000))+(1.9*((I390*1000)/4750)/1000))))/0.9,0)</f>
        <v>263</v>
      </c>
      <c r="J357" s="281">
        <f>ROUND((6.25*(1/0.8*(0.2*$J$283^0.75+(30*(C357/1000))+(1.9*((J390*1000)/4750)/1000))))/0.9,0)</f>
        <v>266</v>
      </c>
      <c r="K357" s="281">
        <f>ROUND((6.25*(1/0.8*(0.2*$K$283^0.75+(30*(C357/1000))+(1.9*((K390*1000)/4750)/1000))))/0.9,0)</f>
        <v>269</v>
      </c>
      <c r="L357" s="281">
        <f>ROUND((6.25*(1/0.8*(0.2*$L$283^0.75+(30*(C357/1000))+(1.9*((L390*1000)/4750)/1000))))/0.9,0)</f>
        <v>273</v>
      </c>
      <c r="M357" s="281">
        <f>ROUND((6.25*(1/0.8*(0.2*$M$283^0.75+(30*(C357/1000))+(1.9*((M390*1000)/4750)/1000))))/0.9,0)</f>
        <v>276</v>
      </c>
      <c r="N357" s="281">
        <f>ROUND((6.25*(1/0.8*(0.2*$N$283^0.75+(30*(C357/1000))+(1.9*((N390*1000)/4750)/1000))))/0.9,0)</f>
        <v>279</v>
      </c>
      <c r="O357" s="281">
        <f>ROUND((6.25*(1/0.8*(0.2*$O$341^0.75+(30*(C357/1000))+(1.9*((O390*1000)/4750)/1000))))/0.9,0)</f>
        <v>282</v>
      </c>
      <c r="P357" s="281">
        <f>ROUND((6.25*(1/0.8*(0.2*$P$341^0.75+(30*(C357/1000))+(1.9*((P390*1000)/4750)/1000))))/0.9,0)</f>
        <v>284</v>
      </c>
      <c r="Q357" s="281">
        <f>ROUND((6.25*(1/0.8*(0.2*$Q$341^0.75+(30*(C357/1000))+(1.9*((Q390*1000)/4750)/1000))))/0.9,0)</f>
        <v>287</v>
      </c>
      <c r="R357" s="282">
        <f>ROUND((6.25*(1/0.8*(0.2*$R$341^0.75+(30*(C357/1000))+(1.9*((R390*1000)/4750)/1000))))/0.9,0)</f>
        <v>290</v>
      </c>
      <c r="S357" s="270">
        <f>C357</f>
        <v>800</v>
      </c>
      <c r="T357" s="265"/>
      <c r="U357" s="265"/>
      <c r="V357" s="265"/>
      <c r="W357" s="265"/>
    </row>
    <row r="358" spans="1:25">
      <c r="A358" s="265"/>
      <c r="B358" s="265">
        <v>17</v>
      </c>
      <c r="C358" s="276">
        <v>850</v>
      </c>
      <c r="D358" s="280">
        <f>ROUND((6.25*(1/0.8*(0.2*$D$283^0.75+(30*(C358/1000))+(1.9*((D391*1000)/4750)/1000))))/0.9,0)</f>
        <v>259</v>
      </c>
      <c r="E358" s="281">
        <f>ROUND((6.25*(1/0.8*(0.2*$E$283^0.75+(30*(C358/1000))+(1.9*((E391*1000)/4750)/1000))))/0.9,0)</f>
        <v>263</v>
      </c>
      <c r="F358" s="281">
        <f>ROUND((6.25*(1/0.8*(0.2*$F$283^0.75+(30*(C358/1000))+(1.9*((F391*1000)/4750)/1000))))/0.9,0)</f>
        <v>266</v>
      </c>
      <c r="G358" s="281">
        <f>ROUND((6.25*(1/0.8*(0.2*$G$283^0.75+(30*(C358/1000))+(1.9*((G391*1000)/4750)/1000))))/0.9,0)</f>
        <v>270</v>
      </c>
      <c r="H358" s="281">
        <f>ROUND((6.25*(1/0.8*(0.2*$H$283^0.75+(30*(C358/1000))+(1.9*((H391*1000)/4750)/1000))))/0.9,0)</f>
        <v>273</v>
      </c>
      <c r="I358" s="281">
        <f>ROUND((6.25*(1/0.8*(0.2*$I$283^0.75+(30*(C358/1000))+(1.9*((I391*1000)/4750)/1000))))/0.9,0)</f>
        <v>277</v>
      </c>
      <c r="J358" s="281">
        <f>ROUND((6.25*(1/0.8*(0.2*$J$283^0.75+(30*(C358/1000))+(1.9*((J391*1000)/4750)/1000))))/0.9,0)</f>
        <v>280</v>
      </c>
      <c r="K358" s="281">
        <f>ROUND((6.25*(1/0.8*(0.2*$K$283^0.75+(30*(C358/1000))+(1.9*((K391*1000)/4750)/1000))))/0.9,0)</f>
        <v>283</v>
      </c>
      <c r="L358" s="281">
        <f>ROUND((6.25*(1/0.8*(0.2*$L$283^0.75+(30*(C358/1000))+(1.9*((L391*1000)/4750)/1000))))/0.9,0)</f>
        <v>286</v>
      </c>
      <c r="M358" s="281">
        <f>ROUND((6.25*(1/0.8*(0.2*$M$283^0.75+(30*(C358/1000))+(1.9*((M391*1000)/4750)/1000))))/0.9,0)</f>
        <v>290</v>
      </c>
      <c r="N358" s="281">
        <f>ROUND((6.25*(1/0.8*(0.2*$N$283^0.75+(30*(C358/1000))+(1.9*((N391*1000)/4750)/1000))))/0.9,0)</f>
        <v>293</v>
      </c>
      <c r="O358" s="281">
        <f>ROUND((6.25*(1/0.8*(0.2*$O$341^0.75+(30*(C358/1000))+(1.9*((O391*1000)/4750)/1000))))/0.9,0)</f>
        <v>296</v>
      </c>
      <c r="P358" s="281">
        <f>ROUND((6.25*(1/0.8*(0.2*$P$341^0.75+(30*(C358/1000))+(1.9*((P391*1000)/4750)/1000))))/0.9,0)</f>
        <v>298</v>
      </c>
      <c r="Q358" s="281">
        <f>ROUND((6.25*(1/0.8*(0.2*$Q$341^0.75+(30*(C358/1000))+(1.9*((Q391*1000)/4750)/1000))))/0.9,0)</f>
        <v>301</v>
      </c>
      <c r="R358" s="282">
        <f>ROUND((6.25*(1/0.8*(0.2*$R$341^0.75+(30*(C358/1000))+(1.9*((R391*1000)/4750)/1000))))/0.9,0)</f>
        <v>304</v>
      </c>
      <c r="S358" s="270">
        <f>C358</f>
        <v>850</v>
      </c>
      <c r="T358" s="265"/>
      <c r="U358" s="265"/>
      <c r="V358" s="265"/>
      <c r="W358" s="265"/>
    </row>
    <row r="359" spans="1:25">
      <c r="A359" s="265"/>
      <c r="B359" s="265">
        <v>18</v>
      </c>
      <c r="C359" s="276">
        <v>900</v>
      </c>
      <c r="D359" s="280">
        <f>ROUND((6.25*(1/0.8*(0.2*$D$283^0.75+(30*(C359/1000))+(1.9*((D392*1000)/4750)/1000))))/0.9,0)</f>
        <v>272</v>
      </c>
      <c r="E359" s="281">
        <f>ROUND((6.25*(1/0.8*(0.2*$E$283^0.75+(30*(C359/1000))+(1.9*((E392*1000)/4750)/1000))))/0.9,0)</f>
        <v>276</v>
      </c>
      <c r="F359" s="281">
        <f>ROUND((6.25*(1/0.8*(0.2*$F$283^0.75+(30*(C359/1000))+(1.9*((F392*1000)/4750)/1000))))/0.9,0)</f>
        <v>280</v>
      </c>
      <c r="G359" s="281">
        <f>ROUND((6.25*(1/0.8*(0.2*$G$283^0.75+(30*(C359/1000))+(1.9*((G392*1000)/4750)/1000))))/0.9,0)</f>
        <v>284</v>
      </c>
      <c r="H359" s="281">
        <f>ROUND((6.25*(1/0.8*(0.2*$H$283^0.75+(30*(C359/1000))+(1.9*((H392*1000)/4750)/1000))))/0.9,0)</f>
        <v>287</v>
      </c>
      <c r="I359" s="281">
        <f>ROUND((6.25*(1/0.8*(0.2*$I$283^0.75+(30*(C359/1000))+(1.9*((I392*1000)/4750)/1000))))/0.9,0)</f>
        <v>291</v>
      </c>
      <c r="J359" s="281">
        <f>ROUND((6.25*(1/0.8*(0.2*$J$283^0.75+(30*(C359/1000))+(1.9*((J392*1000)/4750)/1000))))/0.9,0)</f>
        <v>294</v>
      </c>
      <c r="K359" s="281">
        <f>ROUND((6.25*(1/0.8*(0.2*$K$283^0.75+(30*(C359/1000))+(1.9*((K392*1000)/4750)/1000))))/0.9,0)</f>
        <v>297</v>
      </c>
      <c r="L359" s="281">
        <f>ROUND((6.25*(1/0.8*(0.2*$L$283^0.75+(30*(C359/1000))+(1.9*((L392*1000)/4750)/1000))))/0.9,0)</f>
        <v>300</v>
      </c>
      <c r="M359" s="281">
        <f>ROUND((6.25*(1/0.8*(0.2*$M$283^0.75+(30*(C359/1000))+(1.9*((M392*1000)/4750)/1000))))/0.9,0)</f>
        <v>304</v>
      </c>
      <c r="N359" s="281">
        <f>ROUND((6.25*(1/0.8*(0.2*$N$283^0.75+(30*(C359/1000))+(1.9*((N392*1000)/4750)/1000))))/0.9,0)</f>
        <v>307</v>
      </c>
      <c r="O359" s="281">
        <f>ROUND((6.25*(1/0.8*(0.2*$O$341^0.75+(30*(C359/1000))+(1.9*((O392*1000)/4750)/1000))))/0.9,0)</f>
        <v>310</v>
      </c>
      <c r="P359" s="281">
        <f>ROUND((6.25*(1/0.8*(0.2*$P$341^0.75+(30*(C359/1000))+(1.9*((P392*1000)/4750)/1000))))/0.9,0)</f>
        <v>313</v>
      </c>
      <c r="Q359" s="281">
        <f>ROUND((6.25*(1/0.8*(0.2*$Q$341^0.75+(30*(C359/1000))+(1.9*((Q392*1000)/4750)/1000))))/0.9,0)</f>
        <v>315</v>
      </c>
      <c r="R359" s="282">
        <f>ROUND((6.25*(1/0.8*(0.2*$R$341^0.75+(30*(C359/1000))+(1.9*((R392*1000)/4750)/1000))))/0.9,0)</f>
        <v>318</v>
      </c>
      <c r="S359" s="270">
        <f>C359</f>
        <v>900</v>
      </c>
      <c r="T359" s="265"/>
      <c r="U359" s="265"/>
      <c r="V359" s="265"/>
      <c r="W359" s="265"/>
    </row>
    <row r="360" spans="1:25">
      <c r="A360" s="265"/>
      <c r="B360" s="265">
        <v>19</v>
      </c>
      <c r="C360" s="276">
        <v>950</v>
      </c>
      <c r="D360" s="280">
        <f>ROUND((6.25*(1/0.8*(0.2*$D$283^0.75+(30*(C360/1000))+(1.9*((D393*1000)/4750)/1000))))/0.9,0)</f>
        <v>286</v>
      </c>
      <c r="E360" s="281">
        <f>ROUND((6.25*(1/0.8*(0.2*$E$283^0.75+(30*(C360/1000))+(1.9*((E393*1000)/4750)/1000))))/0.9,0)</f>
        <v>290</v>
      </c>
      <c r="F360" s="281">
        <f>ROUND((6.25*(1/0.8*(0.2*$F$283^0.75+(30*(C360/1000))+(1.9*((F393*1000)/4750)/1000))))/0.9,0)</f>
        <v>294</v>
      </c>
      <c r="G360" s="281">
        <f>ROUND((6.25*(1/0.8*(0.2*$G$283^0.75+(30*(C360/1000))+(1.9*((G393*1000)/4750)/1000))))/0.9,0)</f>
        <v>298</v>
      </c>
      <c r="H360" s="281">
        <f>ROUND((6.25*(1/0.8*(0.2*$H$283^0.75+(30*(C360/1000))+(1.9*((H393*1000)/4750)/1000))))/0.9,0)</f>
        <v>301</v>
      </c>
      <c r="I360" s="281">
        <f>ROUND((6.25*(1/0.8*(0.2*$I$283^0.75+(30*(C360/1000))+(1.9*((I393*1000)/4750)/1000))))/0.9,0)</f>
        <v>305</v>
      </c>
      <c r="J360" s="281">
        <f>ROUND((6.25*(1/0.8*(0.2*$J$283^0.75+(30*(C360/1000))+(1.9*((J393*1000)/4750)/1000))))/0.9,0)</f>
        <v>308</v>
      </c>
      <c r="K360" s="281">
        <f>ROUND((6.25*(1/0.8*(0.2*$K$283^0.75+(30*(C360/1000))+(1.9*((K393*1000)/4750)/1000))))/0.9,0)</f>
        <v>311</v>
      </c>
      <c r="L360" s="281">
        <f>ROUND((6.25*(1/0.8*(0.2*$L$283^0.75+(30*(C360/1000))+(1.9*((L393*1000)/4750)/1000))))/0.9,0)</f>
        <v>314</v>
      </c>
      <c r="M360" s="281">
        <f>ROUND((6.25*(1/0.8*(0.2*$M$283^0.75+(30*(C360/1000))+(1.9*((M393*1000)/4750)/1000))))/0.9,0)</f>
        <v>318</v>
      </c>
      <c r="N360" s="281">
        <f>ROUND((6.25*(1/0.8*(0.2*$N$283^0.75+(30*(C360/1000))+(1.9*((N393*1000)/4750)/1000))))/0.9,0)</f>
        <v>321</v>
      </c>
      <c r="O360" s="281">
        <f>ROUND((6.25*(1/0.8*(0.2*$O$341^0.75+(30*(C360/1000))+(1.9*((O393*1000)/4750)/1000))))/0.9,0)</f>
        <v>324</v>
      </c>
      <c r="P360" s="281">
        <f>ROUND((6.25*(1/0.8*(0.2*$P$341^0.75+(30*(C360/1000))+(1.9*((P393*1000)/4750)/1000))))/0.9,0)</f>
        <v>327</v>
      </c>
      <c r="Q360" s="281">
        <f>ROUND((6.25*(1/0.8*(0.2*$Q$341^0.75+(30*(C360/1000))+(1.9*((Q393*1000)/4750)/1000))))/0.9,0)</f>
        <v>329</v>
      </c>
      <c r="R360" s="282">
        <f>ROUND((6.25*(1/0.8*(0.2*$R$341^0.75+(30*(C360/1000))+(1.9*((R393*1000)/4750)/1000))))/0.9,0)</f>
        <v>332</v>
      </c>
      <c r="S360" s="270">
        <f>C360</f>
        <v>950</v>
      </c>
      <c r="T360" s="265"/>
      <c r="U360" s="265"/>
      <c r="V360" s="265"/>
      <c r="W360" s="265"/>
    </row>
    <row r="361" spans="1:25" customHeight="1" ht="15">
      <c r="A361" s="265"/>
      <c r="B361" s="265">
        <v>20</v>
      </c>
      <c r="C361" s="276">
        <v>1000</v>
      </c>
      <c r="D361" s="283">
        <f>ROUND((6.25*(1/0.8*(0.2*$D$283^0.75+(30*(C361/1000))+(1.9*((D394*1000)/4750)/1000))))/0.9,0)</f>
        <v>300</v>
      </c>
      <c r="E361" s="284">
        <f>ROUND((6.25*(1/0.8*(0.2*$E$283^0.75+(30*(C361/1000))+(1.9*((E394*1000)/4750)/1000))))/0.9,0)</f>
        <v>304</v>
      </c>
      <c r="F361" s="284">
        <f>ROUND((6.25*(1/0.8*(0.2*$F$283^0.75+(30*(C361/1000))+(1.9*((F394*1000)/4750)/1000))))/0.9,0)</f>
        <v>308</v>
      </c>
      <c r="G361" s="284">
        <f>ROUND((6.25*(1/0.8*(0.2*$G$283^0.75+(30*(C361/1000))+(1.9*((G394*1000)/4750)/1000))))/0.9,0)</f>
        <v>311</v>
      </c>
      <c r="H361" s="284">
        <f>ROUND((6.25*(1/0.8*(0.2*$H$283^0.75+(30*(C361/1000))+(1.9*((H394*1000)/4750)/1000))))/0.9,0)</f>
        <v>315</v>
      </c>
      <c r="I361" s="284">
        <f>ROUND((6.25*(1/0.8*(0.2*$I$283^0.75+(30*(C361/1000))+(1.9*((I394*1000)/4750)/1000))))/0.9,0)</f>
        <v>318</v>
      </c>
      <c r="J361" s="284">
        <f>ROUND((6.25*(1/0.8*(0.2*$J$283^0.75+(30*(C361/1000))+(1.9*((J394*1000)/4750)/1000))))/0.9,0)</f>
        <v>322</v>
      </c>
      <c r="K361" s="284">
        <f>ROUND((6.25*(1/0.8*(0.2*$K$283^0.75+(30*(C361/1000))+(1.9*((K394*1000)/4750)/1000))))/0.9,0)</f>
        <v>325</v>
      </c>
      <c r="L361" s="284">
        <f>ROUND((6.25*(1/0.8*(0.2*$L$283^0.75+(30*(C361/1000))+(1.9*((L394*1000)/4750)/1000))))/0.9,0)</f>
        <v>328</v>
      </c>
      <c r="M361" s="284">
        <f>ROUND((6.25*(1/0.8*(0.2*$M$283^0.75+(30*(C361/1000))+(1.9*((M394*1000)/4750)/1000))))/0.9,0)</f>
        <v>331</v>
      </c>
      <c r="N361" s="284">
        <f>ROUND((6.25*(1/0.8*(0.2*$N$283^0.75+(30*(C361/1000))+(1.9*((N394*1000)/4750)/1000))))/0.9,0)</f>
        <v>335</v>
      </c>
      <c r="O361" s="284">
        <f>ROUND((6.25*(1/0.8*(0.2*$O$341^0.75+(30*(C361/1000))+(1.9*((O394*1000)/4750)/1000))))/0.9,0)</f>
        <v>338</v>
      </c>
      <c r="P361" s="284">
        <f>ROUND((6.25*(1/0.8*(0.2*$P$341^0.75+(30*(C361/1000))+(1.9*((P394*1000)/4750)/1000))))/0.9,0)</f>
        <v>341</v>
      </c>
      <c r="Q361" s="284">
        <f>ROUND((6.25*(1/0.8*(0.2*$Q$341^0.75+(30*(C361/1000))+(1.9*((Q394*1000)/4750)/1000))))/0.9,0)</f>
        <v>344</v>
      </c>
      <c r="R361" s="285">
        <f>ROUND((6.25*(1/0.8*(0.2*$R$341^0.75+(30*(C361/1000))+(1.9*((R394*1000)/4750)/1000))))/0.9,0)</f>
        <v>346</v>
      </c>
      <c r="S361" s="270">
        <f>C361</f>
        <v>1000</v>
      </c>
      <c r="T361" s="265"/>
      <c r="U361" s="265"/>
      <c r="V361" s="265"/>
      <c r="W361" s="265"/>
    </row>
    <row r="362" spans="1:25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</row>
    <row r="363" spans="1:25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 t="str">
        <f>IFERROR(VLOOKUP(Necessidades!AF4,R286:W305,MATCH(Necessidades!AF3,T283:W283,0)-Necessidades!AG3,0),"")</f>
        <v/>
      </c>
      <c r="O363" s="265"/>
      <c r="P363" s="265"/>
      <c r="Q363" s="265"/>
      <c r="R363" s="265"/>
      <c r="S363" s="265"/>
      <c r="T363" s="265"/>
      <c r="U363" s="265"/>
      <c r="V363" s="265" t="s">
        <v>153</v>
      </c>
      <c r="W363" s="270">
        <f>Dados!B224</f>
        <v>30</v>
      </c>
    </row>
    <row r="364" spans="1:25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 t="s">
        <v>154</v>
      </c>
      <c r="W364" s="265">
        <f>(Dados!B227)*1000</f>
        <v>600000</v>
      </c>
    </row>
    <row r="365" spans="1:25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</row>
    <row r="366" spans="1:25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>
        <f>MATCH(H367,D374:N374,0)</f>
        <v>1</v>
      </c>
      <c r="T366" s="265">
        <f>S366-2</f>
        <v>-1</v>
      </c>
      <c r="U366" s="265"/>
      <c r="V366" s="265">
        <f>MATCH(W363,D374:R374,0)</f>
        <v>1</v>
      </c>
      <c r="W366" s="265">
        <f>V366-2</f>
        <v>-1</v>
      </c>
    </row>
    <row r="367" spans="1:25">
      <c r="A367" s="265"/>
      <c r="B367" s="265"/>
      <c r="C367" s="265"/>
      <c r="D367" s="270"/>
      <c r="E367" s="270"/>
      <c r="F367" s="266" t="s">
        <v>147</v>
      </c>
      <c r="G367" s="265"/>
      <c r="H367" s="265">
        <f>G334</f>
        <v>30</v>
      </c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>
        <f>S371</f>
        <v>20</v>
      </c>
      <c r="T367" s="265"/>
      <c r="U367" s="265"/>
      <c r="V367" s="265">
        <f>V371</f>
        <v>20</v>
      </c>
      <c r="W367" s="265"/>
    </row>
    <row r="368" spans="1:25">
      <c r="A368" s="265"/>
      <c r="B368" s="265"/>
      <c r="C368" s="265"/>
      <c r="D368" s="265"/>
      <c r="E368" s="265"/>
      <c r="F368" s="265" t="s">
        <v>148</v>
      </c>
      <c r="G368" s="265"/>
      <c r="H368" s="270">
        <f>Dados!F242</f>
        <v>6460.1974811925</v>
      </c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>
        <f>MATCH(S366,D372:N372,0)-5</f>
        <v>-4</v>
      </c>
      <c r="T368" s="265">
        <f>IFERROR(VLOOKUP(S367,B375:N394,MATCH(S366,D372:R372,0)-T366,0),"")</f>
        <v>1000</v>
      </c>
      <c r="U368" s="265"/>
      <c r="V368" s="265">
        <f>MATCH(V366,D372:R372,0)-5</f>
        <v>-4</v>
      </c>
      <c r="W368" s="265">
        <f>IFERROR(VLOOKUP(V367,B375:R394,MATCH(V366,D372:R372,0)-W366,0),"")</f>
        <v>1000</v>
      </c>
    </row>
    <row r="369" spans="1:25">
      <c r="A369" s="265"/>
      <c r="B369" s="265"/>
      <c r="C369" s="265"/>
      <c r="D369" s="265"/>
      <c r="E369" s="265"/>
      <c r="F369" s="268" t="s">
        <v>149</v>
      </c>
      <c r="G369" s="268"/>
      <c r="H369" s="268">
        <f>T368</f>
        <v>1000</v>
      </c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</row>
    <row r="370" spans="1:25">
      <c r="A370" s="265"/>
      <c r="B370" s="265"/>
      <c r="C370" s="265"/>
      <c r="D370" s="265">
        <f>IFERROR(IF($V$366=1,MATCH($W$364,D375:D394,1),0),0)</f>
        <v>20</v>
      </c>
      <c r="E370" s="265">
        <f>IFERROR(IF($V$366=2,MATCH($W$364,E375:E394,1),0),0)</f>
        <v>0</v>
      </c>
      <c r="F370" s="265">
        <f>IFERROR(IF($V$366=3,MATCH($W$364,F375:F394,1),0),0)</f>
        <v>0</v>
      </c>
      <c r="G370" s="265">
        <f>IFERROR(IF($V$366=4,MATCH($W$364,G375:G394,1),0),0)</f>
        <v>0</v>
      </c>
      <c r="H370" s="265">
        <f>IFERROR(IF($V$366=5,MATCH($W$364,H375:H394,1),0),0)</f>
        <v>0</v>
      </c>
      <c r="I370" s="265">
        <f>IFERROR(IF($V$366=6,MATCH($W$364,I375:I394,1),0),0)</f>
        <v>0</v>
      </c>
      <c r="J370" s="265">
        <f>IFERROR(IF($V$366=7,MATCH($W$364,J375:J394,1),0),0)</f>
        <v>0</v>
      </c>
      <c r="K370" s="265">
        <f>IFERROR(IF($V$366=8,MATCH($W$364,K375:K394,1),0),0)</f>
        <v>0</v>
      </c>
      <c r="L370" s="265">
        <f>IFERROR(IF($V$366=9,MATCH($W$364,L375:L394,1),0),0)</f>
        <v>0</v>
      </c>
      <c r="M370" s="265">
        <f>IFERROR(IF($V$366=10,MATCH($W$364,M375:M394,1),0),0)</f>
        <v>0</v>
      </c>
      <c r="N370" s="265">
        <f>IFERROR(IF($V$366=11,MATCH($W$364,N375:N394,1),0),0)</f>
        <v>0</v>
      </c>
      <c r="O370" s="265">
        <f>IFERROR(IF($V$366=12,MATCH($W$364,O375:O394,1),0),0)</f>
        <v>0</v>
      </c>
      <c r="P370" s="265">
        <f>IFERROR(IF($V$366=13,MATCH($W$364,P375:P394,1),0),0)</f>
        <v>0</v>
      </c>
      <c r="Q370" s="265">
        <f>IFERROR(IF($V$366=14,MATCH($W$364,Q375:Q394,1),0),0)</f>
        <v>0</v>
      </c>
      <c r="R370" s="265">
        <f>IFERROR(IF($V$366=15,MATCH($W$364,R375:R394,1),0),0)</f>
        <v>0</v>
      </c>
      <c r="S370" s="265">
        <f>SUM(D370:N370)</f>
        <v>20</v>
      </c>
      <c r="T370" s="265"/>
      <c r="U370" s="265"/>
      <c r="V370" s="265"/>
      <c r="W370" s="265"/>
    </row>
    <row r="371" spans="1:25">
      <c r="A371" s="265"/>
      <c r="B371" s="265"/>
      <c r="C371" s="265"/>
      <c r="D371" s="265">
        <f>IFERROR(IF($S$366=1,MATCH($H$368,D375:D394,1),0),0)</f>
        <v>20</v>
      </c>
      <c r="E371" s="265">
        <f>IFERROR(IF($S$366=2,MATCH($H$368,E375:E394,1),0),0)</f>
        <v>0</v>
      </c>
      <c r="F371" s="265">
        <f>IFERROR(IF($S$366=3,MATCH($H$368,F375:F394,1),0),0)</f>
        <v>0</v>
      </c>
      <c r="G371" s="265">
        <f>IFERROR(IF($S$366=4,MATCH($H$368,G375:G394,1),0),0)</f>
        <v>0</v>
      </c>
      <c r="H371" s="265">
        <f>IFERROR(IF($S$366=5,MATCH($H$368,H375:H394,1),0),0)</f>
        <v>0</v>
      </c>
      <c r="I371" s="265">
        <f>IFERROR(IF($S$366=6,MATCH($H$368,I375:I394,1),0),0)</f>
        <v>0</v>
      </c>
      <c r="J371" s="265">
        <f>IFERROR(IF($S$366=7,MATCH($H$368,J375:J394,1),0),0)</f>
        <v>0</v>
      </c>
      <c r="K371" s="265">
        <f>IFERROR(IF($S$366=8,MATCH($H$368,K375:K394,1),0),0)</f>
        <v>0</v>
      </c>
      <c r="L371" s="265">
        <f>IFERROR(IF($S$366=9,MATCH($H$368,L375:L394,1),0),0)</f>
        <v>0</v>
      </c>
      <c r="M371" s="265">
        <f>IFERROR(IF($S$366=10,MATCH($H$368,M375:M394,1),0),0)</f>
        <v>0</v>
      </c>
      <c r="N371" s="265">
        <f>IFERROR(IF($S$366=11,MATCH($H$368,N375:N394,1),0),0)</f>
        <v>0</v>
      </c>
      <c r="O371" s="265">
        <f>IFERROR(IF($S$366=12,MATCH($H$368,O375:O394,1),0),0)</f>
        <v>0</v>
      </c>
      <c r="P371" s="265">
        <f>IFERROR(IF($S$366=13,MATCH($H$368,P375:P394,1),0),0)</f>
        <v>0</v>
      </c>
      <c r="Q371" s="265">
        <f>IFERROR(IF($S$366=14,MATCH($H$368,Q375:Q394,1),0),0)</f>
        <v>0</v>
      </c>
      <c r="R371" s="265">
        <f>IFERROR(IF($S$366=15,MATCH($H$368,R375:R394,1),0),0)</f>
        <v>0</v>
      </c>
      <c r="S371" s="265">
        <f>SUM(D371:N371)</f>
        <v>20</v>
      </c>
      <c r="T371" s="265" t="str">
        <f>IFERROR(VLOOKUP(T368,B375:N394,MATCH(T367,D372:N372,0)-U367,0),"")</f>
        <v/>
      </c>
      <c r="U371" s="265"/>
      <c r="V371" s="265">
        <f>SUM(D370:R370)</f>
        <v>20</v>
      </c>
      <c r="W371" s="265" t="str">
        <f>IFERROR(VLOOKUP(W368,E375:Q394,MATCH(W367,G372:Q372,0)-Necessidades!AR36,0),"")</f>
        <v/>
      </c>
    </row>
    <row r="372" spans="1:25">
      <c r="A372" s="265"/>
      <c r="B372" s="265"/>
      <c r="C372" s="265"/>
      <c r="D372" s="265">
        <v>1</v>
      </c>
      <c r="E372" s="265">
        <v>2</v>
      </c>
      <c r="F372" s="265">
        <v>3</v>
      </c>
      <c r="G372" s="265">
        <v>4</v>
      </c>
      <c r="H372" s="265">
        <v>5</v>
      </c>
      <c r="I372" s="265">
        <v>6</v>
      </c>
      <c r="J372" s="265">
        <v>7</v>
      </c>
      <c r="K372" s="265">
        <v>8</v>
      </c>
      <c r="L372" s="265">
        <v>9</v>
      </c>
      <c r="M372" s="265">
        <v>10</v>
      </c>
      <c r="N372" s="265">
        <v>11</v>
      </c>
      <c r="O372" s="265">
        <v>12</v>
      </c>
      <c r="P372" s="265">
        <v>13</v>
      </c>
      <c r="Q372" s="265">
        <v>14</v>
      </c>
      <c r="R372" s="265">
        <v>15</v>
      </c>
      <c r="S372" s="265"/>
      <c r="T372" s="265"/>
      <c r="U372" s="265"/>
      <c r="V372" s="265"/>
      <c r="W372" s="265"/>
    </row>
    <row r="373" spans="1:25" customHeight="1" ht="15">
      <c r="A373" s="58"/>
      <c r="B373" s="58"/>
      <c r="C373" s="58"/>
      <c r="D373" s="58"/>
      <c r="E373" s="58"/>
      <c r="F373" s="58"/>
      <c r="G373" s="58"/>
      <c r="H373" s="58" t="s">
        <v>152</v>
      </c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265"/>
      <c r="U373" s="265"/>
      <c r="V373" s="265"/>
      <c r="W373" s="265"/>
    </row>
    <row r="374" spans="1:25" customHeight="1" ht="15">
      <c r="A374" s="265"/>
      <c r="B374" s="265"/>
      <c r="C374" s="265" t="s">
        <v>151</v>
      </c>
      <c r="D374" s="294">
        <v>30</v>
      </c>
      <c r="E374" s="287">
        <v>35</v>
      </c>
      <c r="F374" s="287">
        <v>40</v>
      </c>
      <c r="G374" s="287">
        <v>45</v>
      </c>
      <c r="H374" s="287">
        <v>50</v>
      </c>
      <c r="I374" s="287">
        <v>55</v>
      </c>
      <c r="J374" s="287">
        <v>60</v>
      </c>
      <c r="K374" s="287">
        <v>65</v>
      </c>
      <c r="L374" s="287">
        <v>70</v>
      </c>
      <c r="M374" s="287">
        <v>75</v>
      </c>
      <c r="N374" s="287">
        <v>80</v>
      </c>
      <c r="O374" s="287">
        <v>85</v>
      </c>
      <c r="P374" s="287">
        <v>90</v>
      </c>
      <c r="Q374" s="287">
        <v>95</v>
      </c>
      <c r="R374" s="288">
        <v>100</v>
      </c>
      <c r="S374" s="265" t="s">
        <v>151</v>
      </c>
      <c r="T374" s="265"/>
      <c r="U374" s="265"/>
      <c r="V374" s="265"/>
      <c r="W374" s="265"/>
    </row>
    <row r="375" spans="1:25">
      <c r="A375" s="270"/>
      <c r="B375" s="270">
        <v>1</v>
      </c>
      <c r="C375" s="270">
        <v>50</v>
      </c>
      <c r="D375" s="289">
        <f>((0.1*($C$312^0.75)+(0.84*($C$312^0.355))*((C342/1000)^1.2))*1000)*1.2</f>
        <v>1630.8314311601</v>
      </c>
      <c r="E375" s="270">
        <f>((0.1*($D$312^0.75)+(0.84*($D$312^0.355))*((C342/1000)^1.2))*1000)*1.2</f>
        <v>1824.5679105771</v>
      </c>
      <c r="F375" s="270">
        <f>((0.1*($E$312^0.75)+(0.84*($E$312^0.355))*((C342/1000)^1.2))*1000)*1.2</f>
        <v>2011.2045117846</v>
      </c>
      <c r="G375" s="270">
        <f>((0.1*($F$312^0.75)+(0.84*($F$312^0.355))*((C342/1000)^1.2))*1000)*1.2</f>
        <v>2191.8597284749</v>
      </c>
      <c r="H375" s="270">
        <f>((0.1*($G$312^0.75)+(0.84*($G$312^0.355))*((C342/1000)^1.2))*1000)*1.2</f>
        <v>2367.3710343752</v>
      </c>
      <c r="I375" s="270">
        <f>((0.1*($H$312^0.75)+(0.84*($H$312^0.355))*((C342/1000)^1.2))*1000)*1.2</f>
        <v>2538.3865900861</v>
      </c>
      <c r="J375" s="270">
        <f>((0.1*($I$312^0.75)+(0.84*($I$312^0.355))*((C342/1000)^1.2))*1000)*1.2</f>
        <v>2705.4213791893</v>
      </c>
      <c r="K375" s="270">
        <f>((0.1*($J$312^0.75)+(0.84*($J$312^0.355))*((C342/1000)^1.2))*1000)*1.2</f>
        <v>2868.8933971948</v>
      </c>
      <c r="L375" s="270">
        <f>((0.1*($K$312^0.75)+(0.84*($K$312^0.355))*((C342/1000)^1.2))*1000)*1.2</f>
        <v>3029.1479751063</v>
      </c>
      <c r="M375" s="270">
        <f>((0.1*($L$312^0.75)+(0.84*($L$312^0.355))*((C342/1000)^1.2))*1000)*1.2</f>
        <v>3186.474699503</v>
      </c>
      <c r="N375" s="270">
        <f>((0.1*($M$312^0.75)+(0.84*($M$312^0.355))*((C342/1000)^1.2))*1000)*1.2</f>
        <v>3341.1195267273</v>
      </c>
      <c r="O375" s="270">
        <f>((0.1*($O$374^0.75)+(0.84*($O$374^0.355))*((C375/1000)^1.2))*1000)*1.2</f>
        <v>3493.29367163</v>
      </c>
      <c r="P375" s="270">
        <f>((0.1*($P$374^0.75)+(0.84*($P$374^0.355))*((C375/1000)^1.2))*1000)*1.2</f>
        <v>3643.1802690311</v>
      </c>
      <c r="Q375" s="270">
        <f>((0.1*($Q$374^0.75)+(0.84*($Q$374^0.355))*((C375/1000)^1.2))*1000)*1.2</f>
        <v>3790.9394587952</v>
      </c>
      <c r="R375" s="290">
        <f>((0.1*($R$374^0.75)+(0.84*($R$374^0.355))*((C375/1000)^1.2))*1000)*1.2</f>
        <v>3936.7123309229</v>
      </c>
      <c r="S375" s="265">
        <v>50</v>
      </c>
      <c r="T375" s="265"/>
      <c r="U375" s="265"/>
      <c r="V375" s="265"/>
      <c r="W375" s="265"/>
    </row>
    <row r="376" spans="1:25">
      <c r="A376" s="270"/>
      <c r="B376" s="270">
        <v>2</v>
      </c>
      <c r="C376" s="270">
        <v>100</v>
      </c>
      <c r="D376" s="289">
        <f>((0.1*($C$312^0.75)+(0.84*($C$312^0.355))*((C343/1000)^1.2))*1000)*1.2</f>
        <v>1750.9680417441</v>
      </c>
      <c r="E376" s="270">
        <f>((0.1*($D$312^0.75)+(0.84*($D$312^0.355))*((C343/1000)^1.2))*1000)*1.2</f>
        <v>1951.4620267949</v>
      </c>
      <c r="F376" s="270">
        <f>((0.1*($E$312^0.75)+(0.84*($E$312^0.355))*((C343/1000)^1.2))*1000)*1.2</f>
        <v>2144.2587235625</v>
      </c>
      <c r="G376" s="270">
        <f>((0.1*($F$312^0.75)+(0.84*($F$312^0.355))*((C343/1000)^1.2))*1000)*1.2</f>
        <v>2330.5952822379</v>
      </c>
      <c r="H376" s="270">
        <f>((0.1*($G$312^0.75)+(0.84*($G$312^0.355))*((C343/1000)^1.2))*1000)*1.2</f>
        <v>2511.3939773706</v>
      </c>
      <c r="I376" s="270">
        <f>((0.1*($H$312^0.75)+(0.84*($H$312^0.355))*((C343/1000)^1.2))*1000)*1.2</f>
        <v>2687.3659432646</v>
      </c>
      <c r="J376" s="270">
        <f>((0.1*($I$312^0.75)+(0.84*($I$312^0.355))*((C343/1000)^1.2))*1000)*1.2</f>
        <v>2859.0743719097</v>
      </c>
      <c r="K376" s="270">
        <f>((0.1*($J$312^0.75)+(0.84*($J$312^0.355))*((C343/1000)^1.2))*1000)*1.2</f>
        <v>3026.9750875736</v>
      </c>
      <c r="L376" s="270">
        <f>((0.1*($K$312^0.75)+(0.84*($K$312^0.355))*((C343/1000)^1.2))*1000)*1.2</f>
        <v>3191.4437200978</v>
      </c>
      <c r="M376" s="270">
        <f>((0.1*($L$312^0.75)+(0.84*($L$312^0.355))*((C343/1000)^1.2))*1000)*1.2</f>
        <v>3352.7945469993</v>
      </c>
      <c r="N376" s="270">
        <f>((0.1*($M$312^0.75)+(0.84*($M$312^0.355))*((C343/1000)^1.2))*1000)*1.2</f>
        <v>3511.2939451195</v>
      </c>
      <c r="O376" s="270">
        <f>((0.1*($O$374^0.75)+(0.84*($O$374^0.355))*((C376/1000)^1.2))*1000)*1.2</f>
        <v>3667.1702351428</v>
      </c>
      <c r="P376" s="270">
        <f>((0.1*($P$374^0.75)+(0.84*($P$374^0.355))*((C376/1000)^1.2))*1000)*1.2</f>
        <v>3820.6210419046</v>
      </c>
      <c r="Q376" s="270">
        <f>((0.1*($Q$374^0.75)+(0.84*($Q$374^0.355))*((C376/1000)^1.2))*1000)*1.2</f>
        <v>3971.8189007565</v>
      </c>
      <c r="R376" s="290">
        <f>((0.1*($R$374^0.75)+(0.84*($R$374^0.355))*((C376/1000)^1.2))*1000)*1.2</f>
        <v>4120.9155983871</v>
      </c>
      <c r="S376" s="265">
        <v>100</v>
      </c>
      <c r="T376" s="265"/>
      <c r="U376" s="265"/>
      <c r="V376" s="265"/>
      <c r="W376" s="265"/>
    </row>
    <row r="377" spans="1:25">
      <c r="A377" s="270"/>
      <c r="B377" s="270">
        <v>3</v>
      </c>
      <c r="C377" s="270">
        <v>150</v>
      </c>
      <c r="D377" s="289">
        <f>((0.1*($C$312^0.75)+(0.84*($C$312^0.355))*((C344/1000)^1.2))*1000)*1.2</f>
        <v>1884.2905815017</v>
      </c>
      <c r="E377" s="270">
        <f>((0.1*($D$312^0.75)+(0.84*($D$312^0.355))*((C344/1000)^1.2))*1000)*1.2</f>
        <v>2092.2837610873</v>
      </c>
      <c r="F377" s="270">
        <f>((0.1*($E$312^0.75)+(0.84*($E$312^0.355))*((C344/1000)^1.2))*1000)*1.2</f>
        <v>2291.9166719052</v>
      </c>
      <c r="G377" s="270">
        <f>((0.1*($F$312^0.75)+(0.84*($F$312^0.355))*((C344/1000)^1.2))*1000)*1.2</f>
        <v>2484.5581441204</v>
      </c>
      <c r="H377" s="270">
        <f>((0.1*($G$312^0.75)+(0.84*($G$312^0.355))*((C344/1000)^1.2))*1000)*1.2</f>
        <v>2671.2245606554</v>
      </c>
      <c r="I377" s="270">
        <f>((0.1*($H$312^0.75)+(0.84*($H$312^0.355))*((C344/1000)^1.2))*1000)*1.2</f>
        <v>2852.6969413729</v>
      </c>
      <c r="J377" s="270">
        <f>((0.1*($I$312^0.75)+(0.84*($I$312^0.355))*((C344/1000)^1.2))*1000)*1.2</f>
        <v>3029.591977919</v>
      </c>
      <c r="K377" s="270">
        <f>((0.1*($J$312^0.75)+(0.84*($J$312^0.355))*((C344/1000)^1.2))*1000)*1.2</f>
        <v>3202.4074753196</v>
      </c>
      <c r="L377" s="270">
        <f>((0.1*($K$312^0.75)+(0.84*($K$312^0.355))*((C344/1000)^1.2))*1000)*1.2</f>
        <v>3371.5526877883</v>
      </c>
      <c r="M377" s="270">
        <f>((0.1*($L$312^0.75)+(0.84*($L$312^0.355))*((C344/1000)^1.2))*1000)*1.2</f>
        <v>3537.3692938023</v>
      </c>
      <c r="N377" s="270">
        <f>((0.1*($M$312^0.75)+(0.84*($M$312^0.355))*((C344/1000)^1.2))*1000)*1.2</f>
        <v>3700.1463320108</v>
      </c>
      <c r="O377" s="270">
        <f>((0.1*($O$374^0.75)+(0.84*($O$374^0.355))*((C377/1000)^1.2))*1000)*1.2</f>
        <v>3860.1311064306</v>
      </c>
      <c r="P377" s="270">
        <f>((0.1*($P$374^0.75)+(0.84*($P$374^0.355))*((C377/1000)^1.2))*1000)*1.2</f>
        <v>4017.5373223044</v>
      </c>
      <c r="Q377" s="270">
        <f>((0.1*($Q$374^0.75)+(0.84*($Q$374^0.355))*((C377/1000)^1.2))*1000)*1.2</f>
        <v>4172.5512709723</v>
      </c>
      <c r="R377" s="290">
        <f>((0.1*($R$374^0.75)+(0.84*($R$374^0.355))*((C377/1000)^1.2))*1000)*1.2</f>
        <v>4325.3366098556</v>
      </c>
      <c r="S377" s="265">
        <v>150</v>
      </c>
      <c r="T377" s="265"/>
      <c r="U377" s="265"/>
      <c r="V377" s="265"/>
      <c r="W377" s="265"/>
    </row>
    <row r="378" spans="1:25">
      <c r="A378" s="270"/>
      <c r="B378" s="270">
        <v>4</v>
      </c>
      <c r="C378" s="270">
        <v>200</v>
      </c>
      <c r="D378" s="289">
        <f>((0.1*($C$312^0.75)+(0.84*($C$312^0.355))*((C345/1000)^1.2))*1000)*1.2</f>
        <v>2026.9694956495</v>
      </c>
      <c r="E378" s="270">
        <f>((0.1*($D$312^0.75)+(0.84*($D$312^0.355))*((C345/1000)^1.2))*1000)*1.2</f>
        <v>2242.9881519113</v>
      </c>
      <c r="F378" s="270">
        <f>((0.1*($E$312^0.75)+(0.84*($E$312^0.355))*((C345/1000)^1.2))*1000)*1.2</f>
        <v>2449.9370319519</v>
      </c>
      <c r="G378" s="270">
        <f>((0.1*($F$312^0.75)+(0.84*($F$312^0.355))*((C345/1000)^1.2))*1000)*1.2</f>
        <v>2649.3258870124</v>
      </c>
      <c r="H378" s="270">
        <f>((0.1*($G$312^0.75)+(0.84*($G$312^0.355))*((C345/1000)^1.2))*1000)*1.2</f>
        <v>2842.2718127718</v>
      </c>
      <c r="I378" s="270">
        <f>((0.1*($H$312^0.75)+(0.84*($H$312^0.355))*((C345/1000)^1.2))*1000)*1.2</f>
        <v>3029.630619114</v>
      </c>
      <c r="J378" s="270">
        <f>((0.1*($I$312^0.75)+(0.84*($I$312^0.355))*((C345/1000)^1.2))*1000)*1.2</f>
        <v>3212.0762518664</v>
      </c>
      <c r="K378" s="270">
        <f>((0.1*($J$312^0.75)+(0.84*($J$312^0.355))*((C345/1000)^1.2))*1000)*1.2</f>
        <v>3390.1514429599</v>
      </c>
      <c r="L378" s="270">
        <f>((0.1*($K$312^0.75)+(0.84*($K$312^0.355))*((C345/1000)^1.2))*1000)*1.2</f>
        <v>3564.3014306873</v>
      </c>
      <c r="M378" s="270">
        <f>((0.1*($L$312^0.75)+(0.84*($L$312^0.355))*((C345/1000)^1.2))*1000)*1.2</f>
        <v>3734.8972174441</v>
      </c>
      <c r="N378" s="270">
        <f>((0.1*($M$312^0.75)+(0.84*($M$312^0.355))*((C345/1000)^1.2))*1000)*1.2</f>
        <v>3902.2520940588</v>
      </c>
      <c r="O378" s="270">
        <f>((0.1*($O$374^0.75)+(0.84*($O$374^0.355))*((C378/1000)^1.2))*1000)*1.2</f>
        <v>4066.6336801021</v>
      </c>
      <c r="P378" s="270">
        <f>((0.1*($P$374^0.75)+(0.84*($P$374^0.355))*((C378/1000)^1.2))*1000)*1.2</f>
        <v>4228.272889723</v>
      </c>
      <c r="Q378" s="270">
        <f>((0.1*($Q$374^0.75)+(0.84*($Q$374^0.355))*((C378/1000)^1.2))*1000)*1.2</f>
        <v>4387.3707356239</v>
      </c>
      <c r="R378" s="290">
        <f>((0.1*($R$374^0.75)+(0.84*($R$374^0.355))*((C378/1000)^1.2))*1000)*1.2</f>
        <v>4544.1035790296</v>
      </c>
      <c r="S378" s="265">
        <v>200</v>
      </c>
      <c r="T378" s="265"/>
      <c r="U378" s="265"/>
      <c r="V378" s="265"/>
      <c r="W378" s="265"/>
    </row>
    <row r="379" spans="1:25">
      <c r="A379" s="270"/>
      <c r="B379" s="270">
        <v>5</v>
      </c>
      <c r="C379" s="270">
        <v>250</v>
      </c>
      <c r="D379" s="289">
        <f>((0.1*($C$312^0.75)+(0.84*($C$312^0.355))*((C346/1000)^1.2))*1000)*1.2</f>
        <v>2177.0356948274</v>
      </c>
      <c r="E379" s="270">
        <f>((0.1*($D$312^0.75)+(0.84*($D$312^0.355))*((C346/1000)^1.2))*1000)*1.2</f>
        <v>2401.495351559</v>
      </c>
      <c r="F379" s="270">
        <f>((0.1*($E$312^0.75)+(0.84*($E$312^0.355))*((C346/1000)^1.2))*1000)*1.2</f>
        <v>2616.1389894489</v>
      </c>
      <c r="G379" s="270">
        <f>((0.1*($F$312^0.75)+(0.84*($F$312^0.355))*((C346/1000)^1.2))*1000)*1.2</f>
        <v>2822.6245770858</v>
      </c>
      <c r="H379" s="270">
        <f>((0.1*($G$312^0.75)+(0.84*($G$312^0.355))*((C346/1000)^1.2))*1000)*1.2</f>
        <v>3022.1751373675</v>
      </c>
      <c r="I379" s="270">
        <f>((0.1*($H$312^0.75)+(0.84*($H$312^0.355))*((C346/1000)^1.2))*1000)*1.2</f>
        <v>3215.725142497</v>
      </c>
      <c r="J379" s="270">
        <f>((0.1*($I$312^0.75)+(0.84*($I$312^0.355))*((C346/1000)^1.2))*1000)*1.2</f>
        <v>3404.008756852</v>
      </c>
      <c r="K379" s="270">
        <f>((0.1*($J$312^0.75)+(0.84*($J$312^0.355))*((C346/1000)^1.2))*1000)*1.2</f>
        <v>3587.6159653851</v>
      </c>
      <c r="L379" s="270">
        <f>((0.1*($K$312^0.75)+(0.84*($K$312^0.355))*((C346/1000)^1.2))*1000)*1.2</f>
        <v>3767.0298535654</v>
      </c>
      <c r="M379" s="270">
        <f>((0.1*($L$312^0.75)+(0.84*($L$312^0.355))*((C346/1000)^1.2))*1000)*1.2</f>
        <v>3942.65226597</v>
      </c>
      <c r="N379" s="270">
        <f>((0.1*($M$312^0.75)+(0.84*($M$312^0.355))*((C346/1000)^1.2))*1000)*1.2</f>
        <v>4114.8220012776</v>
      </c>
      <c r="O379" s="270">
        <f>((0.1*($O$374^0.75)+(0.84*($O$374^0.355))*((C379/1000)^1.2))*1000)*1.2</f>
        <v>4283.8280464625</v>
      </c>
      <c r="P379" s="270">
        <f>((0.1*($P$374^0.75)+(0.84*($P$374^0.355))*((C379/1000)^1.2))*1000)*1.2</f>
        <v>4449.9194155811</v>
      </c>
      <c r="Q379" s="270">
        <f>((0.1*($Q$374^0.75)+(0.84*($Q$374^0.355))*((C379/1000)^1.2))*1000)*1.2</f>
        <v>4613.3126049059</v>
      </c>
      <c r="R379" s="290">
        <f>((0.1*($R$374^0.75)+(0.84*($R$374^0.355))*((C379/1000)^1.2))*1000)*1.2</f>
        <v>4774.1973372114</v>
      </c>
      <c r="S379" s="265">
        <v>250</v>
      </c>
      <c r="T379" s="265"/>
      <c r="U379" s="265"/>
      <c r="V379" s="265"/>
      <c r="W379" s="265"/>
    </row>
    <row r="380" spans="1:25">
      <c r="A380" s="270"/>
      <c r="B380" s="270">
        <v>6</v>
      </c>
      <c r="C380" s="270">
        <v>300</v>
      </c>
      <c r="D380" s="289">
        <f>((0.1*($C$312^0.75)+(0.84*($C$312^0.355))*((C347/1000)^1.2))*1000)*1.2</f>
        <v>2333.2642598566</v>
      </c>
      <c r="E380" s="270">
        <f>((0.1*($D$312^0.75)+(0.84*($D$312^0.355))*((C347/1000)^1.2))*1000)*1.2</f>
        <v>2566.5115409703</v>
      </c>
      <c r="F380" s="270">
        <f>((0.1*($E$312^0.75)+(0.84*($E$312^0.355))*((C347/1000)^1.2))*1000)*1.2</f>
        <v>2789.1659166789</v>
      </c>
      <c r="G380" s="270">
        <f>((0.1*($F$312^0.75)+(0.84*($F$312^0.355))*((C347/1000)^1.2))*1000)*1.2</f>
        <v>3003.0396593625</v>
      </c>
      <c r="H380" s="270">
        <f>((0.1*($G$312^0.75)+(0.84*($G$312^0.355))*((C347/1000)^1.2))*1000)*1.2</f>
        <v>3209.4660689669</v>
      </c>
      <c r="I380" s="270">
        <f>((0.1*($H$312^0.75)+(0.84*($H$312^0.355))*((C347/1000)^1.2))*1000)*1.2</f>
        <v>3409.4615102281</v>
      </c>
      <c r="J380" s="270">
        <f>((0.1*($I$312^0.75)+(0.84*($I$312^0.355))*((C347/1000)^1.2))*1000)*1.2</f>
        <v>3603.8228389081</v>
      </c>
      <c r="K380" s="270">
        <f>((0.1*($J$312^0.75)+(0.84*($J$312^0.355))*((C347/1000)^1.2))*1000)*1.2</f>
        <v>3793.1892333941</v>
      </c>
      <c r="L380" s="270">
        <f>((0.1*($K$312^0.75)+(0.84*($K$312^0.355))*((C347/1000)^1.2))*1000)*1.2</f>
        <v>3978.0831804998</v>
      </c>
      <c r="M380" s="270">
        <f>((0.1*($L$312^0.75)+(0.84*($L$312^0.355))*((C347/1000)^1.2))*1000)*1.2</f>
        <v>4158.9386334972</v>
      </c>
      <c r="N380" s="270">
        <f>((0.1*($M$312^0.75)+(0.84*($M$312^0.355))*((C347/1000)^1.2))*1000)*1.2</f>
        <v>4336.1209463774</v>
      </c>
      <c r="O380" s="270">
        <f>((0.1*($O$374^0.75)+(0.84*($O$374^0.355))*((C380/1000)^1.2))*1000)*1.2</f>
        <v>4509.9413509563</v>
      </c>
      <c r="P380" s="270">
        <f>((0.1*($P$374^0.75)+(0.84*($P$374^0.355))*((C380/1000)^1.2))*1000)*1.2</f>
        <v>4680.6677044579</v>
      </c>
      <c r="Q380" s="270">
        <f>((0.1*($Q$374^0.75)+(0.84*($Q$374^0.355))*((C380/1000)^1.2))*1000)*1.2</f>
        <v>4848.532622547</v>
      </c>
      <c r="R380" s="290">
        <f>((0.1*($R$374^0.75)+(0.84*($R$374^0.355))*((C380/1000)^1.2))*1000)*1.2</f>
        <v>5013.739738231</v>
      </c>
      <c r="S380" s="265">
        <v>300</v>
      </c>
      <c r="T380" s="265"/>
      <c r="U380" s="265"/>
      <c r="V380" s="265"/>
      <c r="W380" s="265"/>
    </row>
    <row r="381" spans="1:25">
      <c r="A381" s="270"/>
      <c r="B381" s="270">
        <v>7</v>
      </c>
      <c r="C381" s="270">
        <v>350</v>
      </c>
      <c r="D381" s="289">
        <f>((0.1*($C$312^0.75)+(0.84*($C$312^0.355))*((C348/1000)^1.2))*1000)*1.2</f>
        <v>2494.8108756544</v>
      </c>
      <c r="E381" s="270">
        <f>((0.1*($D$312^0.75)+(0.84*($D$312^0.355))*((C348/1000)^1.2))*1000)*1.2</f>
        <v>2737.1449135949</v>
      </c>
      <c r="F381" s="270">
        <f>((0.1*($E$312^0.75)+(0.84*($E$312^0.355))*((C348/1000)^1.2))*1000)*1.2</f>
        <v>2968.0827141969</v>
      </c>
      <c r="G381" s="270">
        <f>((0.1*($F$312^0.75)+(0.84*($F$312^0.355))*((C348/1000)^1.2))*1000)*1.2</f>
        <v>3189.5961061634</v>
      </c>
      <c r="H381" s="270">
        <f>((0.1*($G$312^0.75)+(0.84*($G$312^0.355))*((C348/1000)^1.2))*1000)*1.2</f>
        <v>3403.13242034</v>
      </c>
      <c r="I381" s="270">
        <f>((0.1*($H$312^0.75)+(0.84*($H$312^0.355))*((C348/1000)^1.2))*1000)*1.2</f>
        <v>3609.7927016338</v>
      </c>
      <c r="J381" s="270">
        <f>((0.1*($I$312^0.75)+(0.84*($I$312^0.355))*((C348/1000)^1.2))*1000)*1.2</f>
        <v>3810.4386312175</v>
      </c>
      <c r="K381" s="270">
        <f>((0.1*($J$312^0.75)+(0.84*($J$312^0.355))*((C348/1000)^1.2))*1000)*1.2</f>
        <v>4005.7602554674</v>
      </c>
      <c r="L381" s="270">
        <f>((0.1*($K$312^0.75)+(0.84*($K$312^0.355))*((C348/1000)^1.2))*1000)*1.2</f>
        <v>4196.3208037714</v>
      </c>
      <c r="M381" s="270">
        <f>((0.1*($L$312^0.75)+(0.84*($L$312^0.355))*((C348/1000)^1.2))*1000)*1.2</f>
        <v>4382.587431082</v>
      </c>
      <c r="N381" s="270">
        <f>((0.1*($M$312^0.75)+(0.84*($M$312^0.355))*((C348/1000)^1.2))*1000)*1.2</f>
        <v>4564.9529506513</v>
      </c>
      <c r="O381" s="270">
        <f>((0.1*($O$374^0.75)+(0.84*($O$374^0.355))*((C381/1000)^1.2))*1000)*1.2</f>
        <v>4743.7515963551</v>
      </c>
      <c r="P381" s="270">
        <f>((0.1*($P$374^0.75)+(0.84*($P$374^0.355))*((C381/1000)^1.2))*1000)*1.2</f>
        <v>4919.2707100106</v>
      </c>
      <c r="Q381" s="270">
        <f>((0.1*($Q$374^0.75)+(0.84*($Q$374^0.355))*((C381/1000)^1.2))*1000)*1.2</f>
        <v>5091.7595753817</v>
      </c>
      <c r="R381" s="290">
        <f>((0.1*($R$374^0.75)+(0.84*($R$374^0.355))*((C381/1000)^1.2))*1000)*1.2</f>
        <v>5261.4362092158</v>
      </c>
      <c r="S381" s="265">
        <v>350</v>
      </c>
      <c r="T381" s="265"/>
      <c r="U381" s="265"/>
      <c r="V381" s="265"/>
      <c r="W381" s="265"/>
    </row>
    <row r="382" spans="1:25">
      <c r="A382" s="270"/>
      <c r="B382" s="270">
        <v>8</v>
      </c>
      <c r="C382" s="270">
        <v>400</v>
      </c>
      <c r="D382" s="289">
        <f>((0.1*($C$312^0.75)+(0.84*($C$312^0.355))*((C349/1000)^1.2))*1000)*1.2</f>
        <v>2661.0543278055</v>
      </c>
      <c r="E382" s="270">
        <f>((0.1*($D$312^0.75)+(0.84*($D$312^0.355))*((C349/1000)^1.2))*1000)*1.2</f>
        <v>2912.7393126309</v>
      </c>
      <c r="F382" s="270">
        <f>((0.1*($E$312^0.75)+(0.84*($E$312^0.355))*((C349/1000)^1.2))*1000)*1.2</f>
        <v>3152.2013719623</v>
      </c>
      <c r="G382" s="270">
        <f>((0.1*($F$312^0.75)+(0.84*($F$312^0.355))*((C349/1000)^1.2))*1000)*1.2</f>
        <v>3381.5765297958</v>
      </c>
      <c r="H382" s="270">
        <f>((0.1*($G$312^0.75)+(0.84*($G$312^0.355))*((C349/1000)^1.2))*1000)*1.2</f>
        <v>3602.4294632325</v>
      </c>
      <c r="I382" s="270">
        <f>((0.1*($H$312^0.75)+(0.84*($H$312^0.355))*((C349/1000)^1.2))*1000)*1.2</f>
        <v>3815.9483593575</v>
      </c>
      <c r="J382" s="270">
        <f>((0.1*($I$312^0.75)+(0.84*($I$312^0.355))*((C349/1000)^1.2))*1000)*1.2</f>
        <v>4023.0616095006</v>
      </c>
      <c r="K382" s="270">
        <f>((0.1*($J$312^0.75)+(0.84*($J$312^0.355))*((C349/1000)^1.2))*1000)*1.2</f>
        <v>4224.5116069722</v>
      </c>
      <c r="L382" s="270">
        <f>((0.1*($K$312^0.75)+(0.84*($K$312^0.355))*((C349/1000)^1.2))*1000)*1.2</f>
        <v>4420.9035082915</v>
      </c>
      <c r="M382" s="270">
        <f>((0.1*($L$312^0.75)+(0.84*($L$312^0.355))*((C349/1000)^1.2))*1000)*1.2</f>
        <v>4612.7386354038</v>
      </c>
      <c r="N382" s="270">
        <f>((0.1*($M$312^0.75)+(0.84*($M$312^0.355))*((C349/1000)^1.2))*1000)*1.2</f>
        <v>4800.4380591774</v>
      </c>
      <c r="O382" s="270">
        <f>((0.1*($O$374^0.75)+(0.84*($O$374^0.355))*((C382/1000)^1.2))*1000)*1.2</f>
        <v>4984.3596843146</v>
      </c>
      <c r="P382" s="270">
        <f>((0.1*($P$374^0.75)+(0.84*($P$374^0.355))*((C382/1000)^1.2))*1000)*1.2</f>
        <v>5164.810903724</v>
      </c>
      <c r="Q382" s="270">
        <f>((0.1*($Q$374^0.75)+(0.84*($Q$374^0.355))*((C382/1000)^1.2))*1000)*1.2</f>
        <v>5342.0581538804</v>
      </c>
      <c r="R382" s="290">
        <f>((0.1*($R$374^0.75)+(0.84*($R$374^0.355))*((C382/1000)^1.2))*1000)*1.2</f>
        <v>5516.3342534666</v>
      </c>
      <c r="S382" s="265">
        <v>400</v>
      </c>
      <c r="T382" s="265"/>
      <c r="U382" s="265"/>
      <c r="V382" s="265"/>
      <c r="W382" s="265"/>
    </row>
    <row r="383" spans="1:25">
      <c r="A383" s="270"/>
      <c r="B383" s="270">
        <v>9</v>
      </c>
      <c r="C383" s="270">
        <v>450</v>
      </c>
      <c r="D383" s="289">
        <f>((0.1*($C$312^0.75)+(0.84*($C$312^0.355))*((C350/1000)^1.2))*1000)*1.2</f>
        <v>2831.516298029</v>
      </c>
      <c r="E383" s="270">
        <f>((0.1*($D$312^0.75)+(0.84*($D$312^0.355))*((C350/1000)^1.2))*1000)*1.2</f>
        <v>3092.7895151055</v>
      </c>
      <c r="F383" s="270">
        <f>((0.1*($E$312^0.75)+(0.84*($E$312^0.355))*((C350/1000)^1.2))*1000)*1.2</f>
        <v>3340.9921408707</v>
      </c>
      <c r="G383" s="270">
        <f>((0.1*($F$312^0.75)+(0.84*($F$312^0.355))*((C350/1000)^1.2))*1000)*1.2</f>
        <v>3578.4285611586</v>
      </c>
      <c r="H383" s="270">
        <f>((0.1*($G$312^0.75)+(0.84*($G$312^0.355))*((C350/1000)^1.2))*1000)*1.2</f>
        <v>3806.7837770511</v>
      </c>
      <c r="I383" s="270">
        <f>((0.1*($H$312^0.75)+(0.84*($H$312^0.355))*((C350/1000)^1.2))*1000)*1.2</f>
        <v>4027.3353290913</v>
      </c>
      <c r="J383" s="270">
        <f>((0.1*($I$312^0.75)+(0.84*($I$312^0.355))*((C350/1000)^1.2))*1000)*1.2</f>
        <v>4241.0800115726</v>
      </c>
      <c r="K383" s="270">
        <f>((0.1*($J$312^0.75)+(0.84*($J$312^0.355))*((C350/1000)^1.2))*1000)*1.2</f>
        <v>4448.8138930716</v>
      </c>
      <c r="L383" s="270">
        <f>((0.1*($K$312^0.75)+(0.84*($K$312^0.355))*((C350/1000)^1.2))*1000)*1.2</f>
        <v>4651.1851211626</v>
      </c>
      <c r="M383" s="270">
        <f>((0.1*($L$312^0.75)+(0.84*($L$312^0.355))*((C350/1000)^1.2))*1000)*1.2</f>
        <v>4848.7300517896</v>
      </c>
      <c r="N383" s="270">
        <f>((0.1*($M$312^0.75)+(0.84*($M$312^0.355))*((C350/1000)^1.2))*1000)*1.2</f>
        <v>5041.8987304896</v>
      </c>
      <c r="O383" s="270">
        <f>((0.1*($O$374^0.75)+(0.84*($O$374^0.355))*((C383/1000)^1.2))*1000)*1.2</f>
        <v>5231.0733334513</v>
      </c>
      <c r="P383" s="270">
        <f>((0.1*($P$374^0.75)+(0.84*($P$374^0.355))*((C383/1000)^1.2))*1000)*1.2</f>
        <v>5416.5818134823</v>
      </c>
      <c r="Q383" s="270">
        <f>((0.1*($Q$374^0.75)+(0.84*($Q$374^0.355))*((C383/1000)^1.2))*1000)*1.2</f>
        <v>5598.7081950276</v>
      </c>
      <c r="R383" s="290">
        <f>((0.1*($R$374^0.75)+(0.84*($R$374^0.355))*((C383/1000)^1.2))*1000)*1.2</f>
        <v>5777.7004743124</v>
      </c>
      <c r="S383" s="265">
        <v>450</v>
      </c>
      <c r="T383" s="265"/>
      <c r="U383" s="265"/>
      <c r="V383" s="265"/>
      <c r="W383" s="265"/>
    </row>
    <row r="384" spans="1:25">
      <c r="A384" s="270"/>
      <c r="B384" s="270">
        <v>10</v>
      </c>
      <c r="C384" s="270">
        <v>500</v>
      </c>
      <c r="D384" s="289">
        <f>((0.1*($C$312^0.75)+(0.84*($C$312^0.355))*((C351/1000)^1.2))*1000)*1.2</f>
        <v>3005.8159200779</v>
      </c>
      <c r="E384" s="270">
        <f>((0.1*($D$312^0.75)+(0.84*($D$312^0.355))*((C351/1000)^1.2))*1000)*1.2</f>
        <v>3276.893231612</v>
      </c>
      <c r="F384" s="270">
        <f>((0.1*($E$312^0.75)+(0.84*($E$312^0.355))*((C351/1000)^1.2))*1000)*1.2</f>
        <v>3534.0332023105</v>
      </c>
      <c r="G384" s="270">
        <f>((0.1*($F$312^0.75)+(0.84*($F$312^0.355))*((C351/1000)^1.2))*1000)*1.2</f>
        <v>3779.7123702166</v>
      </c>
      <c r="H384" s="270">
        <f>((0.1*($G$312^0.75)+(0.84*($G$312^0.355))*((C351/1000)^1.2))*1000)*1.2</f>
        <v>4015.7387692758</v>
      </c>
      <c r="I384" s="270">
        <f>((0.1*($H$312^0.75)+(0.84*($H$312^0.355))*((C351/1000)^1.2))*1000)*1.2</f>
        <v>4243.4813051255</v>
      </c>
      <c r="J384" s="270">
        <f>((0.1*($I$312^0.75)+(0.84*($I$312^0.355))*((C351/1000)^1.2))*1000)*1.2</f>
        <v>4464.0067149953</v>
      </c>
      <c r="K384" s="270">
        <f>((0.1*($J$312^0.75)+(0.84*($J$312^0.355))*((C351/1000)^1.2))*1000)*1.2</f>
        <v>4678.1659511323</v>
      </c>
      <c r="L384" s="270">
        <f>((0.1*($K$312^0.75)+(0.84*($K$312^0.355))*((C351/1000)^1.2))*1000)*1.2</f>
        <v>4886.6511200339</v>
      </c>
      <c r="M384" s="270">
        <f>((0.1*($L$312^0.75)+(0.84*($L$312^0.355))*((C351/1000)^1.2))*1000)*1.2</f>
        <v>5090.0344003719</v>
      </c>
      <c r="N384" s="270">
        <f>((0.1*($M$312^0.75)+(0.84*($M$312^0.355))*((C351/1000)^1.2))*1000)*1.2</f>
        <v>5288.7954646655</v>
      </c>
      <c r="O384" s="270">
        <f>((0.1*($O$374^0.75)+(0.84*($O$374^0.355))*((C384/1000)^1.2))*1000)*1.2</f>
        <v>5483.3413070201</v>
      </c>
      <c r="P384" s="270">
        <f>((0.1*($P$374^0.75)+(0.84*($P$374^0.355))*((C384/1000)^1.2))*1000)*1.2</f>
        <v>5674.020903012</v>
      </c>
      <c r="Q384" s="270">
        <f>((0.1*($Q$374^0.75)+(0.84*($Q$374^0.355))*((C384/1000)^1.2))*1000)*1.2</f>
        <v>5861.1362610187</v>
      </c>
      <c r="R384" s="290">
        <f>((0.1*($R$374^0.75)+(0.84*($R$374^0.355))*((C384/1000)^1.2))*1000)*1.2</f>
        <v>6044.9508965037</v>
      </c>
      <c r="S384" s="265">
        <v>500</v>
      </c>
      <c r="T384" s="265"/>
      <c r="U384" s="265"/>
      <c r="V384" s="265"/>
      <c r="W384" s="265"/>
    </row>
    <row r="385" spans="1:25">
      <c r="A385" s="270"/>
      <c r="B385" s="270">
        <v>11</v>
      </c>
      <c r="C385" s="270">
        <v>550</v>
      </c>
      <c r="D385" s="289">
        <f>((0.1*($C$312^0.75)+(0.84*($C$312^0.355))*((C352/1000)^1.2))*1000)*1.2</f>
        <v>3183.6419823034</v>
      </c>
      <c r="E385" s="270">
        <f>((0.1*($D$312^0.75)+(0.84*($D$312^0.355))*((C352/1000)^1.2))*1000)*1.2</f>
        <v>3464.721745309</v>
      </c>
      <c r="F385" s="270">
        <f>((0.1*($E$312^0.75)+(0.84*($E$312^0.355))*((C352/1000)^1.2))*1000)*1.2</f>
        <v>3730.9798818278</v>
      </c>
      <c r="G385" s="270">
        <f>((0.1*($F$312^0.75)+(0.84*($F$312^0.355))*((C352/1000)^1.2))*1000)*1.2</f>
        <v>3985.0685651054</v>
      </c>
      <c r="H385" s="270">
        <f>((0.1*($G$312^0.75)+(0.84*($G$312^0.355))*((C352/1000)^1.2))*1000)*1.2</f>
        <v>4228.921351159</v>
      </c>
      <c r="I385" s="270">
        <f>((0.1*($H$312^0.75)+(0.84*($H$312^0.355))*((C352/1000)^1.2))*1000)*1.2</f>
        <v>4464.0003592245</v>
      </c>
      <c r="J385" s="270">
        <f>((0.1*($I$312^0.75)+(0.84*($I$312^0.355))*((C352/1000)^1.2))*1000)*1.2</f>
        <v>4691.4436845571</v>
      </c>
      <c r="K385" s="270">
        <f>((0.1*($J$312^0.75)+(0.84*($J$312^0.355))*((C352/1000)^1.2))*1000)*1.2</f>
        <v>4912.1582734839</v>
      </c>
      <c r="L385" s="270">
        <f>((0.1*($K$312^0.75)+(0.84*($K$312^0.355))*((C352/1000)^1.2))*1000)*1.2</f>
        <v>5126.8810808053</v>
      </c>
      <c r="M385" s="270">
        <f>((0.1*($L$312^0.75)+(0.84*($L$312^0.355))*((C352/1000)^1.2))*1000)*1.2</f>
        <v>5336.2208326879</v>
      </c>
      <c r="N385" s="270">
        <f>((0.1*($M$312^0.75)+(0.84*($M$312^0.355))*((C352/1000)^1.2))*1000)*1.2</f>
        <v>5540.6874280487</v>
      </c>
      <c r="O385" s="270">
        <f>((0.1*($O$374^0.75)+(0.84*($O$374^0.355))*((C385/1000)^1.2))*1000)*1.2</f>
        <v>5740.7131810266</v>
      </c>
      <c r="P385" s="270">
        <f>((0.1*($P$374^0.75)+(0.84*($P$374^0.355))*((C385/1000)^1.2))*1000)*1.2</f>
        <v>5936.6685153008</v>
      </c>
      <c r="Q385" s="270">
        <f>((0.1*($Q$374^0.75)+(0.84*($Q$374^0.355))*((C385/1000)^1.2))*1000)*1.2</f>
        <v>6128.8737870332</v>
      </c>
      <c r="R385" s="290">
        <f>((0.1*($R$374^0.75)+(0.84*($R$374^0.355))*((C385/1000)^1.2))*1000)*1.2</f>
        <v>6317.6083449118</v>
      </c>
      <c r="S385" s="265">
        <v>550</v>
      </c>
      <c r="T385" s="265"/>
      <c r="U385" s="265"/>
      <c r="V385" s="265"/>
      <c r="W385" s="265"/>
    </row>
    <row r="386" spans="1:25">
      <c r="A386" s="270"/>
      <c r="B386" s="270">
        <v>12</v>
      </c>
      <c r="C386" s="270">
        <v>600</v>
      </c>
      <c r="D386" s="289">
        <f>((0.1*($C$312^0.75)+(0.84*($C$312^0.355))*((C353/1000)^1.2))*1000)*1.2</f>
        <v>3364.7349113833</v>
      </c>
      <c r="E386" s="270">
        <f>((0.1*($D$312^0.75)+(0.84*($D$312^0.355))*((C353/1000)^1.2))*1000)*1.2</f>
        <v>3656.0008822614</v>
      </c>
      <c r="F386" s="270">
        <f>((0.1*($E$312^0.75)+(0.84*($E$312^0.355))*((C353/1000)^1.2))*1000)*1.2</f>
        <v>3931.5446956689</v>
      </c>
      <c r="G386" s="270">
        <f>((0.1*($F$312^0.75)+(0.84*($F$312^0.355))*((C353/1000)^1.2))*1000)*1.2</f>
        <v>4194.1973866723</v>
      </c>
      <c r="H386" s="270">
        <f>((0.1*($G$312^0.75)+(0.84*($G$312^0.355))*((C353/1000)^1.2))*1000)*1.2</f>
        <v>4446.0203393438</v>
      </c>
      <c r="I386" s="270">
        <f>((0.1*($H$312^0.75)+(0.84*($H$312^0.355))*((C353/1000)^1.2))*1000)*1.2</f>
        <v>4688.5705989572</v>
      </c>
      <c r="J386" s="270">
        <f>((0.1*($I$312^0.75)+(0.84*($I$312^0.355))*((C353/1000)^1.2))*1000)*1.2</f>
        <v>4923.0589297215</v>
      </c>
      <c r="K386" s="270">
        <f>((0.1*($J$312^0.75)+(0.84*($J$312^0.355))*((C353/1000)^1.2))*1000)*1.2</f>
        <v>5150.4493007189</v>
      </c>
      <c r="L386" s="270">
        <f>((0.1*($K$312^0.75)+(0.84*($K$312^0.355))*((C353/1000)^1.2))*1000)*1.2</f>
        <v>5371.5243389665</v>
      </c>
      <c r="M386" s="270">
        <f>((0.1*($L$312^0.75)+(0.84*($L$312^0.355))*((C353/1000)^1.2))*1000)*1.2</f>
        <v>5586.9299895454</v>
      </c>
      <c r="N386" s="270">
        <f>((0.1*($M$312^0.75)+(0.84*($M$312^0.355))*((C353/1000)^1.2))*1000)*1.2</f>
        <v>5797.206933063</v>
      </c>
      <c r="O386" s="270">
        <f>((0.1*($O$374^0.75)+(0.84*($O$374^0.355))*((C386/1000)^1.2))*1000)*1.2</f>
        <v>6002.81326885</v>
      </c>
      <c r="P386" s="270">
        <f>((0.1*($P$374^0.75)+(0.84*($P$374^0.355))*((C386/1000)^1.2))*1000)*1.2</f>
        <v>6204.1412627144</v>
      </c>
      <c r="Q386" s="270">
        <f>((0.1*($Q$374^0.75)+(0.84*($Q$374^0.355))*((C386/1000)^1.2))*1000)*1.2</f>
        <v>6401.5299556722</v>
      </c>
      <c r="R386" s="290">
        <f>((0.1*($R$374^0.75)+(0.84*($R$374^0.355))*((C386/1000)^1.2))*1000)*1.2</f>
        <v>6595.2748205101</v>
      </c>
      <c r="S386" s="265">
        <v>600</v>
      </c>
      <c r="T386" s="265"/>
      <c r="U386" s="265"/>
      <c r="V386" s="265"/>
      <c r="W386" s="265"/>
    </row>
    <row r="387" spans="1:25">
      <c r="A387" s="270"/>
      <c r="B387" s="270">
        <v>13</v>
      </c>
      <c r="C387" s="270">
        <v>650</v>
      </c>
      <c r="D387" s="289">
        <f>((0.1*($C$312^0.75)+(0.84*($C$312^0.355))*((C354/1000)^1.2))*1000)*1.2</f>
        <v>3548.8745530214</v>
      </c>
      <c r="E387" s="270">
        <f>((0.1*($D$312^0.75)+(0.84*($D$312^0.355))*((C354/1000)^1.2))*1000)*1.2</f>
        <v>3850.4981048211</v>
      </c>
      <c r="F387" s="270">
        <f>((0.1*($E$312^0.75)+(0.84*($E$312^0.355))*((C354/1000)^1.2))*1000)*1.2</f>
        <v>4135.4838176079</v>
      </c>
      <c r="G387" s="270">
        <f>((0.1*($F$312^0.75)+(0.84*($F$312^0.355))*((C354/1000)^1.2))*1000)*1.2</f>
        <v>4406.8445974452</v>
      </c>
      <c r="H387" s="270">
        <f>((0.1*($G$312^0.75)+(0.84*($G$312^0.355))*((C354/1000)^1.2))*1000)*1.2</f>
        <v>4666.7718070431</v>
      </c>
      <c r="I387" s="270">
        <f>((0.1*($H$312^0.75)+(0.84*($H$312^0.355))*((C354/1000)^1.2))*1000)*1.2</f>
        <v>4916.9190147517</v>
      </c>
      <c r="J387" s="270">
        <f>((0.1*($I$312^0.75)+(0.84*($I$312^0.355))*((C354/1000)^1.2))*1000)*1.2</f>
        <v>5158.5708763182</v>
      </c>
      <c r="K387" s="270">
        <f>((0.1*($J$312^0.75)+(0.84*($J$312^0.355))*((C354/1000)^1.2))*1000)*1.2</f>
        <v>5392.7493429323</v>
      </c>
      <c r="L387" s="270">
        <f>((0.1*($K$312^0.75)+(0.84*($K$312^0.355))*((C354/1000)^1.2))*1000)*1.2</f>
        <v>5620.2834822189</v>
      </c>
      <c r="M387" s="270">
        <f>((0.1*($L$312^0.75)+(0.84*($L$312^0.355))*((C354/1000)^1.2))*1000)*1.2</f>
        <v>5841.8570843452</v>
      </c>
      <c r="N387" s="270">
        <f>((0.1*($M$312^0.75)+(0.84*($M$312^0.355))*((C354/1000)^1.2))*1000)*1.2</f>
        <v>6058.0421294813</v>
      </c>
      <c r="O387" s="270">
        <f>((0.1*($O$374^0.75)+(0.84*($O$374^0.355))*((C387/1000)^1.2))*1000)*1.2</f>
        <v>6269.3229359604</v>
      </c>
      <c r="P387" s="270">
        <f>((0.1*($P$374^0.75)+(0.84*($P$374^0.355))*((C387/1000)^1.2))*1000)*1.2</f>
        <v>6476.1139791918</v>
      </c>
      <c r="Q387" s="270">
        <f>((0.1*($Q$374^0.75)+(0.84*($Q$374^0.355))*((C387/1000)^1.2))*1000)*1.2</f>
        <v>6678.7732994002</v>
      </c>
      <c r="R387" s="290">
        <f>((0.1*($R$374^0.75)+(0.84*($R$374^0.355))*((C387/1000)^1.2))*1000)*1.2</f>
        <v>6877.6127647433</v>
      </c>
      <c r="S387" s="265">
        <v>650</v>
      </c>
      <c r="T387" s="265"/>
      <c r="U387" s="265"/>
      <c r="V387" s="265"/>
      <c r="W387" s="265"/>
    </row>
    <row r="388" spans="1:25">
      <c r="A388" s="270"/>
      <c r="B388" s="270">
        <v>14</v>
      </c>
      <c r="C388" s="270">
        <v>700</v>
      </c>
      <c r="D388" s="289">
        <f>((0.1*($C$312^0.75)+(0.84*($C$312^0.355))*((C355/1000)^1.2))*1000)*1.2</f>
        <v>3735.8715750277</v>
      </c>
      <c r="E388" s="270">
        <f>((0.1*($D$312^0.75)+(0.84*($D$312^0.355))*((C355/1000)^1.2))*1000)*1.2</f>
        <v>4048.0134311443</v>
      </c>
      <c r="F388" s="270">
        <f>((0.1*($E$312^0.75)+(0.84*($E$312^0.355))*((C355/1000)^1.2))*1000)*1.2</f>
        <v>4342.5875576495</v>
      </c>
      <c r="G388" s="270">
        <f>((0.1*($F$312^0.75)+(0.84*($F$312^0.355))*((C355/1000)^1.2))*1000)*1.2</f>
        <v>4622.7915537809</v>
      </c>
      <c r="H388" s="270">
        <f>((0.1*($G$312^0.75)+(0.84*($G$312^0.355))*((C355/1000)^1.2))*1000)*1.2</f>
        <v>4890.948777825</v>
      </c>
      <c r="I388" s="270">
        <f>((0.1*($H$312^0.75)+(0.84*($H$312^0.355))*((C355/1000)^1.2))*1000)*1.2</f>
        <v>5148.8108190018</v>
      </c>
      <c r="J388" s="270">
        <f>((0.1*($I$312^0.75)+(0.84*($I$312^0.355))*((C355/1000)^1.2))*1000)*1.2</f>
        <v>5397.7373712061</v>
      </c>
      <c r="K388" s="270">
        <f>((0.1*($J$312^0.75)+(0.84*($J$312^0.355))*((C355/1000)^1.2))*1000)*1.2</f>
        <v>5638.8092674703</v>
      </c>
      <c r="L388" s="270">
        <f>((0.1*($K$312^0.75)+(0.84*($K$312^0.355))*((C355/1000)^1.2))*1000)*1.2</f>
        <v>5872.9027366675</v>
      </c>
      <c r="M388" s="270">
        <f>((0.1*($L$312^0.75)+(0.84*($L$312^0.355))*((C355/1000)^1.2))*1000)*1.2</f>
        <v>6100.740001311</v>
      </c>
      <c r="N388" s="270">
        <f>((0.1*($M$312^0.75)+(0.84*($M$312^0.355))*((C355/1000)^1.2))*1000)*1.2</f>
        <v>6322.9248268232</v>
      </c>
      <c r="O388" s="270">
        <f>((0.1*($O$374^0.75)+(0.84*($O$374^0.355))*((C388/1000)^1.2))*1000)*1.2</f>
        <v>6539.9681573923</v>
      </c>
      <c r="P388" s="270">
        <f>((0.1*($P$374^0.75)+(0.84*($P$374^0.355))*((C388/1000)^1.2))*1000)*1.2</f>
        <v>6752.3070226659</v>
      </c>
      <c r="Q388" s="270">
        <f>((0.1*($Q$374^0.75)+(0.84*($Q$374^0.355))*((C388/1000)^1.2))*1000)*1.2</f>
        <v>6960.3187568966</v>
      </c>
      <c r="R388" s="290">
        <f>((0.1*($R$374^0.75)+(0.84*($R$374^0.355))*((C388/1000)^1.2))*1000)*1.2</f>
        <v>7164.3318780278</v>
      </c>
      <c r="S388" s="265">
        <v>700</v>
      </c>
      <c r="T388" s="265"/>
      <c r="U388" s="265"/>
      <c r="V388" s="265"/>
      <c r="W388" s="265"/>
    </row>
    <row r="389" spans="1:25">
      <c r="A389" s="270"/>
      <c r="B389" s="270">
        <v>15</v>
      </c>
      <c r="C389" s="270">
        <v>750</v>
      </c>
      <c r="D389" s="289">
        <f>((0.1*($C$312^0.75)+(0.84*($C$312^0.355))*((C356/1000)^1.2))*1000)*1.2</f>
        <v>3925.5612333023</v>
      </c>
      <c r="E389" s="270">
        <f>((0.1*($D$312^0.75)+(0.84*($D$312^0.355))*((C356/1000)^1.2))*1000)*1.2</f>
        <v>4248.3728505203</v>
      </c>
      <c r="F389" s="270">
        <f>((0.1*($E$312^0.75)+(0.84*($E$312^0.355))*((C356/1000)^1.2))*1000)*1.2</f>
        <v>4552.673457705</v>
      </c>
      <c r="G389" s="270">
        <f>((0.1*($F$312^0.75)+(0.84*($F$312^0.355))*((C356/1000)^1.2))*1000)*1.2</f>
        <v>4841.84800673</v>
      </c>
      <c r="H389" s="270">
        <f>((0.1*($G$312^0.75)+(0.84*($G$312^0.355))*((C356/1000)^1.2))*1000)*1.2</f>
        <v>5118.3537521097</v>
      </c>
      <c r="I389" s="270">
        <f>((0.1*($H$312^0.75)+(0.84*($H$312^0.355))*((C356/1000)^1.2))*1000)*1.2</f>
        <v>5384.0417153708</v>
      </c>
      <c r="J389" s="270">
        <f>((0.1*($I$312^0.75)+(0.84*($I$312^0.355))*((C356/1000)^1.2))*1000)*1.2</f>
        <v>5640.3477090567</v>
      </c>
      <c r="K389" s="270">
        <f>((0.1*($J$312^0.75)+(0.84*($J$312^0.355))*((C356/1000)^1.2))*1000)*1.2</f>
        <v>5888.4122959031</v>
      </c>
      <c r="L389" s="270">
        <f>((0.1*($K$312^0.75)+(0.84*($K$312^0.355))*((C356/1000)^1.2))*1000)*1.2</f>
        <v>6129.1595451226</v>
      </c>
      <c r="M389" s="270">
        <f>((0.1*($L$312^0.75)+(0.84*($L$312^0.355))*((C356/1000)^1.2))*1000)*1.2</f>
        <v>6363.3506649755</v>
      </c>
      <c r="N389" s="270">
        <f>((0.1*($M$312^0.75)+(0.84*($M$312^0.355))*((C356/1000)^1.2))*1000)*1.2</f>
        <v>6591.6216638238</v>
      </c>
      <c r="O389" s="270">
        <f>((0.1*($O$374^0.75)+(0.84*($O$374^0.355))*((C389/1000)^1.2))*1000)*1.2</f>
        <v>6814.5104951058</v>
      </c>
      <c r="P389" s="270">
        <f>((0.1*($P$374^0.75)+(0.84*($P$374^0.355))*((C389/1000)^1.2))*1000)*1.2</f>
        <v>7032.4770674736</v>
      </c>
      <c r="Q389" s="270">
        <f>((0.1*($Q$374^0.75)+(0.84*($Q$374^0.355))*((C389/1000)^1.2))*1000)*1.2</f>
        <v>7245.9182870295</v>
      </c>
      <c r="R389" s="290">
        <f>((0.1*($R$374^0.75)+(0.84*($R$374^0.355))*((C389/1000)^1.2))*1000)*1.2</f>
        <v>7455.1795612487</v>
      </c>
      <c r="S389" s="265">
        <v>750</v>
      </c>
      <c r="T389" s="265"/>
      <c r="U389" s="265"/>
      <c r="V389" s="265"/>
      <c r="W389" s="265"/>
    </row>
    <row r="390" spans="1:25">
      <c r="A390" s="270"/>
      <c r="B390" s="270">
        <v>16</v>
      </c>
      <c r="C390" s="270">
        <v>800</v>
      </c>
      <c r="D390" s="289">
        <f>((0.1*($C$312^0.75)+(0.84*($C$312^0.355))*((C357/1000)^1.2))*1000)*1.2</f>
        <v>4117.7987350577</v>
      </c>
      <c r="E390" s="270">
        <f>((0.1*($D$312^0.75)+(0.84*($D$312^0.355))*((C357/1000)^1.2))*1000)*1.2</f>
        <v>4451.4234257829</v>
      </c>
      <c r="F390" s="270">
        <f>((0.1*($E$312^0.75)+(0.84*($E$312^0.355))*((C357/1000)^1.2))*1000)*1.2</f>
        <v>4765.5811562483</v>
      </c>
      <c r="G390" s="270">
        <f>((0.1*($F$312^0.75)+(0.84*($F$312^0.355))*((C357/1000)^1.2))*1000)*1.2</f>
        <v>5063.8467474173</v>
      </c>
      <c r="H390" s="270">
        <f>((0.1*($G$312^0.75)+(0.84*($G$312^0.355))*((C357/1000)^1.2))*1000)*1.2</f>
        <v>5348.8131484778</v>
      </c>
      <c r="I390" s="270">
        <f>((0.1*($H$312^0.75)+(0.84*($H$312^0.355))*((C357/1000)^1.2))*1000)*1.2</f>
        <v>5622.432148803</v>
      </c>
      <c r="J390" s="270">
        <f>((0.1*($I$312^0.75)+(0.84*($I$312^0.355))*((C357/1000)^1.2))*1000)*1.2</f>
        <v>5886.2167019828</v>
      </c>
      <c r="K390" s="270">
        <f>((0.1*($J$312^0.75)+(0.84*($J$312^0.355))*((C357/1000)^1.2))*1000)*1.2</f>
        <v>6141.3679027241</v>
      </c>
      <c r="L390" s="270">
        <f>((0.1*($K$312^0.75)+(0.84*($K$312^0.355))*((C357/1000)^1.2))*1000)*1.2</f>
        <v>6388.8583031536</v>
      </c>
      <c r="M390" s="270">
        <f>((0.1*($L$312^0.75)+(0.84*($L$312^0.355))*((C357/1000)^1.2))*1000)*1.2</f>
        <v>6629.488620921</v>
      </c>
      <c r="N390" s="270">
        <f>((0.1*($M$312^0.75)+(0.84*($M$312^0.355))*((C357/1000)^1.2))*1000)*1.2</f>
        <v>6863.9275404037</v>
      </c>
      <c r="O390" s="270">
        <f>((0.1*($O$374^0.75)+(0.84*($O$374^0.355))*((C390/1000)^1.2))*1000)*1.2</f>
        <v>7092.7403870684</v>
      </c>
      <c r="P390" s="270">
        <f>((0.1*($P$374^0.75)+(0.84*($P$374^0.355))*((C390/1000)^1.2))*1000)*1.2</f>
        <v>7316.4102558743</v>
      </c>
      <c r="Q390" s="270">
        <f>((0.1*($Q$374^0.75)+(0.84*($Q$374^0.355))*((C390/1000)^1.2))*1000)*1.2</f>
        <v>7535.3538876557</v>
      </c>
      <c r="R390" s="290">
        <f>((0.1*($R$374^0.75)+(0.84*($R$374^0.355))*((C390/1000)^1.2))*1000)*1.2</f>
        <v>7749.9338062735</v>
      </c>
      <c r="S390" s="265">
        <v>800</v>
      </c>
      <c r="T390" s="265"/>
      <c r="U390" s="265"/>
      <c r="V390" s="265"/>
      <c r="W390" s="265"/>
    </row>
    <row r="391" spans="1:25">
      <c r="A391" s="270"/>
      <c r="B391" s="270">
        <v>17</v>
      </c>
      <c r="C391" s="270">
        <v>850</v>
      </c>
      <c r="D391" s="289">
        <f>((0.1*($C$312^0.75)+(0.84*($C$312^0.355))*((C358/1000)^1.2))*1000)*1.2</f>
        <v>4312.4557146524</v>
      </c>
      <c r="E391" s="270">
        <f>((0.1*($D$312^0.75)+(0.84*($D$312^0.355))*((C358/1000)^1.2))*1000)*1.2</f>
        <v>4657.0295709141</v>
      </c>
      <c r="F391" s="270">
        <f>((0.1*($E$312^0.75)+(0.84*($E$312^0.355))*((C358/1000)^1.2))*1000)*1.2</f>
        <v>4981.1684852161</v>
      </c>
      <c r="G391" s="270">
        <f>((0.1*($F$312^0.75)+(0.84*($F$312^0.355))*((C358/1000)^1.2))*1000)*1.2</f>
        <v>5288.6395372808</v>
      </c>
      <c r="H391" s="270">
        <f>((0.1*($G$312^0.75)+(0.84*($G$312^0.355))*((C358/1000)^1.2))*1000)*1.2</f>
        <v>5582.1730788067</v>
      </c>
      <c r="I391" s="270">
        <f>((0.1*($H$312^0.75)+(0.84*($H$312^0.355))*((C358/1000)^1.2))*1000)*1.2</f>
        <v>5863.8229352647</v>
      </c>
      <c r="J391" s="270">
        <f>((0.1*($I$312^0.75)+(0.84*($I$312^0.355))*((C358/1000)^1.2))*1000)*1.2</f>
        <v>6135.1801721794</v>
      </c>
      <c r="K391" s="270">
        <f>((0.1*($J$312^0.75)+(0.84*($J$312^0.355))*((C358/1000)^1.2))*1000)*1.2</f>
        <v>6397.5071780771</v>
      </c>
      <c r="L391" s="270">
        <f>((0.1*($K$312^0.75)+(0.84*($K$312^0.355))*((C358/1000)^1.2))*1000)*1.2</f>
        <v>6651.8255981984</v>
      </c>
      <c r="M391" s="270">
        <f>((0.1*($L$312^0.75)+(0.84*($L$312^0.355))*((C358/1000)^1.2))*1000)*1.2</f>
        <v>6898.976156843</v>
      </c>
      <c r="N391" s="270">
        <f>((0.1*($M$312^0.75)+(0.84*($M$312^0.355))*((C358/1000)^1.2))*1000)*1.2</f>
        <v>7139.6606256596</v>
      </c>
      <c r="O391" s="270">
        <f>((0.1*($O$374^0.75)+(0.84*($O$374^0.355))*((C391/1000)^1.2))*1000)*1.2</f>
        <v>7374.4720466448</v>
      </c>
      <c r="P391" s="270">
        <f>((0.1*($P$374^0.75)+(0.84*($P$374^0.355))*((C391/1000)^1.2))*1000)*1.2</f>
        <v>7603.9169928849</v>
      </c>
      <c r="Q391" s="270">
        <f>((0.1*($Q$374^0.75)+(0.84*($Q$374^0.355))*((C391/1000)^1.2))*1000)*1.2</f>
        <v>7828.4322895834</v>
      </c>
      <c r="R391" s="290">
        <f>((0.1*($R$374^0.75)+(0.84*($R$374^0.355))*((C391/1000)^1.2))*1000)*1.2</f>
        <v>8048.397792412</v>
      </c>
      <c r="S391" s="265">
        <v>850</v>
      </c>
      <c r="T391" s="265"/>
      <c r="U391" s="265"/>
      <c r="V391" s="265"/>
      <c r="W391" s="265"/>
    </row>
    <row r="392" spans="1:25">
      <c r="A392" s="270"/>
      <c r="B392" s="270">
        <v>18</v>
      </c>
      <c r="C392" s="270">
        <v>900</v>
      </c>
      <c r="D392" s="289">
        <f>((0.1*($C$312^0.75)+(0.84*($C$312^0.355))*((C359/1000)^1.2))*1000)*1.2</f>
        <v>4509.4175046283</v>
      </c>
      <c r="E392" s="270">
        <f>((0.1*($D$312^0.75)+(0.84*($D$312^0.355))*((C359/1000)^1.2))*1000)*1.2</f>
        <v>4865.0701685818</v>
      </c>
      <c r="F392" s="270">
        <f>((0.1*($E$312^0.75)+(0.84*($E$312^0.355))*((C359/1000)^1.2))*1000)*1.2</f>
        <v>5199.3084476157</v>
      </c>
      <c r="G392" s="270">
        <f>((0.1*($F$312^0.75)+(0.84*($F$312^0.355))*((C359/1000)^1.2))*1000)*1.2</f>
        <v>5516.093956626</v>
      </c>
      <c r="H392" s="270">
        <f>((0.1*($G$312^0.75)+(0.84*($G$312^0.355))*((C359/1000)^1.2))*1000)*1.2</f>
        <v>5818.2960767178</v>
      </c>
      <c r="I392" s="270">
        <f>((0.1*($H$312^0.75)+(0.84*($H$312^0.355))*((C359/1000)^1.2))*1000)*1.2</f>
        <v>6108.071877605</v>
      </c>
      <c r="J392" s="270">
        <f>((0.1*($I$312^0.75)+(0.84*($I$312^0.355))*((C359/1000)^1.2))*1000)*1.2</f>
        <v>6387.0914616212</v>
      </c>
      <c r="K392" s="270">
        <f>((0.1*($J$312^0.75)+(0.84*($J$312^0.355))*((C359/1000)^1.2))*1000)*1.2</f>
        <v>6656.6792368531</v>
      </c>
      <c r="L392" s="270">
        <f>((0.1*($K$312^0.75)+(0.84*($K$312^0.355))*((C359/1000)^1.2))*1000)*1.2</f>
        <v>6917.9065229358</v>
      </c>
      <c r="M392" s="270">
        <f>((0.1*($L$312^0.75)+(0.84*($L$312^0.355))*((C359/1000)^1.2))*1000)*1.2</f>
        <v>7171.6545245125</v>
      </c>
      <c r="N392" s="270">
        <f>((0.1*($M$312^0.75)+(0.84*($M$312^0.355))*((C359/1000)^1.2))*1000)*1.2</f>
        <v>7418.6584922691</v>
      </c>
      <c r="O392" s="270">
        <f>((0.1*($O$374^0.75)+(0.84*($O$374^0.355))*((C392/1000)^1.2))*1000)*1.2</f>
        <v>7659.5395129056</v>
      </c>
      <c r="P392" s="270">
        <f>((0.1*($P$374^0.75)+(0.84*($P$374^0.355))*((C392/1000)^1.2))*1000)*1.2</f>
        <v>7894.8279156252</v>
      </c>
      <c r="Q392" s="270">
        <f>((0.1*($Q$374^0.75)+(0.84*($Q$374^0.355))*((C392/1000)^1.2))*1000)*1.2</f>
        <v>8124.9808478069</v>
      </c>
      <c r="R392" s="290">
        <f>((0.1*($R$374^0.75)+(0.84*($R$374^0.355))*((C392/1000)^1.2))*1000)*1.2</f>
        <v>8350.3957021483</v>
      </c>
      <c r="S392" s="265">
        <v>900</v>
      </c>
      <c r="T392" s="265"/>
      <c r="U392" s="265"/>
      <c r="V392" s="265"/>
      <c r="W392" s="265"/>
    </row>
    <row r="393" spans="1:25">
      <c r="A393" s="270"/>
      <c r="B393" s="270">
        <v>19</v>
      </c>
      <c r="C393" s="270">
        <v>950</v>
      </c>
      <c r="D393" s="289">
        <f>((0.1*($C$312^0.75)+(0.84*($C$312^0.355))*((C360/1000)^1.2))*1000)*1.2</f>
        <v>4708.5809878832</v>
      </c>
      <c r="E393" s="270">
        <f>((0.1*($D$312^0.75)+(0.84*($D$312^0.355))*((C360/1000)^1.2))*1000)*1.2</f>
        <v>5075.4363015004</v>
      </c>
      <c r="F393" s="270">
        <f>((0.1*($E$312^0.75)+(0.84*($E$312^0.355))*((C360/1000)^1.2))*1000)*1.2</f>
        <v>5419.8868387541</v>
      </c>
      <c r="G393" s="270">
        <f>((0.1*($F$312^0.75)+(0.84*($F$312^0.355))*((C360/1000)^1.2))*1000)*1.2</f>
        <v>5746.0909242817</v>
      </c>
      <c r="H393" s="270">
        <f>((0.1*($G$312^0.75)+(0.84*($G$312^0.355))*((C360/1000)^1.2))*1000)*1.2</f>
        <v>6057.0585227045</v>
      </c>
      <c r="I393" s="270">
        <f>((0.1*($H$312^0.75)+(0.84*($H$312^0.355))*((C360/1000)^1.2))*1000)*1.2</f>
        <v>6355.0511020718</v>
      </c>
      <c r="J393" s="270">
        <f>((0.1*($I$312^0.75)+(0.84*($I$312^0.355))*((C360/1000)^1.2))*1000)*1.2</f>
        <v>6641.8186850212</v>
      </c>
      <c r="K393" s="270">
        <f>((0.1*($J$312^0.75)+(0.84*($J$312^0.355))*((C360/1000)^1.2))*1000)*1.2</f>
        <v>6918.7483924719</v>
      </c>
      <c r="L393" s="270">
        <f>((0.1*($K$312^0.75)+(0.84*($K$312^0.355))*((C360/1000)^1.2))*1000)*1.2</f>
        <v>7186.9617737277</v>
      </c>
      <c r="M393" s="270">
        <f>((0.1*($L$312^0.75)+(0.84*($L$312^0.355))*((C360/1000)^1.2))*1000)*1.2</f>
        <v>7447.3809662756</v>
      </c>
      <c r="N393" s="270">
        <f>((0.1*($M$312^0.75)+(0.84*($M$312^0.355))*((C360/1000)^1.2))*1000)*1.2</f>
        <v>7700.7750740764</v>
      </c>
      <c r="O393" s="270">
        <f>((0.1*($O$374^0.75)+(0.84*($O$374^0.355))*((C393/1000)^1.2))*1000)*1.2</f>
        <v>7947.7935420252</v>
      </c>
      <c r="P393" s="270">
        <f>((0.1*($P$374^0.75)+(0.84*($P$374^0.355))*((C393/1000)^1.2))*1000)*1.2</f>
        <v>8188.9907209944</v>
      </c>
      <c r="Q393" s="270">
        <f>((0.1*($Q$374^0.75)+(0.84*($Q$374^0.355))*((C393/1000)^1.2))*1000)*1.2</f>
        <v>8424.8443077057</v>
      </c>
      <c r="R393" s="290">
        <f>((0.1*($R$374^0.75)+(0.84*($R$374^0.355))*((C393/1000)^1.2))*1000)*1.2</f>
        <v>8655.7694279158</v>
      </c>
      <c r="S393" s="265">
        <v>950</v>
      </c>
      <c r="T393" s="265"/>
      <c r="U393" s="265"/>
      <c r="V393" s="265"/>
      <c r="W393" s="265"/>
    </row>
    <row r="394" spans="1:25" customHeight="1" ht="15">
      <c r="A394" s="270"/>
      <c r="B394" s="270">
        <v>20</v>
      </c>
      <c r="C394" s="270">
        <v>1000</v>
      </c>
      <c r="D394" s="291">
        <f>((0.1*($C$312^0.75)+(0.84*($C$312^0.355))*((C361/1000)^1.2))*1000)*1.2</f>
        <v>4909.8528828768</v>
      </c>
      <c r="E394" s="292">
        <f>((0.1*($D$312^0.75)+(0.84*($D$312^0.355))*((C361/1000)^1.2))*1000)*1.2</f>
        <v>5288.0294411814</v>
      </c>
      <c r="F394" s="292">
        <f>((0.1*($E$312^0.75)+(0.84*($E$312^0.355))*((C361/1000)^1.2))*1000)*1.2</f>
        <v>5642.8003470613</v>
      </c>
      <c r="G394" s="292">
        <f>((0.1*($F$312^0.75)+(0.84*($F$312^0.355))*((C361/1000)^1.2))*1000)*1.2</f>
        <v>5978.5227173308</v>
      </c>
      <c r="H394" s="292">
        <f>((0.1*($G$312^0.75)+(0.84*($G$312^0.355))*((C361/1000)^1.2))*1000)*1.2</f>
        <v>6298.3485883915</v>
      </c>
      <c r="I394" s="292">
        <f>((0.1*($H$312^0.75)+(0.84*($H$312^0.355))*((C361/1000)^1.2))*1000)*1.2</f>
        <v>6604.6449318245</v>
      </c>
      <c r="J394" s="292">
        <f>((0.1*($I$312^0.75)+(0.84*($I$312^0.355))*((C361/1000)^1.2))*1000)*1.2</f>
        <v>6899.2425366343</v>
      </c>
      <c r="K394" s="292">
        <f>((0.1*($J$312^0.75)+(0.84*($J$312^0.355))*((C361/1000)^1.2))*1000)*1.2</f>
        <v>7183.5919004721</v>
      </c>
      <c r="L394" s="292">
        <f>((0.1*($K$312^0.75)+(0.84*($K$312^0.355))*((C361/1000)^1.2))*1000)*1.2</f>
        <v>7458.8653340582</v>
      </c>
      <c r="M394" s="292">
        <f>((0.1*($L$312^0.75)+(0.84*($L$312^0.355))*((C361/1000)^1.2))*1000)*1.2</f>
        <v>7726.0263410527</v>
      </c>
      <c r="N394" s="292">
        <f>((0.1*($M$312^0.75)+(0.84*($M$312^0.355))*((C361/1000)^1.2))*1000)*1.2</f>
        <v>7985.8782370733</v>
      </c>
      <c r="O394" s="292">
        <f>((0.1*($O$374^0.75)+(0.84*($O$374^0.355))*((C394/1000)^1.2))*1000)*1.2</f>
        <v>8239.0991254195</v>
      </c>
      <c r="P394" s="292">
        <f>((0.1*($P$374^0.75)+(0.84*($P$374^0.355))*((C394/1000)^1.2))*1000)*1.2</f>
        <v>8486.2676329347</v>
      </c>
      <c r="Q394" s="292">
        <f>((0.1*($Q$374^0.75)+(0.84*($Q$374^0.355))*((C394/1000)^1.2))*1000)*1.2</f>
        <v>8727.882223225</v>
      </c>
      <c r="R394" s="293">
        <f>((0.1*($R$374^0.75)+(0.84*($R$374^0.355))*((C394/1000)^1.2))*1000)*1.2</f>
        <v>8964.375942835</v>
      </c>
      <c r="S394" s="265">
        <v>1000</v>
      </c>
      <c r="T394" s="265"/>
      <c r="U394" s="265"/>
      <c r="V394" s="265"/>
      <c r="W394" s="265"/>
    </row>
    <row r="395" spans="1:25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</row>
    <row r="396" spans="1:25">
      <c r="A396" s="265"/>
      <c r="B396" s="265"/>
      <c r="C396" s="265"/>
      <c r="D396" s="265"/>
      <c r="E396" s="265"/>
      <c r="F396" s="265"/>
      <c r="G396" s="265" t="str">
        <f>IFERROR(VLOOKUP(Necessidades!AF4,R286:W305,MATCH(Necessidades!AF3,T283:W283,0)-Necessidades!AG3,0),"")</f>
        <v/>
      </c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</row>
    <row r="397" spans="1:25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</row>
    <row r="398" spans="1:25">
      <c r="A398" s="295">
        <v>500</v>
      </c>
      <c r="B398" s="296">
        <v>2.1</v>
      </c>
      <c r="C398" s="297">
        <v>51</v>
      </c>
      <c r="E398" s="178">
        <v>0.0042</v>
      </c>
      <c r="F398" s="178">
        <v>0.102</v>
      </c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</row>
    <row r="399" spans="1:25">
      <c r="A399" s="295">
        <v>550</v>
      </c>
      <c r="B399" s="296">
        <v>2.3</v>
      </c>
      <c r="C399" s="297">
        <v>56.1</v>
      </c>
      <c r="E399" s="178">
        <v>0.0041818181818182</v>
      </c>
      <c r="F399" s="178">
        <v>0.102</v>
      </c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</row>
    <row r="400" spans="1:25">
      <c r="A400" s="295">
        <v>600</v>
      </c>
      <c r="B400" s="296">
        <v>2.5</v>
      </c>
      <c r="C400" s="297">
        <v>61.2</v>
      </c>
      <c r="E400" s="178">
        <v>0.0041666666666667</v>
      </c>
      <c r="F400" s="178">
        <v>0.102</v>
      </c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</row>
    <row r="401" spans="1:25">
      <c r="A401" s="295">
        <v>650</v>
      </c>
      <c r="B401" s="296">
        <v>2.8</v>
      </c>
      <c r="C401" s="297">
        <v>66.3</v>
      </c>
      <c r="E401" s="178">
        <v>0.0043076923076923</v>
      </c>
      <c r="F401" s="178">
        <v>0.102</v>
      </c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</row>
    <row r="402" spans="1:25">
      <c r="A402" s="295">
        <v>700</v>
      </c>
      <c r="B402" s="296">
        <v>3</v>
      </c>
      <c r="C402" s="297">
        <v>71.4</v>
      </c>
      <c r="E402" s="178">
        <v>0.0042857142857143</v>
      </c>
      <c r="F402" s="178">
        <v>0.102</v>
      </c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</row>
    <row r="403" spans="1:25">
      <c r="A403" s="295">
        <v>750</v>
      </c>
      <c r="B403" s="296">
        <v>3.2</v>
      </c>
      <c r="C403" s="297">
        <v>76.5</v>
      </c>
      <c r="E403" s="178">
        <v>0.0042666666666667</v>
      </c>
      <c r="F403" s="178">
        <v>0.102</v>
      </c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</row>
    <row r="404" spans="1:25">
      <c r="A404" s="295">
        <v>800</v>
      </c>
      <c r="B404" s="296">
        <v>3.33</v>
      </c>
      <c r="C404" s="297">
        <v>81.6</v>
      </c>
      <c r="E404" s="178">
        <v>0.0041625</v>
      </c>
      <c r="F404" s="178">
        <v>0.102</v>
      </c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</row>
    <row r="405" spans="1:25">
      <c r="A405" s="295">
        <v>850</v>
      </c>
      <c r="B405" s="296">
        <v>3.6</v>
      </c>
      <c r="C405" s="297">
        <v>86.7</v>
      </c>
      <c r="E405" s="178">
        <v>0.0042352941176471</v>
      </c>
      <c r="F405" s="178">
        <v>0.102</v>
      </c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</row>
    <row r="406" spans="1:25">
      <c r="A406" s="295">
        <v>900</v>
      </c>
      <c r="B406" s="296">
        <v>3.8</v>
      </c>
      <c r="C406" s="297">
        <v>91.8</v>
      </c>
      <c r="E406" s="178">
        <v>0.0042222222222222</v>
      </c>
      <c r="F406" s="178">
        <v>0.102</v>
      </c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</row>
    <row r="407" spans="1:25">
      <c r="A407" s="295">
        <v>950</v>
      </c>
      <c r="B407" s="296">
        <v>4</v>
      </c>
      <c r="C407" s="297">
        <v>96.9</v>
      </c>
      <c r="E407" s="178">
        <v>0.0042105263157895</v>
      </c>
      <c r="F407" s="178">
        <v>0.102</v>
      </c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</row>
    <row r="408" spans="1:25">
      <c r="A408" s="295">
        <v>1000</v>
      </c>
      <c r="B408" s="296">
        <v>4.2</v>
      </c>
      <c r="C408" s="297">
        <v>102</v>
      </c>
      <c r="E408" s="178">
        <v>0.0042</v>
      </c>
      <c r="F408" s="178">
        <v>0.102</v>
      </c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</row>
    <row r="409" spans="1:25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</row>
    <row r="411" spans="1:25" customHeight="1" ht="19">
      <c r="A411" s="100" t="s">
        <v>155</v>
      </c>
    </row>
    <row r="412" spans="1:25">
      <c r="B412" s="69" t="s">
        <v>156</v>
      </c>
    </row>
    <row r="413" spans="1:25">
      <c r="A413" s="69" t="s">
        <v>157</v>
      </c>
      <c r="B413" s="69" t="s">
        <v>139</v>
      </c>
    </row>
    <row r="414" spans="1:25">
      <c r="A414" s="69">
        <v>1</v>
      </c>
      <c r="B414" s="69">
        <v>0</v>
      </c>
    </row>
    <row r="415" spans="1:25">
      <c r="A415" s="69">
        <v>2</v>
      </c>
      <c r="B415" s="124">
        <v>4</v>
      </c>
    </row>
    <row r="416" spans="1:25">
      <c r="A416" s="69">
        <v>3</v>
      </c>
      <c r="B416" s="124">
        <v>5</v>
      </c>
    </row>
    <row r="417" spans="1:25">
      <c r="A417" s="69">
        <v>4</v>
      </c>
      <c r="B417" s="124">
        <v>6</v>
      </c>
    </row>
    <row r="418" spans="1:25">
      <c r="A418" s="69">
        <v>5</v>
      </c>
      <c r="B418" s="124">
        <v>7</v>
      </c>
    </row>
    <row r="419" spans="1:25">
      <c r="A419" s="69">
        <v>6</v>
      </c>
      <c r="B419" s="124">
        <v>8</v>
      </c>
    </row>
    <row r="421" spans="1:25">
      <c r="A421" s="69" t="s">
        <v>157</v>
      </c>
      <c r="B421" s="69" t="s">
        <v>128</v>
      </c>
    </row>
    <row r="422" spans="1:25">
      <c r="A422" s="124">
        <v>1</v>
      </c>
      <c r="B422" s="124">
        <v>0</v>
      </c>
    </row>
    <row r="423" spans="1:25">
      <c r="A423" s="124">
        <v>2</v>
      </c>
      <c r="B423" s="223">
        <v>0.25</v>
      </c>
    </row>
    <row r="424" spans="1:25">
      <c r="A424" s="124">
        <v>3</v>
      </c>
      <c r="B424" s="223">
        <v>0.3</v>
      </c>
    </row>
    <row r="425" spans="1:25">
      <c r="A425" s="124">
        <v>4</v>
      </c>
      <c r="B425" s="223">
        <v>0.35</v>
      </c>
    </row>
    <row r="426" spans="1:25">
      <c r="A426" s="124">
        <v>5</v>
      </c>
      <c r="B426" s="223">
        <v>0.4</v>
      </c>
      <c r="C426" s="176"/>
    </row>
    <row r="427" spans="1:25">
      <c r="A427" s="124">
        <v>6</v>
      </c>
      <c r="B427" s="223">
        <v>0.45</v>
      </c>
    </row>
    <row r="428" spans="1:25">
      <c r="A428" s="124">
        <v>7</v>
      </c>
      <c r="B428" s="223">
        <v>0.5</v>
      </c>
    </row>
    <row r="429" spans="1:25">
      <c r="A429" s="124">
        <v>8</v>
      </c>
      <c r="B429" s="223">
        <v>0.75</v>
      </c>
    </row>
    <row r="430" spans="1:25">
      <c r="A430" s="124">
        <v>9</v>
      </c>
      <c r="B430" s="223">
        <v>1</v>
      </c>
    </row>
    <row r="432" spans="1:25">
      <c r="A432" s="124">
        <v>1</v>
      </c>
      <c r="B432" s="69" t="s">
        <v>158</v>
      </c>
    </row>
    <row r="433" spans="1:25">
      <c r="A433" s="69">
        <v>2</v>
      </c>
      <c r="B433" s="124" t="s">
        <v>159</v>
      </c>
    </row>
    <row r="434" spans="1:25">
      <c r="A434" s="69">
        <v>3</v>
      </c>
      <c r="B434" s="69" t="s">
        <v>160</v>
      </c>
    </row>
    <row r="436" spans="1:25">
      <c r="A436" s="69">
        <v>1</v>
      </c>
      <c r="B436" s="69">
        <v>30</v>
      </c>
    </row>
    <row r="437" spans="1:25">
      <c r="A437" s="69">
        <v>2</v>
      </c>
      <c r="B437" s="69">
        <v>35</v>
      </c>
    </row>
    <row r="438" spans="1:25">
      <c r="A438" s="69">
        <v>3</v>
      </c>
      <c r="B438" s="69">
        <v>40</v>
      </c>
    </row>
    <row r="439" spans="1:25">
      <c r="A439" s="69">
        <v>4</v>
      </c>
      <c r="B439" s="69">
        <v>45</v>
      </c>
    </row>
    <row r="440" spans="1:25">
      <c r="A440" s="124">
        <v>5</v>
      </c>
      <c r="B440" s="69">
        <v>50</v>
      </c>
    </row>
    <row r="441" spans="1:25">
      <c r="A441" s="124">
        <v>6</v>
      </c>
      <c r="B441" s="69">
        <v>55</v>
      </c>
    </row>
    <row r="442" spans="1:25">
      <c r="A442" s="124">
        <v>7</v>
      </c>
      <c r="B442" s="69">
        <v>60</v>
      </c>
    </row>
    <row r="443" spans="1:25">
      <c r="A443" s="124">
        <v>8</v>
      </c>
      <c r="B443" s="69">
        <v>65</v>
      </c>
    </row>
    <row r="444" spans="1:25">
      <c r="A444" s="124">
        <v>9</v>
      </c>
      <c r="B444" s="69">
        <v>70</v>
      </c>
    </row>
    <row r="445" spans="1:25">
      <c r="A445" s="124">
        <v>10</v>
      </c>
      <c r="B445" s="69">
        <v>75</v>
      </c>
    </row>
    <row r="446" spans="1:25">
      <c r="A446" s="124">
        <v>11</v>
      </c>
      <c r="B446" s="69">
        <v>80</v>
      </c>
    </row>
    <row r="447" spans="1:25">
      <c r="A447" s="124">
        <v>12</v>
      </c>
      <c r="B447" s="69">
        <v>85</v>
      </c>
    </row>
    <row r="448" spans="1:25">
      <c r="A448" s="124">
        <v>13</v>
      </c>
      <c r="B448" s="69">
        <v>90</v>
      </c>
    </row>
    <row r="449" spans="1:25">
      <c r="A449" s="124">
        <v>14</v>
      </c>
      <c r="B449" s="69">
        <v>95</v>
      </c>
    </row>
    <row r="450" spans="1:25">
      <c r="A450" s="124">
        <v>15</v>
      </c>
      <c r="B450" s="69">
        <v>100</v>
      </c>
    </row>
    <row r="452" spans="1:25">
      <c r="B452" s="69" t="s">
        <v>161</v>
      </c>
    </row>
    <row r="453" spans="1:25">
      <c r="A453" s="69">
        <v>1</v>
      </c>
      <c r="B453" s="69" t="s">
        <v>162</v>
      </c>
    </row>
    <row r="454" spans="1:25">
      <c r="A454" s="69">
        <v>2</v>
      </c>
      <c r="B454" s="69" t="s">
        <v>163</v>
      </c>
    </row>
    <row r="455" spans="1:25">
      <c r="A455" s="69">
        <v>3</v>
      </c>
      <c r="B455" s="69" t="s">
        <v>164</v>
      </c>
    </row>
    <row r="456" spans="1:25">
      <c r="A456" s="69">
        <v>4</v>
      </c>
      <c r="B456" s="69" t="s">
        <v>165</v>
      </c>
    </row>
    <row r="458" spans="1:25">
      <c r="A458" s="69" t="s">
        <v>29</v>
      </c>
      <c r="B458" s="69" t="s">
        <v>166</v>
      </c>
      <c r="D458" s="69" t="s">
        <v>167</v>
      </c>
      <c r="E458" s="69" t="s">
        <v>168</v>
      </c>
    </row>
    <row r="459" spans="1:25">
      <c r="D459" s="69">
        <v>1</v>
      </c>
      <c r="E459" s="69">
        <v>1</v>
      </c>
    </row>
    <row r="460" spans="1:25">
      <c r="D460" s="69">
        <v>2</v>
      </c>
      <c r="E460" s="69">
        <v>1.01</v>
      </c>
    </row>
    <row r="461" spans="1:25">
      <c r="D461" s="69">
        <v>3</v>
      </c>
      <c r="E461" s="69">
        <v>1.02</v>
      </c>
    </row>
    <row r="462" spans="1:25">
      <c r="D462" s="69">
        <v>4</v>
      </c>
      <c r="E462" s="69">
        <v>1.03</v>
      </c>
    </row>
    <row r="464" spans="1:25">
      <c r="A464" s="69" t="s">
        <v>34</v>
      </c>
    </row>
    <row r="465" spans="1:25">
      <c r="A465" s="69" t="s">
        <v>169</v>
      </c>
    </row>
    <row r="466" spans="1:25">
      <c r="A466" s="69" t="s">
        <v>170</v>
      </c>
    </row>
    <row r="468" spans="1:25">
      <c r="B468" s="329" t="s">
        <v>171</v>
      </c>
      <c r="C468" s="329"/>
    </row>
    <row r="469" spans="1:25">
      <c r="A469" s="69">
        <v>1</v>
      </c>
      <c r="B469" s="222">
        <v>0</v>
      </c>
      <c r="C469" s="222">
        <v>0</v>
      </c>
    </row>
    <row r="470" spans="1:25">
      <c r="A470" s="69">
        <v>2</v>
      </c>
      <c r="B470" s="69" t="str">
        <f>"1 : 6"</f>
        <v>1 : 6</v>
      </c>
      <c r="C470" s="223">
        <f>(1/7)</f>
        <v>0.14285714285714</v>
      </c>
    </row>
    <row r="471" spans="1:25">
      <c r="A471" s="69">
        <v>3</v>
      </c>
      <c r="B471" s="69" t="str">
        <f>"1 : 7"</f>
        <v>1 : 7</v>
      </c>
      <c r="C471" s="223">
        <f>(1/8)</f>
        <v>0.125</v>
      </c>
    </row>
    <row r="472" spans="1:25">
      <c r="A472" s="69">
        <v>4</v>
      </c>
      <c r="B472" s="69" t="str">
        <f>"1 : 8"</f>
        <v>1 : 8</v>
      </c>
      <c r="C472" s="223">
        <f>(1/9)</f>
        <v>0.11111111111111</v>
      </c>
    </row>
    <row r="473" spans="1:25">
      <c r="A473" s="69">
        <v>5</v>
      </c>
      <c r="B473" s="69" t="str">
        <f>"1 : 9"</f>
        <v>1 : 9</v>
      </c>
      <c r="C473" s="223">
        <f>(1/10)</f>
        <v>0.1</v>
      </c>
    </row>
    <row r="475" spans="1:25">
      <c r="A475" s="69" t="s">
        <v>157</v>
      </c>
      <c r="B475" s="69" t="s">
        <v>34</v>
      </c>
    </row>
    <row r="476" spans="1:25">
      <c r="A476" s="69">
        <v>1</v>
      </c>
      <c r="B476" s="69">
        <v>0</v>
      </c>
    </row>
    <row r="477" spans="1:25">
      <c r="A477" s="69">
        <v>2</v>
      </c>
      <c r="B477" s="69">
        <v>5</v>
      </c>
    </row>
    <row r="478" spans="1:25">
      <c r="A478" s="69">
        <v>3</v>
      </c>
      <c r="B478" s="69">
        <v>10</v>
      </c>
    </row>
    <row r="479" spans="1:25">
      <c r="A479" s="69">
        <v>4</v>
      </c>
      <c r="B479" s="69">
        <v>15</v>
      </c>
    </row>
    <row r="480" spans="1:25">
      <c r="A480" s="69">
        <v>5</v>
      </c>
      <c r="B480" s="69">
        <v>20</v>
      </c>
    </row>
    <row r="481" spans="1:25">
      <c r="A481" s="69">
        <v>6</v>
      </c>
      <c r="B481" s="69">
        <v>25</v>
      </c>
    </row>
    <row r="482" spans="1:25">
      <c r="A482" s="69">
        <v>7</v>
      </c>
      <c r="B482" s="69">
        <v>30</v>
      </c>
    </row>
    <row r="483" spans="1:25">
      <c r="A483" s="69">
        <v>8</v>
      </c>
      <c r="B483" s="69">
        <v>35</v>
      </c>
    </row>
    <row r="484" spans="1:25">
      <c r="A484" s="69">
        <v>9</v>
      </c>
      <c r="B484" s="69">
        <v>40</v>
      </c>
    </row>
    <row r="485" spans="1:25">
      <c r="A485" s="69">
        <v>10</v>
      </c>
      <c r="B485" s="69">
        <v>45</v>
      </c>
    </row>
    <row r="486" spans="1:25">
      <c r="A486" s="69">
        <v>11</v>
      </c>
      <c r="B486" s="69">
        <v>50</v>
      </c>
    </row>
    <row r="487" spans="1:25">
      <c r="A487" s="69">
        <v>12</v>
      </c>
      <c r="B487" s="69">
        <v>75</v>
      </c>
    </row>
    <row r="488" spans="1:25">
      <c r="A488" s="69">
        <v>13</v>
      </c>
      <c r="B488" s="69">
        <v>100</v>
      </c>
    </row>
    <row r="489" spans="1:25">
      <c r="A489" s="69">
        <v>14</v>
      </c>
      <c r="B489" s="69">
        <v>125</v>
      </c>
    </row>
    <row r="490" spans="1:25">
      <c r="A490" s="69">
        <v>15</v>
      </c>
      <c r="B490" s="69">
        <v>150</v>
      </c>
    </row>
    <row r="492" spans="1:25">
      <c r="A492" s="69" t="str">
        <f>A465</f>
        <v>Substituição.Parcial</v>
      </c>
    </row>
    <row r="493" spans="1:25">
      <c r="A493" s="67">
        <v>0.1</v>
      </c>
      <c r="B493" s="69">
        <v>0.1</v>
      </c>
    </row>
    <row r="494" spans="1:25">
      <c r="A494" s="67">
        <v>0.2</v>
      </c>
      <c r="B494" s="69">
        <v>0.2</v>
      </c>
    </row>
    <row r="495" spans="1:25">
      <c r="A495" s="67">
        <v>0.3</v>
      </c>
      <c r="B495" s="69">
        <v>0.3</v>
      </c>
    </row>
    <row r="496" spans="1:25">
      <c r="A496" s="67">
        <v>0.4</v>
      </c>
      <c r="B496" s="69">
        <v>0.4</v>
      </c>
    </row>
    <row r="497" spans="1:25">
      <c r="A497" s="67">
        <v>0.5</v>
      </c>
      <c r="B497" s="69">
        <v>0.5</v>
      </c>
    </row>
    <row r="498" spans="1:25">
      <c r="A498" s="67">
        <v>0.6</v>
      </c>
      <c r="B498" s="69">
        <v>0.6</v>
      </c>
    </row>
    <row r="499" spans="1:25">
      <c r="A499" s="67">
        <v>0.7</v>
      </c>
      <c r="B499" s="69">
        <v>0.7</v>
      </c>
    </row>
    <row r="500" spans="1:25">
      <c r="A500" s="67">
        <v>0.8</v>
      </c>
      <c r="B500" s="69">
        <v>0.8</v>
      </c>
    </row>
    <row r="501" spans="1:25">
      <c r="A501" s="67">
        <v>0.9</v>
      </c>
      <c r="B501" s="69">
        <v>0.9</v>
      </c>
    </row>
    <row r="503" spans="1:25">
      <c r="E503" s="69">
        <f>0.16*60^0.75</f>
        <v>3.4493194748456</v>
      </c>
    </row>
    <row r="504" spans="1:25">
      <c r="C504" s="69" t="s">
        <v>114</v>
      </c>
      <c r="D504" s="69" t="s">
        <v>172</v>
      </c>
      <c r="E504" s="69" t="s">
        <v>113</v>
      </c>
    </row>
    <row r="505" spans="1:25">
      <c r="A505" s="69">
        <v>1</v>
      </c>
      <c r="B505" s="69" t="s">
        <v>173</v>
      </c>
      <c r="C505" s="176">
        <v>2.6</v>
      </c>
      <c r="D505" s="69">
        <v>200</v>
      </c>
      <c r="E505" s="222">
        <f>D505*0.75</f>
        <v>150</v>
      </c>
    </row>
    <row r="506" spans="1:25">
      <c r="A506" s="69">
        <v>2</v>
      </c>
      <c r="B506" s="69" t="s">
        <v>174</v>
      </c>
      <c r="C506" s="69">
        <v>2.77</v>
      </c>
      <c r="D506" s="69">
        <v>224</v>
      </c>
      <c r="E506" s="222">
        <f>D506*0.75</f>
        <v>168</v>
      </c>
    </row>
    <row r="507" spans="1:25">
      <c r="A507" s="69">
        <v>3</v>
      </c>
      <c r="B507" s="69" t="s">
        <v>175</v>
      </c>
      <c r="C507" s="69">
        <v>2.82</v>
      </c>
      <c r="D507" s="69">
        <v>246</v>
      </c>
      <c r="E507" s="222">
        <f>D507*0.75</f>
        <v>184.5</v>
      </c>
    </row>
    <row r="508" spans="1:25">
      <c r="A508" s="69">
        <v>4</v>
      </c>
      <c r="B508" s="69" t="s">
        <v>176</v>
      </c>
      <c r="C508" s="69">
        <v>2.87</v>
      </c>
      <c r="D508" s="69">
        <v>267</v>
      </c>
      <c r="E508" s="222">
        <f>D508*0.75</f>
        <v>200.25</v>
      </c>
    </row>
    <row r="509" spans="1:25">
      <c r="A509" s="69">
        <v>5</v>
      </c>
      <c r="B509" s="69" t="s">
        <v>177</v>
      </c>
      <c r="C509" s="69">
        <v>2.96</v>
      </c>
      <c r="D509" s="69">
        <v>237</v>
      </c>
      <c r="E509" s="222">
        <f>D509*0.8</f>
        <v>189.6</v>
      </c>
    </row>
    <row r="511" spans="1:25">
      <c r="A511" s="69" t="s">
        <v>178</v>
      </c>
    </row>
    <row r="512" spans="1:25">
      <c r="A512" s="69" t="s">
        <v>179</v>
      </c>
    </row>
    <row r="513" spans="1:25">
      <c r="A513" s="69" t="s">
        <v>180</v>
      </c>
    </row>
    <row r="516" spans="1:25" customHeight="1" ht="19">
      <c r="A516" s="100" t="s">
        <v>181</v>
      </c>
    </row>
    <row r="517" spans="1:25">
      <c r="C517" s="116" t="s">
        <v>182</v>
      </c>
      <c r="D517" s="116" t="s">
        <v>20</v>
      </c>
      <c r="E517" s="116" t="s">
        <v>25</v>
      </c>
      <c r="F517" s="116" t="s">
        <v>30</v>
      </c>
      <c r="G517" s="116" t="s">
        <v>183</v>
      </c>
    </row>
    <row r="518" spans="1:25">
      <c r="A518" s="69">
        <v>1</v>
      </c>
      <c r="G518" s="139" t="s">
        <v>139</v>
      </c>
    </row>
    <row r="519" spans="1:25">
      <c r="A519" s="69">
        <v>2</v>
      </c>
      <c r="B519" s="139" t="s">
        <v>184</v>
      </c>
      <c r="C519" s="298">
        <v>0.125</v>
      </c>
      <c r="D519" s="299">
        <v>0.032</v>
      </c>
      <c r="E519" s="299">
        <v>0.038</v>
      </c>
      <c r="F519" s="299">
        <v>0.045</v>
      </c>
      <c r="G519" s="139" t="s">
        <v>139</v>
      </c>
    </row>
    <row r="520" spans="1:25">
      <c r="A520" s="69">
        <v>3</v>
      </c>
      <c r="B520" s="139" t="s">
        <v>160</v>
      </c>
      <c r="C520" s="298">
        <v>0.1</v>
      </c>
      <c r="D520" s="299">
        <v>0.028</v>
      </c>
      <c r="E520" s="299">
        <v>0.038</v>
      </c>
      <c r="F520" s="299">
        <v>0.035</v>
      </c>
      <c r="G520" s="69" t="s">
        <v>185</v>
      </c>
    </row>
    <row r="521" spans="1:25">
      <c r="B521" s="69" t="s">
        <v>186</v>
      </c>
      <c r="D521" s="300">
        <v>0.22</v>
      </c>
      <c r="E521" s="300">
        <v>0.2</v>
      </c>
      <c r="F521" s="300">
        <v>0.43</v>
      </c>
      <c r="G521" s="69" t="s">
        <v>185</v>
      </c>
    </row>
    <row r="522" spans="1:25">
      <c r="B522" s="69" t="s">
        <v>187</v>
      </c>
      <c r="D522" s="300">
        <v>0.21</v>
      </c>
      <c r="E522" s="300">
        <v>0.15</v>
      </c>
      <c r="F522" s="300">
        <v>0.27</v>
      </c>
      <c r="G522" s="69" t="s">
        <v>185</v>
      </c>
    </row>
    <row r="523" spans="1:25">
      <c r="B523" s="69" t="s">
        <v>188</v>
      </c>
      <c r="D523" s="300">
        <v>0.2</v>
      </c>
      <c r="E523" s="300">
        <v>0.14</v>
      </c>
      <c r="F523" s="300">
        <v>0.16</v>
      </c>
      <c r="G523" s="139" t="s">
        <v>185</v>
      </c>
    </row>
    <row r="524" spans="1:25">
      <c r="B524" s="301" t="s">
        <v>189</v>
      </c>
      <c r="C524" s="301"/>
      <c r="D524" s="302">
        <v>0.21</v>
      </c>
      <c r="E524" s="302">
        <v>0.15</v>
      </c>
      <c r="F524" s="302">
        <v>0.27</v>
      </c>
      <c r="G524" s="139"/>
    </row>
    <row r="525" spans="1:25">
      <c r="G525" s="69">
        <v>2.87</v>
      </c>
    </row>
    <row r="526" spans="1:25">
      <c r="B526" s="69" t="s">
        <v>190</v>
      </c>
      <c r="C526" s="69">
        <v>88</v>
      </c>
      <c r="D526" s="303">
        <v>21</v>
      </c>
      <c r="E526" s="300">
        <v>0.04</v>
      </c>
      <c r="F526" s="300">
        <f>1.5%</f>
        <v>0.015</v>
      </c>
      <c r="G526" s="139" t="s">
        <v>191</v>
      </c>
    </row>
    <row r="527" spans="1:25">
      <c r="B527" s="139" t="s">
        <v>192</v>
      </c>
      <c r="C527" s="139">
        <v>88</v>
      </c>
      <c r="D527" s="302">
        <v>0.18</v>
      </c>
      <c r="E527" s="302">
        <v>0.03</v>
      </c>
      <c r="F527" s="302">
        <v>0</v>
      </c>
      <c r="G527" s="139"/>
    </row>
    <row r="528" spans="1:25">
      <c r="B528" s="139"/>
      <c r="C528" s="139"/>
      <c r="D528" s="302"/>
      <c r="E528" s="302"/>
      <c r="F528" s="302"/>
      <c r="G528" s="139" t="s">
        <v>193</v>
      </c>
    </row>
    <row r="529" spans="1:25">
      <c r="B529" s="139" t="s">
        <v>194</v>
      </c>
      <c r="C529" s="298">
        <v>0.33</v>
      </c>
      <c r="D529" s="302">
        <v>0.09</v>
      </c>
      <c r="E529" s="302">
        <v>0.035</v>
      </c>
      <c r="F529" s="302"/>
      <c r="G529" s="139" t="s">
        <v>193</v>
      </c>
    </row>
    <row r="530" spans="1:25">
      <c r="B530" s="139" t="s">
        <v>195</v>
      </c>
      <c r="C530" s="298"/>
      <c r="D530" s="302"/>
      <c r="E530" s="302"/>
      <c r="F530" s="302"/>
      <c r="G530" s="139"/>
    </row>
    <row r="532" spans="1:25" customHeight="1" ht="15">
      <c r="B532" s="304"/>
      <c r="C532" s="305" t="s">
        <v>196</v>
      </c>
      <c r="D532" s="305" t="s">
        <v>197</v>
      </c>
      <c r="E532" s="305" t="s">
        <v>198</v>
      </c>
      <c r="F532" s="305" t="s">
        <v>199</v>
      </c>
    </row>
    <row r="533" spans="1:25">
      <c r="A533" s="69">
        <v>1</v>
      </c>
      <c r="B533" s="306" t="s">
        <v>200</v>
      </c>
      <c r="C533" s="306" t="s">
        <v>65</v>
      </c>
      <c r="D533" s="306">
        <v>22</v>
      </c>
      <c r="E533" s="306">
        <v>20</v>
      </c>
      <c r="F533" s="306">
        <v>42</v>
      </c>
    </row>
    <row r="534" spans="1:25">
      <c r="A534" s="69">
        <v>2</v>
      </c>
      <c r="B534" s="306" t="s">
        <v>201</v>
      </c>
      <c r="C534" s="306" t="s">
        <v>65</v>
      </c>
      <c r="D534" s="306">
        <v>19.6</v>
      </c>
      <c r="E534" s="306">
        <v>15.6</v>
      </c>
      <c r="F534" s="306">
        <v>40</v>
      </c>
    </row>
    <row r="535" spans="1:25">
      <c r="A535" s="69">
        <v>3</v>
      </c>
      <c r="B535" s="306" t="s">
        <v>187</v>
      </c>
      <c r="C535" s="306" t="s">
        <v>65</v>
      </c>
      <c r="D535" s="306">
        <v>19</v>
      </c>
      <c r="E535" s="306">
        <v>16</v>
      </c>
      <c r="F535" s="306">
        <v>29</v>
      </c>
    </row>
    <row r="536" spans="1:25">
      <c r="A536" s="69">
        <v>4</v>
      </c>
      <c r="B536" s="306" t="s">
        <v>188</v>
      </c>
      <c r="C536" s="306" t="s">
        <v>65</v>
      </c>
      <c r="D536" s="306">
        <v>20</v>
      </c>
      <c r="E536" s="306">
        <v>13.5</v>
      </c>
      <c r="F536" s="306">
        <v>12</v>
      </c>
    </row>
    <row r="537" spans="1:25">
      <c r="A537" s="69">
        <v>1</v>
      </c>
    </row>
    <row r="538" spans="1:25">
      <c r="A538" s="69">
        <v>2</v>
      </c>
      <c r="B538" s="306" t="s">
        <v>202</v>
      </c>
      <c r="C538" s="306" t="s">
        <v>203</v>
      </c>
      <c r="D538" s="306">
        <v>21</v>
      </c>
      <c r="E538" s="306">
        <v>15</v>
      </c>
      <c r="F538" s="306">
        <v>42</v>
      </c>
    </row>
    <row r="539" spans="1:25">
      <c r="A539" s="69">
        <v>3</v>
      </c>
      <c r="B539" s="306" t="s">
        <v>204</v>
      </c>
      <c r="C539" s="306" t="s">
        <v>205</v>
      </c>
      <c r="D539" s="306">
        <v>20</v>
      </c>
      <c r="E539" s="306">
        <v>16</v>
      </c>
      <c r="F539" s="306">
        <v>40</v>
      </c>
    </row>
    <row r="540" spans="1:25">
      <c r="A540" s="69">
        <v>4</v>
      </c>
      <c r="B540" s="306" t="s">
        <v>206</v>
      </c>
      <c r="C540" s="306" t="s">
        <v>206</v>
      </c>
      <c r="D540" s="306">
        <v>20</v>
      </c>
      <c r="E540" s="306">
        <v>10</v>
      </c>
      <c r="F540" s="306">
        <v>40</v>
      </c>
    </row>
    <row r="541" spans="1:25">
      <c r="A541" s="69">
        <v>5</v>
      </c>
      <c r="B541" s="306" t="s">
        <v>207</v>
      </c>
      <c r="C541" s="306" t="s">
        <v>208</v>
      </c>
      <c r="D541" s="306">
        <v>20</v>
      </c>
      <c r="E541" s="306">
        <v>10</v>
      </c>
      <c r="F541" s="306">
        <v>26</v>
      </c>
    </row>
    <row r="542" spans="1:25">
      <c r="A542" s="69">
        <v>1</v>
      </c>
      <c r="B542" s="306" t="s">
        <v>209</v>
      </c>
      <c r="C542" s="306" t="s">
        <v>210</v>
      </c>
      <c r="D542" s="306">
        <v>20</v>
      </c>
      <c r="E542" s="306">
        <v>15</v>
      </c>
      <c r="F542" s="306">
        <v>46</v>
      </c>
    </row>
    <row r="543" spans="1:25">
      <c r="A543" s="69">
        <v>2</v>
      </c>
      <c r="B543" s="306" t="s">
        <v>211</v>
      </c>
      <c r="C543" s="306" t="s">
        <v>210</v>
      </c>
      <c r="D543" s="306">
        <v>22</v>
      </c>
      <c r="E543" s="306">
        <v>17</v>
      </c>
      <c r="F543" s="306">
        <v>44</v>
      </c>
    </row>
    <row r="544" spans="1:25">
      <c r="A544" s="69">
        <v>3</v>
      </c>
      <c r="B544" s="306" t="s">
        <v>200</v>
      </c>
      <c r="C544" s="306" t="s">
        <v>65</v>
      </c>
      <c r="D544" s="306">
        <v>22</v>
      </c>
      <c r="E544" s="306">
        <v>20</v>
      </c>
      <c r="F544" s="306">
        <v>42</v>
      </c>
    </row>
    <row r="545" spans="1:25">
      <c r="A545" s="69">
        <v>9</v>
      </c>
      <c r="B545" s="306" t="s">
        <v>212</v>
      </c>
      <c r="C545" s="306" t="s">
        <v>213</v>
      </c>
      <c r="D545" s="306">
        <v>22.5</v>
      </c>
      <c r="E545" s="307">
        <v>18</v>
      </c>
      <c r="F545" s="306">
        <v>42</v>
      </c>
    </row>
    <row r="546" spans="1:25">
      <c r="A546" s="69">
        <v>10</v>
      </c>
      <c r="B546" s="306" t="s">
        <v>214</v>
      </c>
      <c r="C546" s="306" t="s">
        <v>213</v>
      </c>
      <c r="D546" s="306">
        <v>21</v>
      </c>
      <c r="E546" s="306">
        <v>13</v>
      </c>
      <c r="F546" s="306">
        <v>47</v>
      </c>
    </row>
    <row r="547" spans="1:25">
      <c r="A547" s="69">
        <v>11</v>
      </c>
      <c r="B547" s="306" t="s">
        <v>215</v>
      </c>
      <c r="C547" s="306" t="s">
        <v>216</v>
      </c>
      <c r="D547" s="306">
        <v>20</v>
      </c>
      <c r="E547" s="306">
        <v>10</v>
      </c>
      <c r="F547" s="306">
        <v>20</v>
      </c>
    </row>
    <row r="548" spans="1:25">
      <c r="A548" s="69">
        <v>12</v>
      </c>
      <c r="B548" s="306" t="s">
        <v>217</v>
      </c>
      <c r="C548" s="306" t="s">
        <v>216</v>
      </c>
      <c r="D548" s="306">
        <v>20</v>
      </c>
      <c r="E548" s="306">
        <v>15</v>
      </c>
      <c r="F548" s="306">
        <v>48</v>
      </c>
    </row>
    <row r="549" spans="1:25">
      <c r="A549" s="69">
        <v>13</v>
      </c>
      <c r="B549" s="306" t="s">
        <v>218</v>
      </c>
      <c r="C549" s="306" t="s">
        <v>216</v>
      </c>
      <c r="D549" s="306">
        <v>22</v>
      </c>
      <c r="E549" s="306">
        <v>18</v>
      </c>
      <c r="F549" s="306">
        <v>38</v>
      </c>
    </row>
    <row r="550" spans="1:25">
      <c r="A550" s="69">
        <v>14</v>
      </c>
      <c r="B550" s="306" t="s">
        <v>219</v>
      </c>
      <c r="C550" s="306" t="s">
        <v>220</v>
      </c>
      <c r="D550" s="306">
        <v>22</v>
      </c>
      <c r="E550" s="306">
        <v>10</v>
      </c>
      <c r="F550" s="306">
        <v>13</v>
      </c>
    </row>
    <row r="551" spans="1:25">
      <c r="A551" s="69">
        <v>15</v>
      </c>
      <c r="B551" s="306" t="s">
        <v>221</v>
      </c>
      <c r="C551" s="306" t="s">
        <v>222</v>
      </c>
      <c r="D551" s="306">
        <v>22</v>
      </c>
      <c r="E551" s="306">
        <v>19</v>
      </c>
      <c r="F551" s="306">
        <v>44</v>
      </c>
    </row>
    <row r="552" spans="1:25">
      <c r="A552" s="69">
        <v>16</v>
      </c>
      <c r="B552" s="306" t="s">
        <v>223</v>
      </c>
      <c r="C552" s="306" t="s">
        <v>222</v>
      </c>
      <c r="D552" s="306">
        <v>20</v>
      </c>
      <c r="E552" s="306">
        <v>16</v>
      </c>
      <c r="F552" s="306">
        <v>47</v>
      </c>
    </row>
    <row r="553" spans="1:25">
      <c r="B553" s="306" t="s">
        <v>224</v>
      </c>
      <c r="C553" s="306"/>
      <c r="D553" s="306"/>
      <c r="E553" s="306"/>
      <c r="F553" s="306"/>
    </row>
    <row r="555" spans="1:25" customHeight="1" ht="19">
      <c r="A555" s="100" t="s">
        <v>225</v>
      </c>
    </row>
    <row r="556" spans="1:25">
      <c r="A556" s="366"/>
      <c r="B556" s="366"/>
      <c r="C556" s="366"/>
      <c r="D556" s="366"/>
      <c r="E556" s="366"/>
      <c r="F556" s="366"/>
      <c r="G556" s="366"/>
      <c r="H556" s="366"/>
      <c r="I556" s="366"/>
      <c r="J556" s="366"/>
      <c r="K556" s="366"/>
      <c r="L556" s="366"/>
      <c r="M556" s="367">
        <v>0.07</v>
      </c>
      <c r="N556" s="367"/>
      <c r="O556" s="367">
        <v>0.07</v>
      </c>
      <c r="P556" s="367"/>
      <c r="Q556" s="366"/>
      <c r="R556" s="366"/>
    </row>
    <row r="557" spans="1:25">
      <c r="A557" s="366"/>
      <c r="B557" s="366"/>
      <c r="C557" s="366"/>
      <c r="D557" s="366"/>
      <c r="E557" s="366"/>
      <c r="F557" s="366"/>
      <c r="G557" s="366"/>
      <c r="H557" s="366"/>
      <c r="I557" s="366"/>
      <c r="J557" s="366"/>
      <c r="K557" s="366"/>
      <c r="L557" s="366" t="s">
        <v>134</v>
      </c>
      <c r="M557" s="366">
        <v>0.93</v>
      </c>
      <c r="N557" s="366">
        <v>1.07</v>
      </c>
      <c r="O557" s="366">
        <v>0.93</v>
      </c>
      <c r="P557" s="366">
        <v>1.07</v>
      </c>
      <c r="Q557" s="366"/>
      <c r="R557" s="366"/>
    </row>
    <row r="558" spans="1:25" customHeight="1" ht="18" s="348" customFormat="1">
      <c r="A558" s="368" t="s">
        <v>226</v>
      </c>
      <c r="B558" s="368"/>
      <c r="C558" s="368"/>
      <c r="D558" s="368"/>
      <c r="E558" s="368"/>
      <c r="F558" s="368"/>
      <c r="G558" s="368"/>
      <c r="H558" s="368"/>
      <c r="I558" s="368"/>
      <c r="J558" s="368"/>
    </row>
    <row r="559" spans="1:25" customHeight="1" ht="15" s="348" customFormat="1">
      <c r="A559" s="368" t="s">
        <v>227</v>
      </c>
      <c r="B559" s="368" t="s">
        <v>162</v>
      </c>
      <c r="C559" s="368"/>
      <c r="D559" s="368"/>
      <c r="E559" s="368" t="s">
        <v>163</v>
      </c>
      <c r="F559" s="368"/>
      <c r="G559" s="368"/>
      <c r="H559" s="368" t="s">
        <v>164</v>
      </c>
      <c r="I559" s="368"/>
      <c r="J559" s="368"/>
      <c r="M559" s="369">
        <v>0</v>
      </c>
      <c r="N559" s="369"/>
      <c r="O559" s="369"/>
    </row>
    <row r="560" spans="1:25" customHeight="1" ht="15" s="348" customFormat="1">
      <c r="A560" s="368" t="s">
        <v>228</v>
      </c>
      <c r="B560" s="368" t="s">
        <v>229</v>
      </c>
      <c r="C560" s="368" t="s">
        <v>230</v>
      </c>
      <c r="D560" s="368" t="s">
        <v>231</v>
      </c>
      <c r="E560" s="368" t="s">
        <v>229</v>
      </c>
      <c r="F560" s="368" t="s">
        <v>230</v>
      </c>
      <c r="G560" s="368" t="s">
        <v>231</v>
      </c>
      <c r="H560" s="368" t="s">
        <v>229</v>
      </c>
      <c r="I560" s="368" t="s">
        <v>230</v>
      </c>
      <c r="J560" s="368" t="s">
        <v>231</v>
      </c>
      <c r="L560" s="370" t="s">
        <v>232</v>
      </c>
      <c r="M560" s="370" t="s">
        <v>233</v>
      </c>
      <c r="N560" s="369" t="s">
        <v>234</v>
      </c>
      <c r="O560" s="369" t="s">
        <v>235</v>
      </c>
      <c r="P560" s="369" t="s">
        <v>236</v>
      </c>
      <c r="Q560" s="369" t="s">
        <v>237</v>
      </c>
      <c r="R560" s="369" t="s">
        <v>238</v>
      </c>
    </row>
    <row r="561" spans="1:25" s="348" customFormat="1">
      <c r="A561" s="368">
        <v>0</v>
      </c>
      <c r="B561" s="368">
        <v>40</v>
      </c>
      <c r="C561" s="371">
        <v>70</v>
      </c>
      <c r="D561" s="372">
        <v>0.6</v>
      </c>
      <c r="E561" s="368">
        <v>34</v>
      </c>
      <c r="F561" s="368">
        <v>64</v>
      </c>
      <c r="G561" s="372">
        <v>0.5</v>
      </c>
      <c r="H561" s="368">
        <v>26</v>
      </c>
      <c r="I561" s="368">
        <v>58</v>
      </c>
      <c r="J561" s="372">
        <v>0.4</v>
      </c>
      <c r="L561" s="348">
        <v>0</v>
      </c>
      <c r="M561" s="348">
        <v>0</v>
      </c>
      <c r="N561" s="348">
        <v>0</v>
      </c>
      <c r="O561" s="348">
        <v>0</v>
      </c>
      <c r="P561" s="348">
        <v>0</v>
      </c>
      <c r="Q561" s="373" t="e">
        <v>#DIV/0!</v>
      </c>
      <c r="R561" s="373" t="e">
        <v>#DIV/0!</v>
      </c>
    </row>
    <row r="562" spans="1:25" s="348" customFormat="1">
      <c r="A562" s="368">
        <v>30</v>
      </c>
      <c r="B562" s="368">
        <v>64</v>
      </c>
      <c r="C562" s="368">
        <v>78</v>
      </c>
      <c r="D562" s="372">
        <v>0.8</v>
      </c>
      <c r="E562" s="368">
        <v>52</v>
      </c>
      <c r="F562" s="368">
        <v>71</v>
      </c>
      <c r="G562" s="372">
        <v>0.7</v>
      </c>
      <c r="H562" s="368">
        <v>39</v>
      </c>
      <c r="I562" s="368">
        <v>63</v>
      </c>
      <c r="J562" s="372">
        <v>0.6</v>
      </c>
      <c r="L562" s="348">
        <v>30</v>
      </c>
      <c r="M562" s="348">
        <v>0</v>
      </c>
      <c r="N562" s="348">
        <v>0</v>
      </c>
      <c r="O562" s="348">
        <v>0</v>
      </c>
      <c r="P562" s="348">
        <v>0</v>
      </c>
      <c r="Q562" s="373" t="e">
        <v>#DIV/0!</v>
      </c>
      <c r="R562" s="373" t="e">
        <v>#DIV/0!</v>
      </c>
    </row>
    <row r="563" spans="1:25" s="348" customFormat="1">
      <c r="A563" s="368">
        <v>60</v>
      </c>
      <c r="B563" s="368">
        <v>86</v>
      </c>
      <c r="C563" s="368">
        <v>85</v>
      </c>
      <c r="D563" s="372">
        <v>1</v>
      </c>
      <c r="E563" s="368">
        <v>69</v>
      </c>
      <c r="F563" s="368">
        <v>77</v>
      </c>
      <c r="G563" s="372">
        <v>0.9</v>
      </c>
      <c r="H563" s="368">
        <v>52</v>
      </c>
      <c r="I563" s="368">
        <v>69</v>
      </c>
      <c r="J563" s="372">
        <v>0.8</v>
      </c>
      <c r="L563" s="348">
        <v>60</v>
      </c>
      <c r="M563" s="348">
        <v>0</v>
      </c>
      <c r="N563" s="348">
        <v>0</v>
      </c>
      <c r="O563" s="348">
        <v>0</v>
      </c>
      <c r="P563" s="348">
        <v>0</v>
      </c>
      <c r="Q563" s="373" t="e">
        <v>#DIV/0!</v>
      </c>
      <c r="R563" s="373" t="e">
        <v>#DIV/0!</v>
      </c>
    </row>
    <row r="564" spans="1:25" s="348" customFormat="1">
      <c r="A564" s="368">
        <v>90</v>
      </c>
      <c r="B564" s="368">
        <v>104</v>
      </c>
      <c r="C564" s="368">
        <v>90</v>
      </c>
      <c r="D564" s="372">
        <v>1.2</v>
      </c>
      <c r="E564" s="368">
        <v>85</v>
      </c>
      <c r="F564" s="368">
        <v>82</v>
      </c>
      <c r="G564" s="372">
        <v>1</v>
      </c>
      <c r="H564" s="368">
        <v>66</v>
      </c>
      <c r="I564" s="368">
        <v>73</v>
      </c>
      <c r="J564" s="372">
        <v>0.9</v>
      </c>
      <c r="L564" s="348">
        <v>90</v>
      </c>
      <c r="M564" s="348">
        <v>0</v>
      </c>
      <c r="N564" s="348">
        <v>0</v>
      </c>
      <c r="O564" s="348">
        <v>0</v>
      </c>
      <c r="P564" s="348">
        <v>0</v>
      </c>
      <c r="Q564" s="373" t="e">
        <v>#DIV/0!</v>
      </c>
      <c r="R564" s="373" t="e">
        <v>#DIV/0!</v>
      </c>
    </row>
    <row r="565" spans="1:25" s="348" customFormat="1"/>
    <row r="567" spans="1:25" customHeight="1" ht="19">
      <c r="A567" s="100" t="s">
        <v>239</v>
      </c>
    </row>
    <row r="568" spans="1:25">
      <c r="A568" s="351" t="s">
        <v>240</v>
      </c>
      <c r="B568" s="351" t="s">
        <v>241</v>
      </c>
      <c r="C568" s="351" t="s">
        <v>242</v>
      </c>
      <c r="D568" s="351" t="s">
        <v>243</v>
      </c>
      <c r="E568" s="351" t="s">
        <v>244</v>
      </c>
      <c r="F568" s="350"/>
    </row>
    <row r="569" spans="1:25" customHeight="1" ht="30">
      <c r="A569" s="352" t="s">
        <v>245</v>
      </c>
      <c r="B569" s="352" t="s">
        <v>246</v>
      </c>
      <c r="C569" s="353" t="s">
        <v>247</v>
      </c>
      <c r="D569" s="353" t="s">
        <v>248</v>
      </c>
      <c r="E569" s="352"/>
      <c r="F569" s="350"/>
    </row>
    <row r="570" spans="1:25" customHeight="1" ht="30">
      <c r="A570" s="353" t="e">
        <f>#REF!</f>
        <v>#REF!</v>
      </c>
      <c r="B570" s="353" t="s">
        <v>249</v>
      </c>
      <c r="C570" s="353" t="s">
        <v>247</v>
      </c>
      <c r="D570" s="353" t="s">
        <v>250</v>
      </c>
      <c r="E570" s="353" t="s">
        <v>251</v>
      </c>
      <c r="F570" s="350"/>
    </row>
    <row r="571" spans="1:25" customHeight="1" ht="30">
      <c r="A571" s="353" t="s">
        <v>252</v>
      </c>
      <c r="B571" s="353" t="s">
        <v>253</v>
      </c>
      <c r="C571" s="353" t="s">
        <v>254</v>
      </c>
      <c r="D571" s="353" t="s">
        <v>255</v>
      </c>
      <c r="E571" s="353" t="s">
        <v>256</v>
      </c>
      <c r="F571" s="350"/>
    </row>
    <row r="572" spans="1:25" customHeight="1" ht="30">
      <c r="A572" s="353" t="s">
        <v>257</v>
      </c>
      <c r="B572" s="353" t="s">
        <v>253</v>
      </c>
      <c r="C572" s="353" t="s">
        <v>258</v>
      </c>
      <c r="D572" s="353" t="s">
        <v>259</v>
      </c>
      <c r="E572" s="353" t="s">
        <v>260</v>
      </c>
      <c r="F572" s="350"/>
    </row>
    <row r="573" spans="1:25" customHeight="1" ht="45">
      <c r="A573" s="353" t="s">
        <v>261</v>
      </c>
      <c r="B573" s="353" t="s">
        <v>262</v>
      </c>
      <c r="C573" s="353" t="s">
        <v>263</v>
      </c>
      <c r="D573" s="353" t="s">
        <v>264</v>
      </c>
      <c r="E573" s="353" t="s">
        <v>265</v>
      </c>
      <c r="F573" s="350"/>
    </row>
    <row r="574" spans="1:25" customHeight="1" ht="45">
      <c r="A574" s="353" t="s">
        <v>266</v>
      </c>
      <c r="B574" s="353" t="s">
        <v>267</v>
      </c>
      <c r="C574" s="353" t="s">
        <v>268</v>
      </c>
      <c r="D574" s="353" t="s">
        <v>269</v>
      </c>
      <c r="E574" s="353" t="s">
        <v>270</v>
      </c>
      <c r="F574" s="350"/>
    </row>
    <row r="575" spans="1:25">
      <c r="A575" s="354" t="s">
        <v>271</v>
      </c>
      <c r="B575" s="355" t="s">
        <v>272</v>
      </c>
      <c r="C575" s="355"/>
      <c r="D575" s="356"/>
      <c r="E575" s="357"/>
      <c r="F575" s="350"/>
    </row>
    <row r="576" spans="1:25">
      <c r="A576" s="358" t="s">
        <v>273</v>
      </c>
      <c r="B576" s="359" t="s">
        <v>274</v>
      </c>
      <c r="C576" s="359"/>
      <c r="D576" s="360"/>
      <c r="E576" s="361"/>
      <c r="F576" s="350"/>
    </row>
    <row r="577" spans="1:25">
      <c r="A577" s="362" t="s">
        <v>275</v>
      </c>
      <c r="B577" s="363" t="s">
        <v>276</v>
      </c>
      <c r="C577" s="363"/>
      <c r="D577" s="364" t="s">
        <v>14</v>
      </c>
      <c r="E577" s="365" t="s">
        <v>277</v>
      </c>
      <c r="F577" s="350"/>
    </row>
    <row r="578" spans="1:25">
      <c r="A578" s="349"/>
      <c r="B578" s="349"/>
      <c r="C578" s="349"/>
      <c r="D578" s="349"/>
      <c r="E578" s="349"/>
      <c r="F578" s="349"/>
    </row>
    <row r="579" spans="1:25">
      <c r="A579" s="349"/>
      <c r="B579" s="349"/>
      <c r="C579" s="349"/>
      <c r="D579" s="349"/>
      <c r="E579" s="349"/>
      <c r="F579" s="349"/>
    </row>
    <row r="580" spans="1:25">
      <c r="A580" s="349"/>
      <c r="B580" s="349"/>
      <c r="C580" s="349"/>
      <c r="D580" s="349"/>
      <c r="E580" s="349"/>
      <c r="F580" s="349"/>
    </row>
  </sheetData>
  <mergeCells>
    <mergeCell ref="B575:C575"/>
    <mergeCell ref="B576:C576"/>
    <mergeCell ref="B577:C577"/>
    <mergeCell ref="A27:B27"/>
    <mergeCell ref="F23:G23"/>
    <mergeCell ref="F15:G15"/>
    <mergeCell ref="B468:C468"/>
  </mergeCells>
  <conditionalFormatting sqref="C146">
    <cfRule type="cellIs" dxfId="0" priority="1" operator="equal">
      <formula>"Valores inválidos"</formula>
    </cfRule>
  </conditionalFormatting>
  <conditionalFormatting sqref="C148">
    <cfRule type="cellIs" dxfId="0" priority="2" operator="equal">
      <formula>"Valores inválidos"</formula>
    </cfRule>
  </conditionalFormatting>
  <conditionalFormatting sqref="C151">
    <cfRule type="cellIs" dxfId="0" priority="3" operator="equal">
      <formula>"Valores inválidos"</formula>
    </cfRule>
  </conditionalFormatting>
  <conditionalFormatting sqref="B156:C156">
    <cfRule type="cellIs" dxfId="0" priority="4" operator="equal">
      <formula>"Valores inválidos"</formula>
    </cfRule>
  </conditionalFormatting>
  <conditionalFormatting sqref="C158:C159">
    <cfRule type="cellIs" dxfId="0" priority="5" operator="equal">
      <formula>"Valores inválidos"</formula>
    </cfRule>
  </conditionalFormatting>
  <conditionalFormatting sqref="C162:C164">
    <cfRule type="cellIs" dxfId="0" priority="6" operator="equal">
      <formula>"Valores inválidos"</formula>
    </cfRule>
  </conditionalFormatting>
  <conditionalFormatting sqref="C168:C169">
    <cfRule type="cellIs" dxfId="0" priority="7" operator="equal">
      <formula>"Valores inválidos"</formula>
    </cfRule>
  </conditionalFormatting>
  <conditionalFormatting sqref="C284:R303">
    <cfRule type="cellIs" dxfId="1" priority="8" operator="equal">
      <formula>$G$3</formula>
    </cfRule>
  </conditionalFormatting>
  <conditionalFormatting sqref="C342:R361">
    <cfRule type="cellIs" dxfId="1" priority="9" operator="equal">
      <formula>$G$3</formula>
    </cfRule>
  </conditionalFormatting>
  <conditionalFormatting sqref="D283:R283">
    <cfRule type="cellIs" dxfId="2" priority="10" operator="equal">
      <formula>$G$1</formula>
    </cfRule>
  </conditionalFormatting>
  <conditionalFormatting sqref="D341:R341">
    <cfRule type="cellIs" dxfId="2" priority="11" operator="equal">
      <formula>$G$1</formula>
    </cfRule>
  </conditionalFormatting>
  <dataValidations count="7">
    <dataValidation type="list" allowBlank="1" showDropDown="0" showInputMessage="1" showErrorMessage="1" sqref="A241">
      <formula1>vetilac3</formula1>
    </dataValidation>
    <dataValidation type="list" allowBlank="1" showDropDown="0" showInputMessage="1" showErrorMessage="1" sqref="A189">
      <formula1>vetilac2</formula1>
    </dataValidation>
    <dataValidation type="list" allowBlank="1" showDropDown="0" showInputMessage="1" showErrorMessage="1" sqref="C185">
      <formula1>Leites</formula1>
    </dataValidation>
    <dataValidation type="list" allowBlank="1" showDropDown="0" showInputMessage="1" showErrorMessage="1" sqref="C237">
      <formula1>Leites</formula1>
    </dataValidation>
    <dataValidation type="list" allowBlank="1" showDropDown="0" showInputMessage="1" showErrorMessage="1" sqref="G14">
      <formula1>Ração</formula1>
    </dataValidation>
    <dataValidation type="list" allowBlank="1" showDropDown="0" showInputMessage="1" showErrorMessage="1" sqref="G526:G530">
      <formula1>classificacao2</formula1>
    </dataValidation>
    <dataValidation type="list" allowBlank="1" showDropDown="0" showInputMessage="1" showErrorMessage="1" sqref="G518:G524">
      <formula1>classificacao2</formula1>
    </dataValidation>
  </dataValidations>
  <hyperlinks>
    <hyperlink ref="C11" r:id="rId_hyperlink_1"/>
  </hyperlink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drawing r:id="rId3"/>
  <legacyDrawing r:id="rId_comments_vml1"/>
  <tableParts count="1">
    <tablePart r:id="rId_table_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1"/>
  <sheetViews>
    <sheetView tabSelected="0" workbookViewId="0" showGridLines="true" showRowColHeaders="1">
      <selection activeCell="B1" sqref="B1:S9"/>
    </sheetView>
  </sheetViews>
  <sheetFormatPr defaultRowHeight="14.4" defaultColWidth="8.83203125" outlineLevelRow="0" outlineLevelCol="0"/>
  <cols>
    <col min="13" max="13" width="12.1640625" customWidth="true" style="0"/>
    <col min="14" max="14" width="10" customWidth="true" style="0"/>
    <col min="15" max="15" width="10" customWidth="true" style="0"/>
    <col min="16" max="16" width="13.5" customWidth="true" style="0"/>
  </cols>
  <sheetData>
    <row r="1" spans="1:19">
      <c r="N1" s="334">
        <v>0.07</v>
      </c>
      <c r="O1" s="334"/>
      <c r="P1" s="334">
        <v>0.07</v>
      </c>
      <c r="Q1" s="335"/>
    </row>
    <row r="2" spans="1:19" customHeight="1" ht="15.75">
      <c r="M2" t="s">
        <v>134</v>
      </c>
      <c r="N2">
        <f>1-(1*N1)</f>
        <v>0.93</v>
      </c>
      <c r="O2">
        <f>1+(1*N1)</f>
        <v>1.07</v>
      </c>
      <c r="P2">
        <f>1-(1*P1)</f>
        <v>0.93</v>
      </c>
      <c r="Q2">
        <f>1+(1*P1)</f>
        <v>1.07</v>
      </c>
    </row>
    <row r="3" spans="1:19" customHeight="1" ht="18">
      <c r="B3" s="338" t="s">
        <v>226</v>
      </c>
      <c r="C3" s="339"/>
      <c r="D3" s="339"/>
      <c r="E3" s="339"/>
      <c r="F3" s="339"/>
      <c r="G3" s="339"/>
      <c r="H3" s="339"/>
      <c r="I3" s="339"/>
      <c r="J3" s="339"/>
      <c r="K3" s="340"/>
    </row>
    <row r="4" spans="1:19" customHeight="1" ht="17.25">
      <c r="B4" s="2" t="s">
        <v>227</v>
      </c>
      <c r="C4" s="341" t="s">
        <v>162</v>
      </c>
      <c r="D4" s="342"/>
      <c r="E4" s="343"/>
      <c r="F4" s="341" t="s">
        <v>163</v>
      </c>
      <c r="G4" s="342"/>
      <c r="H4" s="343"/>
      <c r="I4" s="341" t="s">
        <v>164</v>
      </c>
      <c r="J4" s="342"/>
      <c r="K4" s="344"/>
      <c r="N4" s="337">
        <f>Dados!C15</f>
        <v/>
      </c>
      <c r="O4" s="337"/>
      <c r="P4" s="337"/>
    </row>
    <row r="5" spans="1:19" customHeight="1" ht="18">
      <c r="B5" s="3" t="s">
        <v>228</v>
      </c>
      <c r="C5" s="4" t="s">
        <v>229</v>
      </c>
      <c r="D5" s="5" t="s">
        <v>230</v>
      </c>
      <c r="E5" s="6" t="s">
        <v>231</v>
      </c>
      <c r="F5" s="4" t="s">
        <v>229</v>
      </c>
      <c r="G5" s="5" t="s">
        <v>230</v>
      </c>
      <c r="H5" s="6" t="s">
        <v>231</v>
      </c>
      <c r="I5" s="4" t="s">
        <v>229</v>
      </c>
      <c r="J5" s="5" t="s">
        <v>230</v>
      </c>
      <c r="K5" s="7" t="s">
        <v>231</v>
      </c>
      <c r="M5" s="36" t="s">
        <v>232</v>
      </c>
      <c r="N5" s="36" t="s">
        <v>233</v>
      </c>
      <c r="O5" s="37" t="s">
        <v>234</v>
      </c>
      <c r="P5" s="37" t="s">
        <v>235</v>
      </c>
      <c r="Q5" s="37" t="s">
        <v>236</v>
      </c>
      <c r="R5" s="37" t="s">
        <v>237</v>
      </c>
      <c r="S5" s="37" t="s">
        <v>238</v>
      </c>
    </row>
    <row r="6" spans="1:19" customHeight="1" ht="16">
      <c r="B6" s="8">
        <v>0</v>
      </c>
      <c r="C6" s="9">
        <v>40</v>
      </c>
      <c r="D6" s="10">
        <v>70</v>
      </c>
      <c r="E6" s="23">
        <f>C6/D6</f>
        <v>0.57142857142857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0.44827586206897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>N6/P6</f>
        <v>#DIV/0!</v>
      </c>
      <c r="S6" s="35" t="e">
        <f>O6/Q6</f>
        <v>#DIV/0!</v>
      </c>
    </row>
    <row r="7" spans="1:19" customHeight="1" ht="16">
      <c r="B7" s="13">
        <v>30</v>
      </c>
      <c r="C7" s="14">
        <v>64</v>
      </c>
      <c r="D7" s="15">
        <v>78</v>
      </c>
      <c r="E7" s="23">
        <f>C7/D7</f>
        <v>0.82051282051282</v>
      </c>
      <c r="F7" s="16">
        <v>52</v>
      </c>
      <c r="G7" s="17">
        <v>71</v>
      </c>
      <c r="H7" s="23">
        <f>F7/G7</f>
        <v>0.73239436619718</v>
      </c>
      <c r="I7" s="14">
        <v>39</v>
      </c>
      <c r="J7" s="17">
        <v>63</v>
      </c>
      <c r="K7" s="24">
        <f>I7/J7</f>
        <v>0.61904761904762</v>
      </c>
      <c r="M7" s="1">
        <f>B7</f>
        <v>30</v>
      </c>
      <c r="N7" s="1">
        <f>IF($N$4="Holandês",VLOOKUP(M7,$B$6:$K$9,2,FALSE),IF($N$4="Girolando",VLOOKUP(M7,$B$6:$K$9,5,FALSE),IF($N$4="Jersey",VLOOKUP(M7,$B$6:$K$9,8,FALSE))))*$N$2</f>
        <v>0</v>
      </c>
      <c r="O7" s="1">
        <f>IF($N$4="Holandês",VLOOKUP(M7,$B$6:$K$9,2,FALSE),IF($N$4="Girolando",VLOOKUP(M7,$B$6:$K$9,5,FALSE),IF($N$4="Jersey",VLOOKUP(M7,$B$6:$K$9,8,FALSE))))*$O$2</f>
        <v>0</v>
      </c>
      <c r="P7" s="1">
        <f>IF($N$4="Holandês",VLOOKUP(M7,$B$6:$K$9,3,FALSE),IF($N$4="Girolando",VLOOKUP(M7,$B$6:$K$9,6,FALSE),IF($N$4="Jersey",VLOOKUP(M7,$B$6:$K$9,9,FALSE))))*$P$2</f>
        <v>0</v>
      </c>
      <c r="Q7" s="1">
        <f>IF($N$4="Holandês",VLOOKUP(M7,$B$6:$K$9,3,FALSE),IF($N$4="Girolando",VLOOKUP(M7,$B$6:$K$9,6,FALSE),IF($N$4="Jersey",VLOOKUP(M7,$B$6:$K$9,9,FALSE))))*$Q$2</f>
        <v>0</v>
      </c>
      <c r="R7" s="35" t="e">
        <f>N7/P7</f>
        <v>#DIV/0!</v>
      </c>
      <c r="S7" s="35" t="e">
        <f>O7/Q7</f>
        <v>#DIV/0!</v>
      </c>
    </row>
    <row r="8" spans="1:19" customHeight="1" ht="16">
      <c r="B8" s="18">
        <v>60</v>
      </c>
      <c r="C8" s="19">
        <v>86</v>
      </c>
      <c r="D8" s="20">
        <v>85</v>
      </c>
      <c r="E8" s="23">
        <f>C8/D8</f>
        <v>1.0117647058824</v>
      </c>
      <c r="F8" s="21">
        <v>69</v>
      </c>
      <c r="G8" s="22">
        <v>77</v>
      </c>
      <c r="H8" s="23">
        <f>F8/G8</f>
        <v>0.8961038961039</v>
      </c>
      <c r="I8" s="19">
        <v>52</v>
      </c>
      <c r="J8" s="22">
        <v>69</v>
      </c>
      <c r="K8" s="24">
        <f>I8/J8</f>
        <v>0.7536231884058</v>
      </c>
      <c r="M8" s="1">
        <f>B8</f>
        <v>60</v>
      </c>
      <c r="N8" s="1">
        <f>IF($N$4="Holandês",VLOOKUP(M8,$B$6:$K$9,2,FALSE),IF($N$4="Girolando",VLOOKUP(M8,$B$6:$K$9,5,FALSE),IF($N$4="Jersey",VLOOKUP(M8,$B$6:$K$9,8,FALSE))))*$N$2</f>
        <v>0</v>
      </c>
      <c r="O8" s="1">
        <f>IF($N$4="Holandês",VLOOKUP(M8,$B$6:$K$9,2,FALSE),IF($N$4="Girolando",VLOOKUP(M8,$B$6:$K$9,5,FALSE),IF($N$4="Jersey",VLOOKUP(M8,$B$6:$K$9,8,FALSE))))*$O$2</f>
        <v>0</v>
      </c>
      <c r="P8" s="1">
        <f>IF($N$4="Holandês",VLOOKUP(M8,$B$6:$K$9,3,FALSE),IF($N$4="Girolando",VLOOKUP(M8,$B$6:$K$9,6,FALSE),IF($N$4="Jersey",VLOOKUP(M8,$B$6:$K$9,9,FALSE))))*$P$2</f>
        <v>0</v>
      </c>
      <c r="Q8" s="1">
        <f>IF($N$4="Holandês",VLOOKUP(M8,$B$6:$K$9,3,FALSE),IF($N$4="Girolando",VLOOKUP(M8,$B$6:$K$9,6,FALSE),IF($N$4="Jersey",VLOOKUP(M8,$B$6:$K$9,9,FALSE))))*$Q$2</f>
        <v>0</v>
      </c>
      <c r="R8" s="35" t="e">
        <f>N8/P8</f>
        <v>#DIV/0!</v>
      </c>
      <c r="S8" s="35" t="e">
        <f>O8/Q8</f>
        <v>#DIV/0!</v>
      </c>
    </row>
    <row r="9" spans="1:19" customHeight="1" ht="17">
      <c r="B9" s="28">
        <v>90</v>
      </c>
      <c r="C9" s="29">
        <v>104</v>
      </c>
      <c r="D9" s="30">
        <v>90</v>
      </c>
      <c r="E9" s="31">
        <f>C9/D9</f>
        <v>1.1555555555556</v>
      </c>
      <c r="F9" s="32">
        <v>85</v>
      </c>
      <c r="G9" s="33">
        <v>82</v>
      </c>
      <c r="H9" s="31">
        <f>F9/G9</f>
        <v>1.0365853658537</v>
      </c>
      <c r="I9" s="29">
        <v>66</v>
      </c>
      <c r="J9" s="33">
        <v>73</v>
      </c>
      <c r="K9" s="34">
        <f>I9/J9</f>
        <v>0.9041095890411</v>
      </c>
      <c r="M9" s="1">
        <f>B9</f>
        <v>90</v>
      </c>
      <c r="N9" s="1">
        <f>IF($N$4="Holandês",VLOOKUP(M9,$B$6:$K$9,2,FALSE),IF($N$4="Girolando",VLOOKUP(M9,$B$6:$K$9,5,FALSE),IF($N$4="Jersey",VLOOKUP(M9,$B$6:$K$9,8,FALSE))))*$N$2</f>
        <v>0</v>
      </c>
      <c r="O9" s="1">
        <f>IF($N$4="Holandês",VLOOKUP(M9,$B$6:$K$9,2,FALSE),IF($N$4="Girolando",VLOOKUP(M9,$B$6:$K$9,5,FALSE),IF($N$4="Jersey",VLOOKUP(M9,$B$6:$K$9,8,FALSE))))*$O$2</f>
        <v>0</v>
      </c>
      <c r="P9" s="1">
        <f>IF($N$4="Holandês",VLOOKUP(M9,$B$6:$K$9,3,FALSE),IF($N$4="Girolando",VLOOKUP(M9,$B$6:$K$9,6,FALSE),IF($N$4="Jersey",VLOOKUP(M9,$B$6:$K$9,9,FALSE))))*$P$2</f>
        <v>0</v>
      </c>
      <c r="Q9" s="1">
        <f>IF($N$4="Holandês",VLOOKUP(M9,$B$6:$K$9,3,FALSE),IF($N$4="Girolando",VLOOKUP(M9,$B$6:$K$9,6,FALSE),IF($N$4="Jersey",VLOOKUP(M9,$B$6:$K$9,9,FALSE))))*$Q$2</f>
        <v>0</v>
      </c>
      <c r="R9" s="35" t="e">
        <f>N9/P9</f>
        <v>#DIV/0!</v>
      </c>
      <c r="S9" s="35" t="e">
        <f>O9/Q9</f>
        <v>#DIV/0!</v>
      </c>
    </row>
    <row r="10" spans="1:19" customHeight="1" ht="16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1:19" customHeight="1" ht="16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1:19" customHeight="1" ht="16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1:19" customHeight="1" ht="16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1:19" customHeight="1" ht="16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1:19" customHeight="1" ht="16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1:19" customHeight="1" ht="16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1:19" customHeight="1" ht="16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1:19" customHeight="1" ht="16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1:19" customHeight="1" ht="16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1:19" customHeight="1" ht="16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1:19" customHeight="1" ht="16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1:19" customHeight="1" ht="16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1:19" customHeight="1" ht="16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1:19" customHeight="1" ht="16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1:19" customHeight="1" ht="16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1:19" customHeight="1" ht="16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1:19" customHeight="1" ht="16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1:19" customHeight="1" ht="16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1:19" customHeight="1" ht="16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1:19" customHeight="1" ht="16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1:19" customHeight="1" ht="19">
      <c r="B31" s="26"/>
      <c r="C31" s="336"/>
      <c r="D31" s="336"/>
      <c r="E31" s="27"/>
      <c r="F31" s="336"/>
      <c r="G31" s="336"/>
      <c r="H31" s="27"/>
      <c r="I31" s="336"/>
      <c r="J31" s="336"/>
    </row>
  </sheetData>
  <mergeCells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1">
    <tablePart r:id="rId_table_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4"/>
  <sheetViews>
    <sheetView tabSelected="0" workbookViewId="0" showGridLines="true" showRowColHeaders="1" topLeftCell="A3">
      <selection activeCell="B3" sqref="B3:F12"/>
    </sheetView>
  </sheetViews>
  <sheetFormatPr defaultRowHeight="14.4" defaultColWidth="8.83203125" outlineLevelRow="0" outlineLevelCol="0"/>
  <cols>
    <col min="1" max="1" width="3" customWidth="true" style="0"/>
    <col min="2" max="2" width="30.33203125" customWidth="true" style="0"/>
    <col min="3" max="3" width="20.5" customWidth="true" style="0"/>
    <col min="4" max="4" width="23.1640625" customWidth="true" style="0"/>
    <col min="5" max="5" width="39.5" customWidth="true" style="0"/>
    <col min="6" max="6" width="29.5" customWidth="true" style="0"/>
  </cols>
  <sheetData>
    <row r="2" spans="1:6" customHeight="1" ht="72">
      <c r="B2" s="345" t="s">
        <v>278</v>
      </c>
      <c r="C2" s="346"/>
      <c r="D2" s="346"/>
      <c r="E2" s="346"/>
      <c r="F2" s="347"/>
    </row>
    <row r="4" spans="1:6" customHeight="1" ht="32.25"/>
  </sheetData>
  <mergeCells>
    <mergeCell ref="B2:F2"/>
  </mergeCells>
  <printOptions gridLines="false" gridLinesSet="true"/>
  <pageMargins left="0.511811024" right="0.511811024" top="0.787401575" bottom="0.787401575" header="0.31496062" footer="0.31496062"/>
  <pageSetup paperSize="9" orientation="landscape" scale="93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6"/>
  <sheetViews>
    <sheetView tabSelected="0" workbookViewId="0" showGridLines="true" showRowColHeaders="1">
      <selection activeCell="I30" sqref="I30"/>
    </sheetView>
  </sheetViews>
  <sheetFormatPr defaultRowHeight="14.4" defaultColWidth="12.5" outlineLevelRow="0" outlineLevelCol="0"/>
  <cols>
    <col min="1" max="1" width="5.6640625" customWidth="true" style="0"/>
    <col min="2" max="2" width="26.83203125" customWidth="true" style="0"/>
    <col min="7" max="7" width="14.33203125" customWidth="true" style="0"/>
    <col min="9" max="9" width="21.33203125" customWidth="true" style="0"/>
  </cols>
  <sheetData>
    <row r="16" spans="1:9" customHeight="1" ht="19"/>
  </sheetData>
  <printOptions gridLines="false" gridLinesSet="true"/>
  <pageMargins left="0.51181102362205" right="0.51181102362205" top="0.78740157480315" bottom="0.78740157480315" header="0.31496062992126" footer="0.31496062992126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73"/>
  <sheetViews>
    <sheetView tabSelected="0" workbookViewId="0" zoomScale="85" zoomScaleNormal="85" showGridLines="true" showRowColHeaders="1">
      <selection activeCell="B47" sqref="B47"/>
    </sheetView>
  </sheetViews>
  <sheetFormatPr defaultRowHeight="14.4" defaultColWidth="8.83203125" outlineLevelRow="0" outlineLevelCol="0"/>
  <cols>
    <col min="1" max="1" width="43.6640625" customWidth="true" style="0"/>
    <col min="2" max="2" width="20.1640625" customWidth="true" style="0"/>
    <col min="3" max="3" width="49.5" customWidth="true" style="39"/>
    <col min="4" max="4" width="25" customWidth="true" style="39"/>
    <col min="5" max="5" width="12.6640625" customWidth="true" style="39"/>
    <col min="6" max="6" width="12.6640625" customWidth="true" style="0"/>
    <col min="7" max="7" width="6.6640625" customWidth="true" style="0"/>
    <col min="8" max="8" width="11" customWidth="true" style="0"/>
    <col min="9" max="9" width="32.5" customWidth="true" style="39"/>
    <col min="10" max="10" width="16.83203125" customWidth="true" style="39"/>
    <col min="11" max="11" width="16.83203125" customWidth="true" style="39"/>
    <col min="13" max="13" width="23.6640625" customWidth="true" style="0"/>
    <col min="14" max="14" width="15.33203125" customWidth="true" style="0"/>
    <col min="15" max="15" width="15.5" customWidth="true" style="0"/>
    <col min="16" max="16" width="14" customWidth="true" style="0"/>
    <col min="17" max="17" width="12.6640625" customWidth="true" style="0"/>
  </cols>
  <sheetData>
    <row r="2" spans="1:17" customHeight="1" ht="14.25"/>
    <row r="3" spans="1:17" customHeight="1" ht="18.75"/>
    <row r="4" spans="1:17" customHeight="1" ht="15.75"/>
    <row r="5" spans="1:17" customHeight="1" ht="15.75"/>
    <row r="6" spans="1:17" customHeight="1" ht="16.5"/>
    <row r="7" spans="1:17" customHeight="1" ht="17.25"/>
    <row r="8" spans="1:17" customHeight="1" ht="15.75">
      <c r="J8"/>
      <c r="K8"/>
    </row>
    <row r="9" spans="1:17" customHeight="1" ht="18.75">
      <c r="J9"/>
      <c r="K9"/>
    </row>
    <row r="10" spans="1:17" customHeight="1" ht="15.75">
      <c r="J10"/>
      <c r="K10"/>
    </row>
    <row r="11" spans="1:17" customHeight="1" ht="18">
      <c r="J11"/>
      <c r="K11"/>
    </row>
    <row r="12" spans="1:17" customHeight="1" ht="10.5" hidden="true">
      <c r="J12"/>
      <c r="K12"/>
    </row>
    <row r="13" spans="1:17" customHeight="1" ht="17.25">
      <c r="J13"/>
      <c r="K13"/>
    </row>
    <row r="14" spans="1:17" customHeight="1" ht="17.25">
      <c r="J14"/>
      <c r="K14"/>
    </row>
    <row r="15" spans="1:17" customHeight="1" ht="17.25">
      <c r="J15"/>
      <c r="K15"/>
    </row>
    <row r="16" spans="1:17" customHeight="1" ht="17.25">
      <c r="J16"/>
      <c r="K16"/>
    </row>
    <row r="17" spans="1:17" customHeight="1" ht="17.25">
      <c r="J17"/>
      <c r="K17"/>
    </row>
    <row r="18" spans="1:17" customHeight="1" ht="17.25">
      <c r="J18"/>
      <c r="K18"/>
    </row>
    <row r="19" spans="1:17" customHeight="1" ht="17.25">
      <c r="J19"/>
      <c r="K19"/>
    </row>
    <row r="20" spans="1:17" customHeight="1" ht="17.25">
      <c r="J20"/>
      <c r="K20"/>
    </row>
    <row r="21" spans="1:17" customHeight="1" ht="17.25">
      <c r="J21"/>
      <c r="K21"/>
    </row>
    <row r="22" spans="1:17" customHeight="1" ht="17.25">
      <c r="J22"/>
      <c r="K22"/>
    </row>
    <row r="23" spans="1:17" customHeight="1" ht="17.25">
      <c r="J23"/>
      <c r="K23"/>
    </row>
    <row r="24" spans="1:17" customHeight="1" ht="17.25">
      <c r="J24"/>
      <c r="K24"/>
    </row>
    <row r="25" spans="1:17" customHeight="1" ht="17.25">
      <c r="J25"/>
      <c r="K25"/>
    </row>
    <row r="26" spans="1:17" customHeight="1" ht="17.25">
      <c r="J26"/>
      <c r="K26"/>
    </row>
    <row r="27" spans="1:17" customHeight="1" ht="17.25">
      <c r="J27"/>
      <c r="K27"/>
    </row>
    <row r="28" spans="1:17" customHeight="1" ht="17.25">
      <c r="J28"/>
      <c r="K28"/>
    </row>
    <row r="29" spans="1:17" customHeight="1" ht="17.25">
      <c r="J29"/>
      <c r="K29"/>
    </row>
    <row r="30" spans="1:17" customHeight="1" ht="17.25"/>
    <row r="31" spans="1:17" customHeight="1" ht="17.25"/>
    <row r="32" spans="1:17" customHeight="1" ht="17.25"/>
    <row r="33" spans="1:17" customHeight="1" ht="17.25"/>
    <row r="34" spans="1:17" customHeight="1" ht="17.25"/>
    <row r="35" spans="1:17" customHeight="1" ht="17.25"/>
    <row r="36" spans="1:17" customHeight="1" ht="17.25"/>
    <row r="37" spans="1:17" customHeight="1" ht="17.25"/>
    <row r="38" spans="1:17" customHeight="1" ht="17.25"/>
    <row r="39" spans="1:17" customHeight="1" ht="17.25"/>
    <row r="40" spans="1:17" customHeight="1" ht="17.25">
      <c r="C40"/>
      <c r="D40"/>
      <c r="E40"/>
    </row>
    <row r="41" spans="1:17" customHeight="1" ht="17.25">
      <c r="C41"/>
      <c r="D41"/>
      <c r="E41"/>
    </row>
    <row r="42" spans="1:17" customHeight="1" ht="17.25">
      <c r="C42"/>
      <c r="D42"/>
      <c r="E42"/>
    </row>
    <row r="43" spans="1:17" customHeight="1" ht="17.25">
      <c r="C43"/>
      <c r="D43"/>
      <c r="E43"/>
    </row>
    <row r="44" spans="1:17" customHeight="1" ht="17.25">
      <c r="C44"/>
      <c r="D44"/>
      <c r="E44"/>
    </row>
    <row r="45" spans="1:17" customHeight="1" ht="17.25">
      <c r="C45"/>
      <c r="D45"/>
      <c r="E45"/>
    </row>
    <row r="46" spans="1:17" customHeight="1" ht="17.25">
      <c r="C46"/>
      <c r="D46"/>
      <c r="E46"/>
    </row>
    <row r="47" spans="1:17" customHeight="1" ht="17.25">
      <c r="C47"/>
      <c r="D47"/>
      <c r="E47"/>
    </row>
    <row r="48" spans="1:17" customHeight="1" ht="17.25"/>
    <row r="49" spans="1:17" customHeight="1" ht="17.25"/>
    <row r="50" spans="1:17" customHeight="1" ht="17.25"/>
    <row r="51" spans="1:17" customHeight="1" ht="17.25"/>
    <row r="52" spans="1:17" customHeight="1" ht="17.25"/>
    <row r="53" spans="1:17" customHeight="1" ht="17.25"/>
    <row r="54" spans="1:17" customHeight="1" ht="17.25"/>
    <row r="55" spans="1:17" customHeight="1" ht="17.25"/>
    <row r="56" spans="1:17" customHeight="1" ht="17.25"/>
    <row r="57" spans="1:17" customHeight="1" ht="17.25"/>
    <row r="58" spans="1:17" customHeight="1" ht="17.25"/>
    <row r="59" spans="1:17" customHeight="1" ht="17.25"/>
    <row r="60" spans="1:17" customHeight="1" ht="17.25"/>
    <row r="61" spans="1:17" customHeight="1" ht="17.25"/>
    <row r="62" spans="1:17" customHeight="1" ht="17.25"/>
    <row r="63" spans="1:17" customHeight="1" ht="17.25"/>
    <row r="64" spans="1:17" customHeight="1" ht="17.25"/>
    <row r="65" spans="1:17" customHeight="1" ht="17.25"/>
    <row r="66" spans="1:17" customHeight="1" ht="17.25"/>
    <row r="67" spans="1:17" customHeight="1" ht="17.25"/>
    <row r="68" spans="1:17" customHeight="1" ht="17.25"/>
    <row r="69" spans="1:17" customHeight="1" ht="17.25"/>
    <row r="70" spans="1:17" customHeight="1" ht="17.25"/>
    <row r="71" spans="1:17" customHeight="1" ht="17.25"/>
    <row r="72" spans="1:17" customHeight="1" ht="17.25"/>
    <row r="73" spans="1:17" customHeight="1" ht="17.25"/>
  </sheetData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73"/>
  <sheetViews>
    <sheetView tabSelected="0" workbookViewId="0" zoomScale="85" zoomScaleNormal="85" showGridLines="true" showRowColHeaders="1">
      <selection activeCell="A1" sqref="A1:F54"/>
    </sheetView>
  </sheetViews>
  <sheetFormatPr defaultRowHeight="14.4" defaultColWidth="8.83203125" outlineLevelRow="0" outlineLevelCol="0"/>
  <cols>
    <col min="1" max="1" width="31" customWidth="true" style="0"/>
    <col min="2" max="2" width="16" customWidth="true" style="0"/>
    <col min="3" max="3" width="38.1640625" customWidth="true" style="0"/>
    <col min="4" max="4" width="19.1640625" customWidth="true" style="0"/>
    <col min="5" max="5" width="11.6640625" customWidth="true" style="0"/>
    <col min="6" max="6" width="9.1640625" customWidth="true" style="0"/>
    <col min="7" max="7" width="9.1640625" customWidth="true" style="0"/>
    <col min="9" max="9" width="47.5" customWidth="true" style="39"/>
    <col min="10" max="10" width="16.83203125" customWidth="true" style="39"/>
    <col min="11" max="11" width="16.83203125" customWidth="true" style="39"/>
  </cols>
  <sheetData>
    <row r="2" spans="1:12" customHeight="1" ht="14.25">
      <c r="I2" s="38"/>
      <c r="J2" s="41"/>
      <c r="K2" s="41"/>
    </row>
    <row r="3" spans="1:12" customHeight="1" ht="18.75">
      <c r="I3" s="38"/>
      <c r="J3" s="41"/>
      <c r="K3" s="41"/>
    </row>
    <row r="4" spans="1:12" customHeight="1" ht="15.75">
      <c r="I4" s="38"/>
      <c r="J4" s="42"/>
      <c r="K4" s="42"/>
    </row>
    <row r="5" spans="1:12" customHeight="1" ht="15.75"/>
    <row r="6" spans="1:12" customHeight="1" ht="16.5"/>
    <row r="7" spans="1:12" customHeight="1" ht="17.25"/>
    <row r="8" spans="1:12" customHeight="1" ht="15.75">
      <c r="I8" s="43"/>
      <c r="J8" s="43"/>
      <c r="K8" s="43"/>
    </row>
    <row r="9" spans="1:12" customHeight="1" ht="18.75">
      <c r="I9" s="44"/>
      <c r="J9" s="45"/>
      <c r="K9" s="45"/>
      <c r="L9" s="46"/>
    </row>
    <row r="10" spans="1:12" customHeight="1" ht="15.75">
      <c r="I10" s="44"/>
      <c r="J10" s="45"/>
      <c r="K10" s="45"/>
      <c r="L10" s="46"/>
    </row>
    <row r="11" spans="1:12" customHeight="1" ht="18">
      <c r="I11" s="44"/>
      <c r="J11" s="45"/>
      <c r="K11" s="45"/>
      <c r="L11" s="47"/>
    </row>
    <row r="12" spans="1:12" customHeight="1" ht="10.5" hidden="true">
      <c r="I12" s="44"/>
      <c r="J12" s="45"/>
      <c r="K12" s="45"/>
      <c r="L12" s="48"/>
    </row>
    <row r="13" spans="1:12" customHeight="1" ht="17.25">
      <c r="I13" s="44"/>
      <c r="J13" s="49"/>
      <c r="K13" s="49"/>
      <c r="L13" s="48"/>
    </row>
    <row r="14" spans="1:12" customHeight="1" ht="17.25">
      <c r="I14" s="330"/>
      <c r="J14" s="331"/>
      <c r="K14" s="331"/>
      <c r="L14" s="48"/>
    </row>
    <row r="15" spans="1:12" customHeight="1" ht="17.25">
      <c r="I15" s="330"/>
      <c r="J15" s="331"/>
      <c r="K15" s="331"/>
      <c r="L15" s="50"/>
    </row>
    <row r="16" spans="1:12" customHeight="1" ht="17.25">
      <c r="I16" s="330"/>
      <c r="J16" s="331"/>
      <c r="K16" s="331"/>
      <c r="L16" s="48"/>
    </row>
    <row r="17" spans="1:12" customHeight="1" ht="17.25">
      <c r="I17" s="330"/>
      <c r="J17" s="331"/>
      <c r="K17" s="331"/>
    </row>
    <row r="18" spans="1:12" customHeight="1" ht="17.25">
      <c r="I18" s="330"/>
      <c r="J18" s="331"/>
      <c r="K18" s="331"/>
    </row>
    <row r="19" spans="1:12" customHeight="1" ht="17.25">
      <c r="I19" s="330"/>
      <c r="J19" s="331"/>
      <c r="K19" s="331"/>
    </row>
    <row r="20" spans="1:12" customHeight="1" ht="17.25"/>
    <row r="21" spans="1:12" customHeight="1" ht="17.25"/>
    <row r="22" spans="1:12" customHeight="1" ht="17.25"/>
    <row r="23" spans="1:12" customHeight="1" ht="17.25"/>
    <row r="24" spans="1:12" customHeight="1" ht="17.25"/>
    <row r="25" spans="1:12" customHeight="1" ht="17.25"/>
    <row r="26" spans="1:12" customHeight="1" ht="17.25"/>
    <row r="27" spans="1:12" customHeight="1" ht="17.25"/>
    <row r="28" spans="1:12" customHeight="1" ht="17.25"/>
    <row r="29" spans="1:12" customHeight="1" ht="17.25"/>
    <row r="30" spans="1:12" customHeight="1" ht="17.25"/>
    <row r="31" spans="1:12" customHeight="1" ht="17.25"/>
    <row r="32" spans="1:12" customHeight="1" ht="17.25"/>
    <row r="33" spans="1:12" customHeight="1" ht="17.25"/>
    <row r="34" spans="1:12" customHeight="1" ht="17.25"/>
    <row r="35" spans="1:12" customHeight="1" ht="17.25"/>
    <row r="36" spans="1:12" customHeight="1" ht="17.25"/>
    <row r="37" spans="1:12" customHeight="1" ht="17.25"/>
    <row r="38" spans="1:12" customHeight="1" ht="17.25"/>
    <row r="39" spans="1:12" customHeight="1" ht="17.25"/>
    <row r="40" spans="1:12" customHeight="1" ht="17.25"/>
    <row r="41" spans="1:12" customHeight="1" ht="17.25"/>
    <row r="42" spans="1:12" customHeight="1" ht="17.25"/>
    <row r="43" spans="1:12" customHeight="1" ht="17.25"/>
    <row r="44" spans="1:12" customHeight="1" ht="17.25"/>
    <row r="45" spans="1:12" customHeight="1" ht="17.25"/>
    <row r="46" spans="1:12" customHeight="1" ht="17.25"/>
    <row r="47" spans="1:12" customHeight="1" ht="17.25"/>
    <row r="48" spans="1:12" customHeight="1" ht="17.25"/>
    <row r="49" spans="1:12" customHeight="1" ht="17.25"/>
    <row r="50" spans="1:12" customHeight="1" ht="17.25"/>
    <row r="51" spans="1:12" customHeight="1" ht="17.25"/>
    <row r="52" spans="1:12" customHeight="1" ht="17.25"/>
    <row r="53" spans="1:12" customHeight="1" ht="17.25"/>
    <row r="54" spans="1:12" customHeight="1" ht="17.25"/>
    <row r="55" spans="1:12" customHeight="1" ht="17.25"/>
    <row r="56" spans="1:12" customHeight="1" ht="17.25"/>
    <row r="57" spans="1:12" customHeight="1" ht="17.25"/>
    <row r="58" spans="1:12" customHeight="1" ht="17.25"/>
    <row r="59" spans="1:12" customHeight="1" ht="17.25"/>
    <row r="60" spans="1:12" customHeight="1" ht="17.25"/>
    <row r="61" spans="1:12" customHeight="1" ht="17.25"/>
    <row r="62" spans="1:12" customHeight="1" ht="17.25"/>
    <row r="63" spans="1:12" customHeight="1" ht="17.25"/>
    <row r="64" spans="1:12" customHeight="1" ht="17.25"/>
    <row r="65" spans="1:12" customHeight="1" ht="17.25"/>
    <row r="66" spans="1:12" customHeight="1" ht="17.25"/>
    <row r="67" spans="1:12" customHeight="1" ht="17.25"/>
    <row r="68" spans="1:12" customHeight="1" ht="17.25"/>
    <row r="69" spans="1:12" customHeight="1" ht="17.25"/>
    <row r="70" spans="1:12" customHeight="1" ht="17.25"/>
    <row r="71" spans="1:12" customHeight="1" ht="17.25"/>
    <row r="72" spans="1:12" customHeight="1" ht="17.25"/>
    <row r="73" spans="1:12" customHeight="1" ht="17.25"/>
  </sheetData>
  <mergeCells>
    <mergeCell ref="I14:I16"/>
    <mergeCell ref="J14:J16"/>
    <mergeCell ref="K14:K16"/>
    <mergeCell ref="I17:I19"/>
    <mergeCell ref="J17:J19"/>
    <mergeCell ref="K17:K19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9"/>
  <sheetViews>
    <sheetView tabSelected="0" workbookViewId="0" showGridLines="true" showRowColHeaders="1">
      <pane xSplit="21" ySplit="28" topLeftCell="V29" activePane="bottomRight" state="frozen"/>
      <selection pane="topRight"/>
      <selection pane="bottomLeft"/>
      <selection pane="bottomRight" activeCell="V1" sqref="V1"/>
    </sheetView>
  </sheetViews>
  <sheetFormatPr defaultRowHeight="14.4" defaultColWidth="0" outlineLevelRow="0" outlineLevelCol="0"/>
  <cols>
    <col min="1" max="1" width="9.1640625" customWidth="true" style="0"/>
    <col min="2" max="2" width="9.1640625" customWidth="true" style="0"/>
    <col min="3" max="3" width="9.1640625" customWidth="true" style="0"/>
    <col min="4" max="4" width="9.1640625" customWidth="true" style="0"/>
    <col min="5" max="5" width="9.1640625" customWidth="true" style="0"/>
    <col min="6" max="6" width="9.1640625" customWidth="true" style="0"/>
    <col min="7" max="7" width="9.1640625" customWidth="true" style="0"/>
    <col min="8" max="8" width="9.1640625" customWidth="true" style="0"/>
    <col min="9" max="9" width="9.1640625" customWidth="true" style="0"/>
    <col min="10" max="10" width="9.1640625" customWidth="true" style="0"/>
    <col min="11" max="11" width="9.1640625" customWidth="true" style="0"/>
    <col min="12" max="12" width="9.1640625" customWidth="true" style="0"/>
    <col min="13" max="13" width="9.1640625" customWidth="true" style="0"/>
    <col min="14" max="14" width="9.1640625" customWidth="true" style="0"/>
    <col min="15" max="15" width="9.1640625" customWidth="true" style="0"/>
    <col min="16" max="16" width="9.1640625" customWidth="true" style="0"/>
    <col min="17" max="17" width="9.1640625" customWidth="true" style="0"/>
    <col min="18" max="18" width="9.1640625" customWidth="true" style="0"/>
    <col min="19" max="19" width="9.1640625" customWidth="true" style="0"/>
    <col min="20" max="20" width="14.33203125" customWidth="true" style="0"/>
    <col min="21" max="21" width="9.5" customWidth="true" style="0"/>
    <col min="22" max="22" width="4.33203125" hidden="true" customWidth="true" style="0"/>
    <col min="23" max="23" width="9.1640625" hidden="true" customWidth="true" style="0"/>
  </cols>
  <sheetData>
    <row r="1" spans="1:23" customHeight="1" ht="15"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3" customHeight="1" ht="15"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3" customHeight="1" ht="15"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3" customHeight="1" ht="15"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3" customHeight="1" ht="15"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26" spans="1:2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S26" s="51"/>
      <c r="T26" s="51"/>
      <c r="U26" s="51"/>
    </row>
    <row r="27" spans="1:23" customHeight="1" ht="35.25">
      <c r="A27" s="332"/>
      <c r="B27" s="332"/>
      <c r="C27" s="332"/>
      <c r="D27" s="332"/>
      <c r="E27" s="332"/>
      <c r="F27" s="332"/>
    </row>
    <row r="28" spans="1:23" customHeight="1" ht="23.25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3" customHeight="1" ht="8.25"/>
  </sheetData>
  <mergeCells>
    <mergeCell ref="A27:F27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7"/>
  <sheetViews>
    <sheetView tabSelected="0" workbookViewId="0" showGridLines="true" showRowColHeaders="1">
      <selection activeCell="A1" sqref="A1:H26"/>
    </sheetView>
  </sheetViews>
  <sheetFormatPr defaultRowHeight="14.4" defaultColWidth="9.1640625" outlineLevelRow="0" outlineLevelCol="0"/>
  <cols>
    <col min="1" max="1" width="31" customWidth="true" style="53"/>
    <col min="2" max="2" width="9" customWidth="true" style="53"/>
    <col min="3" max="3" width="9" customWidth="true" style="53"/>
    <col min="4" max="4" width="13" customWidth="true" style="53"/>
    <col min="5" max="5" width="21.33203125" customWidth="true" style="53"/>
    <col min="6" max="6" width="14" customWidth="true" style="53"/>
    <col min="7" max="7" width="22.83203125" customWidth="true" style="53"/>
    <col min="8" max="8" width="17.5" customWidth="true" style="53"/>
    <col min="9" max="9" width="17.5" customWidth="true" style="53"/>
    <col min="10" max="10" width="35" customWidth="true" style="53"/>
    <col min="11" max="11" width="9.1640625" style="53"/>
    <col min="12" max="12" width="9.1640625" style="53"/>
    <col min="13" max="13" width="9.1640625" style="53"/>
    <col min="14" max="14" width="9.1640625" style="53"/>
    <col min="15" max="15" width="9.1640625" style="53"/>
    <col min="16" max="16" width="9.1640625" style="53"/>
    <col min="17" max="17" width="9.1640625" style="53"/>
    <col min="18" max="18" width="9.1640625" style="53"/>
    <col min="19" max="19" width="6.33203125" customWidth="true" style="53"/>
    <col min="20" max="20" width="10.33203125" customWidth="true" style="53"/>
    <col min="21" max="21" width="20.33203125" customWidth="true" style="53"/>
    <col min="22" max="22" width="9.1640625" style="53"/>
    <col min="23" max="23" width="9.1640625" style="53"/>
    <col min="24" max="24" width="10.33203125" customWidth="true" style="53"/>
    <col min="25" max="25" width="9.1640625" style="53"/>
    <col min="26" max="26" width="9.1640625" style="53"/>
    <col min="27" max="27" width="9.1640625" style="53"/>
    <col min="28" max="28" width="9.1640625" style="53"/>
    <col min="29" max="29" width="9.1640625" style="53"/>
    <col min="30" max="30" width="9.1640625" style="53"/>
    <col min="31" max="31" width="13.1640625" customWidth="true" style="53"/>
    <col min="32" max="32" width="9.1640625" style="53"/>
  </cols>
  <sheetData>
    <row r="1" spans="1:33" customHeight="1" ht="15">
      <c r="I1" s="54"/>
      <c r="J1" s="54"/>
      <c r="K1" s="54"/>
      <c r="L1" s="54"/>
      <c r="M1" s="54"/>
      <c r="N1" s="54"/>
      <c r="AF1" s="54"/>
      <c r="AG1" s="54"/>
    </row>
    <row r="2" spans="1:33" customHeight="1" ht="15">
      <c r="I2" s="54"/>
      <c r="J2" s="54"/>
      <c r="K2" s="54"/>
      <c r="L2" s="54"/>
      <c r="M2" s="54"/>
      <c r="N2" s="54"/>
      <c r="AF2" s="54"/>
      <c r="AG2" s="54"/>
    </row>
    <row r="3" spans="1:33" customHeight="1" ht="15">
      <c r="I3" s="54"/>
      <c r="J3" s="54"/>
      <c r="K3" s="54"/>
      <c r="L3" s="54"/>
      <c r="M3" s="54"/>
      <c r="N3" s="54"/>
      <c r="AF3" s="54"/>
      <c r="AG3" s="54"/>
    </row>
    <row r="5" spans="1:33" customHeight="1" ht="15"/>
    <row r="6" spans="1:33" customHeight="1" ht="15.75"/>
    <row r="7" spans="1:33" customHeight="1" ht="15"/>
    <row r="8" spans="1:33" customHeight="1" ht="15"/>
    <row r="9" spans="1:33" customHeight="1" ht="15"/>
    <row r="10" spans="1:33" customHeight="1" ht="15"/>
    <row r="11" spans="1:33" customHeight="1" ht="15"/>
    <row r="12" spans="1:33" customHeight="1" ht="15"/>
    <row r="13" spans="1:33" customHeight="1" ht="15"/>
    <row r="14" spans="1:33" customHeight="1" ht="15.75"/>
    <row r="15" spans="1:33" customHeight="1" ht="16"/>
    <row r="16" spans="1:33" customHeight="1" ht="15"/>
    <row r="17" spans="1:33" customHeight="1" ht="15.75"/>
    <row r="18" spans="1:33" customHeight="1" ht="15"/>
    <row r="19" spans="1:33" customHeight="1" ht="15"/>
    <row r="20" spans="1:33" customHeight="1" ht="15"/>
    <row r="21" spans="1:33" customHeight="1" ht="14.25"/>
    <row r="30" spans="1:33">
      <c r="A30" s="55"/>
    </row>
    <row r="31" spans="1:33">
      <c r="A31" s="55"/>
    </row>
    <row r="32" spans="1:33">
      <c r="A32" s="55"/>
    </row>
    <row r="33" spans="1:33">
      <c r="A33" s="55"/>
    </row>
    <row r="34" spans="1:33">
      <c r="A34" s="55"/>
    </row>
    <row r="35" spans="1:33">
      <c r="A35" s="55"/>
    </row>
    <row r="36" spans="1:33">
      <c r="A36" s="55"/>
    </row>
    <row r="37" spans="1:33">
      <c r="A37" s="55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E29" sqref="E29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40.33203125" customWidth="true" style="0"/>
    <col min="4" max="4" width="42.332031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33"/>
      <c r="V2" s="333"/>
      <c r="W2" s="40"/>
    </row>
    <row r="3" spans="1:29" customHeight="1" ht="18.75">
      <c r="U3" s="333"/>
      <c r="V3" s="333"/>
      <c r="W3" s="40"/>
    </row>
    <row r="4" spans="1:29" customHeight="1" ht="15.75">
      <c r="U4" s="333"/>
      <c r="V4" s="333"/>
      <c r="W4" s="40"/>
    </row>
    <row r="5" spans="1:29" customHeight="1" ht="15.75">
      <c r="U5" s="333"/>
      <c r="V5" s="333"/>
      <c r="W5" s="40"/>
    </row>
    <row r="6" spans="1:29" customHeight="1" ht="24">
      <c r="K6" s="56"/>
      <c r="U6" s="333"/>
      <c r="V6" s="333"/>
      <c r="W6" s="40"/>
    </row>
    <row r="7" spans="1:29" customHeight="1" ht="24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A1" sqref="A1:I50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24" customWidth="true" style="0"/>
    <col min="4" max="4" width="20.66406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33"/>
      <c r="V2" s="333"/>
      <c r="W2" s="40"/>
    </row>
    <row r="3" spans="1:29" customHeight="1" ht="18.75">
      <c r="U3" s="333"/>
      <c r="V3" s="333"/>
      <c r="W3" s="40"/>
    </row>
    <row r="4" spans="1:29" customHeight="1" ht="15.75">
      <c r="U4" s="333"/>
      <c r="V4" s="333"/>
      <c r="W4" s="40"/>
    </row>
    <row r="5" spans="1:29" customHeight="1" ht="15.75">
      <c r="U5" s="333"/>
      <c r="V5" s="333"/>
      <c r="W5" s="40"/>
    </row>
    <row r="6" spans="1:29" customHeight="1" ht="30">
      <c r="K6" s="56"/>
      <c r="U6" s="333"/>
      <c r="V6" s="333"/>
      <c r="W6" s="40"/>
    </row>
    <row r="7" spans="1:29" customHeight="1" ht="35.25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1" spans="1:29" customHeight="1" ht="33"/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9"/>
  <sheetViews>
    <sheetView tabSelected="0" workbookViewId="0" showGridLines="true" showRowColHeaders="1">
      <selection activeCell="L31" sqref="L31"/>
    </sheetView>
  </sheetViews>
  <sheetFormatPr defaultRowHeight="14.4" defaultColWidth="9.1640625" outlineLevelRow="0" outlineLevelCol="0"/>
  <cols>
    <col min="1" max="1" width="11" customWidth="true" style="57"/>
    <col min="2" max="2" width="12.1640625" customWidth="true" style="57"/>
    <col min="3" max="3" width="10" customWidth="true" style="57"/>
    <col min="4" max="4" width="6.5" customWidth="true" style="57"/>
    <col min="5" max="5" width="9.1640625" style="57"/>
    <col min="6" max="6" width="9.1640625" style="57"/>
    <col min="7" max="7" width="11.6640625" customWidth="true" style="57"/>
    <col min="8" max="8" width="9.1640625" style="57"/>
    <col min="9" max="9" width="9.1640625" style="57"/>
    <col min="10" max="10" width="9.1640625" style="57"/>
    <col min="11" max="11" width="9.1640625" style="57"/>
    <col min="12" max="12" width="9.1640625" style="57"/>
    <col min="13" max="13" width="9.1640625" style="57"/>
    <col min="14" max="14" width="9.1640625" style="57"/>
    <col min="15" max="15" width="9.1640625" style="57"/>
    <col min="16" max="16" width="9.1640625" style="57"/>
    <col min="17" max="17" width="9.1640625" style="57"/>
    <col min="18" max="18" width="9.1640625" style="57"/>
    <col min="19" max="19" width="9.1640625" style="57"/>
    <col min="20" max="20" width="7.1640625" customWidth="true" style="57"/>
    <col min="21" max="21" width="7.1640625" customWidth="true" style="57"/>
    <col min="22" max="22" width="7.1640625" customWidth="true" style="57"/>
    <col min="23" max="23" width="7.1640625" customWidth="true" style="57"/>
    <col min="24" max="24" width="9.1640625" style="57"/>
    <col min="25" max="25" width="9.1640625" style="57"/>
    <col min="26" max="26" width="8.5" customWidth="true" style="57"/>
    <col min="27" max="27" width="11.5" customWidth="true" style="57"/>
    <col min="28" max="28" width="9.1640625" style="57"/>
    <col min="29" max="29" width="9.1640625" style="57"/>
    <col min="30" max="30" width="9.1640625" style="57"/>
    <col min="31" max="31" width="9.1640625" style="57"/>
    <col min="32" max="32" width="9.1640625" style="57"/>
    <col min="33" max="33" width="9.1640625" style="57"/>
    <col min="34" max="34" width="9.1640625" style="57"/>
    <col min="35" max="35" width="9.1640625" style="57"/>
    <col min="36" max="36" width="9.1640625" style="57"/>
    <col min="37" max="37" width="9.1640625" style="57"/>
    <col min="38" max="38" width="10" customWidth="true" style="57"/>
    <col min="39" max="39" width="9.1640625" style="57"/>
  </cols>
  <sheetData>
    <row r="7" spans="1:42" customHeight="1" ht="16.5">
      <c r="AO7" s="58"/>
      <c r="AP7" s="58"/>
    </row>
    <row r="8" spans="1:42" customHeight="1" ht="21.75"/>
    <row r="9" spans="1:42" s="58" customFormat="1">
      <c r="AO9" s="57"/>
      <c r="AP9" s="57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0"/>
  <sheetViews>
    <sheetView tabSelected="0" workbookViewId="0" showGridLines="true" showRowColHeaders="1">
      <selection activeCell="S33" sqref="S33"/>
    </sheetView>
  </sheetViews>
  <sheetFormatPr defaultRowHeight="14.4" defaultColWidth="8.83203125" outlineLevelRow="0" outlineLevelCol="0"/>
  <cols>
    <col min="1" max="1" width="25.83203125" customWidth="true" style="53"/>
    <col min="2" max="2" width="23.6640625" customWidth="true" style="53"/>
    <col min="3" max="3" width="5.6640625" customWidth="true" style="53"/>
    <col min="4" max="4" width="4.1640625" customWidth="true" style="53"/>
    <col min="5" max="5" width="12.1640625" customWidth="true" style="53"/>
    <col min="6" max="6" width="8.83203125" style="53"/>
    <col min="7" max="7" width="8.83203125" style="53"/>
    <col min="8" max="8" width="8.83203125" style="53"/>
    <col min="9" max="9" width="8.83203125" style="53"/>
    <col min="10" max="10" width="20.33203125" customWidth="true" style="53"/>
    <col min="11" max="11" width="5.6640625" customWidth="true" style="53"/>
    <col min="12" max="12" width="8.83203125" style="53"/>
    <col min="13" max="13" width="8.83203125" style="53"/>
    <col min="14" max="14" width="8.1640625" customWidth="true" style="53"/>
    <col min="15" max="15" width="8.83203125" style="53"/>
  </cols>
  <sheetData>
    <row r="3" spans="1:19">
      <c r="R3" s="59"/>
    </row>
    <row r="4" spans="1:19">
      <c r="R4" s="59"/>
    </row>
    <row r="5" spans="1:19">
      <c r="R5" s="59"/>
    </row>
    <row r="6" spans="1:19">
      <c r="R6" s="59"/>
      <c r="S6" s="60"/>
    </row>
    <row r="7" spans="1:19">
      <c r="R7" s="59"/>
    </row>
    <row r="8" spans="1:19">
      <c r="P8" s="60"/>
      <c r="Q8" s="60"/>
      <c r="R8" s="59"/>
      <c r="S8" s="60"/>
    </row>
    <row r="9" spans="1:19">
      <c r="P9" s="61"/>
      <c r="Q9" s="61"/>
      <c r="R9" s="59"/>
      <c r="S9" s="61"/>
    </row>
    <row r="10" spans="1:19">
      <c r="R10" s="59"/>
    </row>
    <row r="11" spans="1:19">
      <c r="R11" s="59"/>
      <c r="S11" s="60"/>
    </row>
    <row r="12" spans="1:19">
      <c r="R12" s="59"/>
    </row>
    <row r="13" spans="1:19" customHeight="1" ht="15">
      <c r="R13" s="59"/>
    </row>
    <row r="14" spans="1:19">
      <c r="R14" s="59"/>
    </row>
    <row r="15" spans="1:19">
      <c r="R15" s="59"/>
    </row>
    <row r="16" spans="1:19">
      <c r="R16" s="59"/>
    </row>
    <row r="17" spans="1:19">
      <c r="R17" s="59"/>
    </row>
    <row r="18" spans="1:19">
      <c r="R18" s="59"/>
    </row>
    <row r="19" spans="1:19">
      <c r="R19" s="59"/>
    </row>
    <row r="20" spans="1:19">
      <c r="R20" s="59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dcterms:created xsi:type="dcterms:W3CDTF">2018-07-03T14:14:23+00:00</dcterms:created>
  <dcterms:modified xsi:type="dcterms:W3CDTF">2023-04-29T17:49:06+00:00</dcterms:modified>
  <dc:title/>
  <dc:description/>
  <dc:subject/>
  <cp:keywords/>
  <cp:category/>
</cp:coreProperties>
</file>