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<sst xmlns="http://schemas.openxmlformats.org/spreadsheetml/2006/main" uniqueCount="279">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</sst>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923dd8bc556eb1a95d2e0ab815efd0b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c17acc15a3f09a30ed3fc1acf83a9491.png"/><Relationship Id="rId2" Type="http://schemas.openxmlformats.org/officeDocument/2006/relationships/image" Target="../media/c17acc15a3f09a30ed3fc1acf83a9491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2</v>
      </c>
      <c r="J11" s="38">
        <v>3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4</v>
      </c>
      <c r="K12" s="38">
        <v>5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1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2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>
        <f>Dados!B102</f>
        <v>10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3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4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1</v>
      </c>
      <c r="J19" s="38">
        <v>2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80</v>
      </c>
      <c r="E20" s="86"/>
      <c r="F20" s="89"/>
      <c r="G20" s="89"/>
      <c r="H20" s="102">
        <v>22</v>
      </c>
      <c r="I20" s="38">
        <v>2</v>
      </c>
      <c r="J20" s="38">
        <v>4</v>
      </c>
      <c r="K20" s="38">
        <v>2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10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>
        <f>Dados!C102</f>
        <v>14.285714285714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239.25</v>
      </c>
      <c r="F38" s="325">
        <f>Dados!G145</f>
        <v>188.57142857143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>
        <f>Dados!F147</f>
        <v>47.85</v>
      </c>
      <c r="F40" s="107">
        <f>Dados!G147</f>
        <v>37.714285714286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23.925</v>
      </c>
      <c r="F43" s="311">
        <f>Dados!G151</f>
        <v>18.857142857143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1196.25</v>
      </c>
      <c r="F46" s="311">
        <f>Dados!G154</f>
        <v>942.85714285714</v>
      </c>
    </row>
    <row r="47" spans="1:25">
      <c r="A47" s="117" t="s">
        <v>71</v>
      </c>
      <c r="B47" s="118">
        <f>Dados!B154</f>
        <v>4</v>
      </c>
      <c r="C47" s="118">
        <f>Dados!C154</f>
        <v>0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200</v>
      </c>
      <c r="C48" s="118">
        <f>Dados!C155</f>
        <v>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200</v>
      </c>
      <c r="C49" s="118">
        <f>Dados!C155</f>
        <v>0</v>
      </c>
      <c r="D49" s="309" t="s">
        <v>72</v>
      </c>
      <c r="E49" s="311">
        <f>Dados!F157</f>
        <v>1435.5</v>
      </c>
      <c r="F49" s="311">
        <f>Dados!G157</f>
        <v>1131.4285714286</v>
      </c>
    </row>
    <row r="50" spans="1:25">
      <c r="A50" s="117" t="s">
        <v>73</v>
      </c>
      <c r="B50" s="118">
        <f>Dados!B157</f>
        <v>0.4</v>
      </c>
      <c r="C50" s="118">
        <f>Dados!C157</f>
        <v>0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</v>
      </c>
      <c r="C51" s="118">
        <f>Dados!C158</f>
        <v>0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0.6</v>
      </c>
      <c r="C52" s="118">
        <f>Dados!C159</f>
        <v>0.85714285714286</v>
      </c>
    </row>
    <row r="53" spans="1:25">
      <c r="A53" s="117" t="s">
        <v>76</v>
      </c>
      <c r="B53" s="118">
        <f>Dados!B160</f>
        <v>30</v>
      </c>
      <c r="C53" s="118">
        <f>Dados!C160</f>
        <v>42.857142857143</v>
      </c>
      <c r="D53" s="313" t="str">
        <f>Dados!B183</f>
        <v>Kalvolac Quick</v>
      </c>
      <c r="E53" s="119"/>
      <c r="F53" s="319">
        <f>C53/25</f>
        <v>1.7142857142857</v>
      </c>
      <c r="G53" s="322">
        <f>Dados!H20</f>
        <v>22</v>
      </c>
      <c r="H53" s="311">
        <f>(G53*25)*F53</f>
        <v>942.85714285714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61.25</v>
      </c>
      <c r="C57" s="118">
        <f>Dados!C164</f>
        <v>42.857142857143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20.8</v>
      </c>
      <c r="C58" s="118">
        <f>Dados!C166</f>
        <v>18.857142857143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208</v>
      </c>
      <c r="C60" s="122">
        <f>Dados!C167</f>
        <v>188.57142857143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45</v>
      </c>
      <c r="C62" s="123">
        <f>Dados!C169</f>
        <v>45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700</v>
      </c>
      <c r="C65" s="124">
        <f>Dados!B175</f>
        <v>700</v>
      </c>
    </row>
    <row r="66" spans="1:25">
      <c r="A66" s="69" t="s">
        <v>87</v>
      </c>
      <c r="B66" s="124">
        <f>Dados!C227</f>
        <v>700</v>
      </c>
      <c r="C66" s="124">
        <f>Dados!C175</f>
        <v>500</v>
      </c>
    </row>
    <row r="67" spans="1:25">
      <c r="A67" s="69" t="s">
        <v>88</v>
      </c>
      <c r="B67" s="124">
        <f>Dados!D227</f>
        <v>750</v>
      </c>
      <c r="C67" s="124">
        <f>Dados!D175</f>
        <v>350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700</v>
      </c>
      <c r="C71" s="124">
        <f>MIN(Dados!C175:D175)</f>
        <v>350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40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0.5</v>
      </c>
    </row>
    <row r="88" spans="1:25">
      <c r="A88" s="133" t="s">
        <v>93</v>
      </c>
      <c r="B88" s="134">
        <f>Dados!B148</f>
        <v>5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80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700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4</v>
      </c>
      <c r="C96" s="138">
        <f>Dados!C154</f>
        <v>0</v>
      </c>
    </row>
    <row r="97" spans="1:25">
      <c r="A97" s="117" t="s">
        <v>98</v>
      </c>
      <c r="B97" s="118">
        <f>Dados!B155</f>
        <v>200</v>
      </c>
      <c r="C97" s="138">
        <f>Dados!C155</f>
        <v>0</v>
      </c>
    </row>
    <row r="98" spans="1:25">
      <c r="A98" s="117" t="s">
        <v>99</v>
      </c>
      <c r="B98" s="138">
        <f>Dados!B156</f>
        <v>10</v>
      </c>
      <c r="C98" s="138">
        <f>Dados!C156</f>
        <v>12.5</v>
      </c>
    </row>
    <row r="99" spans="1:25">
      <c r="A99" s="117" t="s">
        <v>73</v>
      </c>
      <c r="B99" s="138">
        <f>Dados!B157</f>
        <v>0.4</v>
      </c>
      <c r="C99" s="138">
        <f>Dados!C157</f>
        <v>0</v>
      </c>
    </row>
    <row r="100" spans="1:25">
      <c r="A100" s="117" t="s">
        <v>74</v>
      </c>
      <c r="B100" s="138">
        <f>Dados!B158</f>
        <v>0</v>
      </c>
      <c r="C100" s="138">
        <f>Dados!C158</f>
        <v>0</v>
      </c>
    </row>
    <row r="101" spans="1:25">
      <c r="A101" s="117" t="s">
        <v>100</v>
      </c>
      <c r="B101" s="138">
        <f>Dados!B159</f>
        <v>0.6</v>
      </c>
      <c r="C101" s="138">
        <f>Dados!C159</f>
        <v>0.85714285714286</v>
      </c>
    </row>
    <row r="102" spans="1:25">
      <c r="A102" s="117" t="s">
        <v>99</v>
      </c>
      <c r="B102" s="122">
        <f>Dados!C241</f>
        <v>10</v>
      </c>
      <c r="C102" s="122">
        <f>Dados!C189</f>
        <v>14.285714285714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0.97321927448019</v>
      </c>
      <c r="C106" s="122">
        <f>Dados!D178</f>
        <v>0.97321927448019</v>
      </c>
    </row>
    <row r="107" spans="1:25">
      <c r="A107" s="117" t="s">
        <v>103</v>
      </c>
      <c r="B107" s="122">
        <f>Dados!C242</f>
        <v>1.2175</v>
      </c>
      <c r="C107" s="122">
        <f>Dados!C190</f>
        <v>0.85714285714286</v>
      </c>
    </row>
    <row r="108" spans="1:25">
      <c r="A108" s="117" t="s">
        <v>104</v>
      </c>
      <c r="B108" s="122">
        <f>Dados!B164</f>
        <v>61.25</v>
      </c>
      <c r="C108" s="122">
        <f>Dados!C164</f>
        <v>42.857142857143</v>
      </c>
    </row>
    <row r="109" spans="1:25">
      <c r="A109" s="117" t="s">
        <v>82</v>
      </c>
      <c r="B109" s="122">
        <f>Dados!B166</f>
        <v>20.8</v>
      </c>
      <c r="C109" s="122">
        <f>Dados!C166</f>
        <v>18.857142857143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700</v>
      </c>
      <c r="C112" s="124">
        <f>Dados!B175</f>
        <v>700</v>
      </c>
    </row>
    <row r="113" spans="1:25">
      <c r="A113" s="69" t="s">
        <v>87</v>
      </c>
      <c r="B113" s="124">
        <f>Dados!C227</f>
        <v>700</v>
      </c>
      <c r="C113" s="124">
        <f>Dados!C175</f>
        <v>500</v>
      </c>
    </row>
    <row r="114" spans="1:25">
      <c r="A114" s="69" t="s">
        <v>88</v>
      </c>
      <c r="B114" s="124">
        <f>Dados!D227</f>
        <v>750</v>
      </c>
      <c r="C114" s="124">
        <f>Dados!D175</f>
        <v>350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700</v>
      </c>
      <c r="C117" s="69">
        <f>B93</f>
        <v>700</v>
      </c>
    </row>
    <row r="118" spans="1:25">
      <c r="A118" s="69" t="s">
        <v>89</v>
      </c>
      <c r="B118" s="124">
        <f>MIN(Dados!C227:D227)</f>
        <v>700</v>
      </c>
      <c r="C118" s="124">
        <f>MIN(Dados!C175:D175)</f>
        <v>350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40</v>
      </c>
      <c r="C122" s="69">
        <f>B85+B88</f>
        <v>45</v>
      </c>
      <c r="D122" s="124">
        <f>D128</f>
        <v>80</v>
      </c>
    </row>
    <row r="123" spans="1:25">
      <c r="A123" s="69" t="s">
        <v>69</v>
      </c>
      <c r="B123" s="69">
        <f>B85</f>
        <v>40</v>
      </c>
      <c r="C123" s="69">
        <f>B85+B88</f>
        <v>45</v>
      </c>
      <c r="D123" s="124">
        <f>E128</f>
        <v>62.5</v>
      </c>
    </row>
    <row r="124" spans="1:25">
      <c r="A124" s="69" t="s">
        <v>106</v>
      </c>
      <c r="B124" s="69">
        <f>B85</f>
        <v>40</v>
      </c>
      <c r="C124" s="124">
        <f>(((((B124*2)-B124))/60)*B86)+B124</f>
        <v>46.666666666667</v>
      </c>
      <c r="D124" s="69">
        <f>B124*2</f>
        <v>80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80</v>
      </c>
      <c r="E127" s="69">
        <f>(C117*B92)/1000+(B85+B88)</f>
        <v>80</v>
      </c>
    </row>
    <row r="128" spans="1:25">
      <c r="D128" s="124">
        <f>(B118*B92)/1000+(B85+B88)</f>
        <v>80</v>
      </c>
      <c r="E128" s="124">
        <f>(C118*B92)/1000+(B85+B88)</f>
        <v>62.5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40</v>
      </c>
      <c r="C145" s="139"/>
      <c r="D145" s="140"/>
      <c r="E145" s="113" t="s">
        <v>66</v>
      </c>
      <c r="F145" s="325">
        <f>B167+B168</f>
        <v>239.25</v>
      </c>
      <c r="G145" s="326">
        <f>C167+C168</f>
        <v>188.57142857143</v>
      </c>
      <c r="H145" s="62">
        <f>-(1-(G145/F145))</f>
        <v>-0.21182266009852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0.5</v>
      </c>
      <c r="C147" s="146"/>
      <c r="D147" s="140"/>
      <c r="E147" s="147" t="s">
        <v>67</v>
      </c>
      <c r="F147" s="148">
        <f>F145/B148</f>
        <v>47.85</v>
      </c>
      <c r="G147" s="149">
        <f>G145/B148</f>
        <v>37.714285714286</v>
      </c>
      <c r="H147" s="150"/>
    </row>
    <row r="148" spans="1:25">
      <c r="A148" s="133" t="s">
        <v>93</v>
      </c>
      <c r="B148" s="151">
        <f>B146*B147</f>
        <v>5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80</v>
      </c>
      <c r="D149" s="150"/>
      <c r="E149" s="154" t="s">
        <v>109</v>
      </c>
      <c r="F149" s="154">
        <f>B164/B148</f>
        <v>12.25</v>
      </c>
      <c r="G149" s="155">
        <f>C164/B148</f>
        <v>8.5714285714286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700</v>
      </c>
      <c r="C151" s="146"/>
      <c r="D151" s="150"/>
      <c r="E151" s="158" t="s">
        <v>68</v>
      </c>
      <c r="F151" s="159">
        <f>F145/B146</f>
        <v>23.925</v>
      </c>
      <c r="G151" s="160">
        <f>G145/B146</f>
        <v>18.857142857143</v>
      </c>
      <c r="H151" s="63">
        <f>-(1-(G151/F151))</f>
        <v>-0.21182266009852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4</v>
      </c>
      <c r="C154" s="169">
        <f>VLOOKUP(Dados!I19,Dados!A414:B419,2,0)</f>
        <v>0</v>
      </c>
      <c r="D154" s="140"/>
      <c r="E154" s="170" t="s">
        <v>70</v>
      </c>
      <c r="F154" s="171">
        <f>F151*B150</f>
        <v>1196.25</v>
      </c>
      <c r="G154" s="171">
        <f>G151*B150</f>
        <v>942.85714285714</v>
      </c>
    </row>
    <row r="155" spans="1:25">
      <c r="A155" s="168" t="s">
        <v>98</v>
      </c>
      <c r="B155" s="169">
        <f>B154*B150</f>
        <v>200</v>
      </c>
      <c r="C155" s="169">
        <f>C154*B150</f>
        <v>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10</v>
      </c>
      <c r="C156" s="173">
        <f>_xlfn.IFS(Dados!J19=1,0,Dados!J19=2,Dados!C519,Dados!J19=3,Dados!C520)*100</f>
        <v>12.5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0.4</v>
      </c>
      <c r="C157" s="174">
        <f>IF(C154&gt;0,(C154*(C156/100)),0)</f>
        <v>0</v>
      </c>
      <c r="E157" s="170" t="s">
        <v>72</v>
      </c>
      <c r="F157" s="171">
        <f>F151*60</f>
        <v>1435.5</v>
      </c>
      <c r="G157" s="171">
        <f>G151*60</f>
        <v>1131.4285714286</v>
      </c>
    </row>
    <row r="158" spans="1:25">
      <c r="A158" s="168" t="s">
        <v>74</v>
      </c>
      <c r="B158" s="175">
        <f>(IF(Dados!I13&gt;=2,((VLOOKUP(Dados!I13,Dados!A476:B490,2,0))))/1000)*B154</f>
        <v>0</v>
      </c>
      <c r="C158" s="174">
        <f>(IF(Dados!I21&gt;=2,(((VLOOKUP(Dados!I21,Dados!A476:B490,2,0))*C154)))/1000)</f>
        <v>0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0.6</v>
      </c>
      <c r="C159" s="174">
        <f>(VLOOKUP(Dados!J20,Dados!A414:B419,2,0)*(VLOOKUP(Dados!I20,Dados!A469:C473,3)))</f>
        <v>0.85714285714286</v>
      </c>
      <c r="E159" s="165"/>
      <c r="F159" s="166"/>
      <c r="G159" s="166"/>
    </row>
    <row r="160" spans="1:25">
      <c r="A160" s="168" t="s">
        <v>111</v>
      </c>
      <c r="B160" s="168">
        <f>(B159+B158)*B150</f>
        <v>30</v>
      </c>
      <c r="C160" s="177">
        <f>(C159+C158)*B150</f>
        <v>42.857142857143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61.25</v>
      </c>
      <c r="C164" s="181">
        <f>(SUM(IF(C157&gt;0,C157,0)+IF(C158&gt;0,C158,0)+IF(C159&gt;0,C159,))*B150+(C163*0.9))</f>
        <v>42.857142857143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20.8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18.857142857143</v>
      </c>
    </row>
    <row r="167" spans="1:25">
      <c r="A167" s="121" t="s">
        <v>83</v>
      </c>
      <c r="B167" s="182">
        <f>B166*B146</f>
        <v>208</v>
      </c>
      <c r="C167" s="182">
        <f>C166*B146</f>
        <v>188.57142857143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45</v>
      </c>
      <c r="C169" s="183">
        <f>B145+B148</f>
        <v>45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45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700</v>
      </c>
      <c r="C175" s="191">
        <f>Dados!G278</f>
        <v>500</v>
      </c>
      <c r="D175" s="191">
        <f>Dados!G307</f>
        <v>350</v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228.07701816565</v>
      </c>
      <c r="C178" s="65">
        <f>(((0.1*(B172^0.75)+(0.84*(B172^0.355))*((B175/1000)^1.2))*1000)*1.2)</f>
        <v>4622.7915537809</v>
      </c>
      <c r="D178" s="196">
        <f>((C178*1000)/4750)/1000</f>
        <v>0.97321927448019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in natura</v>
      </c>
      <c r="C182" s="200">
        <f>(IF(D182&gt;1,VLOOKUP(B196,Dados!A518:C519,3,0),0))</f>
        <v>0</v>
      </c>
      <c r="D182" s="201">
        <f>IF(Dados!I19&gt;=2,VLOOKUP(Dados!I19,Dados!A414:B419,2,0),0)</f>
        <v>0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 Quick</v>
      </c>
      <c r="C183" s="200">
        <f>IF(D183&gt;0,VLOOKUP(Dados!I20,Dados!A469:C473,3,0),0)</f>
        <v>0.14285714285714</v>
      </c>
      <c r="D183" s="201">
        <f>IF(Dados!J20&gt;=2,VLOOKUP(Dados!J20,Dados!A414:B419,2,0),0)</f>
        <v>6</v>
      </c>
      <c r="E183" s="202">
        <f>IF(E204&gt;0,E204,0)</f>
        <v>188.57142857143</v>
      </c>
      <c r="F183" s="64">
        <f>IF(F207&gt;0,F207,"0")</f>
        <v>3574.2857142857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0.045</v>
      </c>
      <c r="D184" s="205">
        <f>(IF(Dados!I21&gt;=2,VLOOKUP(Dados!I21,Dados!A476:B490,2,0),0)*D182)/1000</f>
        <v>0</v>
      </c>
      <c r="E184" s="206">
        <f>IF(G204&gt;0,G204,0)</f>
        <v>0</v>
      </c>
      <c r="F184" s="207" t="str">
        <f>IF(H207&gt;0,H207,"0")</f>
        <v>0</v>
      </c>
    </row>
    <row r="185" spans="1:25" customHeight="1" ht="15">
      <c r="C185" s="139"/>
      <c r="D185" s="208"/>
      <c r="E185" s="209">
        <f>B204+E204+G204</f>
        <v>188.57142857143</v>
      </c>
      <c r="F185" s="210">
        <f>D207+F207+H207</f>
        <v>3574.2857142857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>
        <f>(C183*D183)+(C182*D182)+(C184*D182)</f>
        <v>0.85714285714286</v>
      </c>
    </row>
    <row r="189" spans="1:25">
      <c r="A189" s="139"/>
      <c r="B189" s="69" t="s">
        <v>130</v>
      </c>
      <c r="C189" s="217">
        <f>(C188/(D183+D182)*100)</f>
        <v>14.285714285714</v>
      </c>
      <c r="D189" s="69" t="s">
        <v>131</v>
      </c>
      <c r="E189" s="218">
        <f>B178</f>
        <v>228.07701816565</v>
      </c>
      <c r="F189" s="219">
        <f>C178</f>
        <v>4622.7915537809</v>
      </c>
    </row>
    <row r="190" spans="1:25">
      <c r="B190" s="69" t="s">
        <v>132</v>
      </c>
      <c r="C190" s="216">
        <f>C187+C188</f>
        <v>0.85714285714286</v>
      </c>
      <c r="D190" s="116" t="s">
        <v>133</v>
      </c>
      <c r="E190" s="220">
        <f>SUM((E183+E184)*0.93,E182*0.95,E187*0.81)</f>
        <v>175.37142857143</v>
      </c>
      <c r="F190" s="221">
        <f>SUM((F182*0.93)+(F183+F184)*0.91)+(F187*0.83)</f>
        <v>3252.6</v>
      </c>
    </row>
    <row r="191" spans="1:25">
      <c r="A191" s="127"/>
      <c r="D191" s="69" t="s">
        <v>134</v>
      </c>
      <c r="E191" s="218">
        <f>E190-B178</f>
        <v>-52.705589594217</v>
      </c>
      <c r="F191" s="219">
        <f>F190-F189</f>
        <v>-1370.1915537809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2</v>
      </c>
      <c r="D195" s="222">
        <f>B178/32</f>
        <v>7.1274068176764</v>
      </c>
      <c r="E195" s="222">
        <f>B178/31.5</f>
        <v>7.2405402592268</v>
      </c>
    </row>
    <row r="196" spans="1:25">
      <c r="B196" s="69">
        <f>Dados!J19</f>
        <v>2</v>
      </c>
      <c r="D196" s="222">
        <f>C178/650</f>
        <v>7.1119870058168</v>
      </c>
      <c r="E196" s="222">
        <f>C178/622.75</f>
        <v>7.4231899699412</v>
      </c>
    </row>
    <row r="197" spans="1:25">
      <c r="B197" s="69">
        <f>Dados!I21</f>
        <v>10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3636.4690285714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0</v>
      </c>
      <c r="C204" s="230">
        <v>4</v>
      </c>
      <c r="D204" s="231">
        <f>C204*B204</f>
        <v>0</v>
      </c>
      <c r="E204" s="232">
        <f>(((IF(D183&gt;0,VLOOKUP($B$195,Dados!A542:F544,4,0),0)))*10*($C$183*D183))</f>
        <v>188.57142857143</v>
      </c>
      <c r="F204" s="233">
        <f>C204*E204</f>
        <v>754.28571428571</v>
      </c>
      <c r="G204" s="234">
        <f>(Dados!M10*10)*D184</f>
        <v>0</v>
      </c>
      <c r="H204" s="235">
        <f>G204*C204</f>
        <v>0</v>
      </c>
    </row>
    <row r="205" spans="1:25">
      <c r="A205" s="224" t="s">
        <v>25</v>
      </c>
      <c r="B205" s="236">
        <f>(VLOOKUP($B$196,Dados!$A$518:$F$519,5,FALSE))*$D$182*1000</f>
        <v>0</v>
      </c>
      <c r="C205" s="168">
        <v>9</v>
      </c>
      <c r="D205" s="237">
        <f>C205*B205</f>
        <v>0</v>
      </c>
      <c r="E205" s="232">
        <f>(((IF(D183&gt;0,VLOOKUP($B$195,Dados!A542:F544,5,0),0)))*$C$183*10)*D183</f>
        <v>145.71428571429</v>
      </c>
      <c r="F205" s="238">
        <f>C205*E205</f>
        <v>1311.4285714286</v>
      </c>
      <c r="G205" s="239">
        <f>(Dados!M11*10)*D184</f>
        <v>0</v>
      </c>
      <c r="H205" s="240">
        <f>G205*C205</f>
        <v>0</v>
      </c>
    </row>
    <row r="206" spans="1:25">
      <c r="A206" s="224" t="s">
        <v>30</v>
      </c>
      <c r="B206" s="236">
        <f>(VLOOKUP($B$196,Dados!$A$518:$F$519,6,FALSE))*$D$182*1000</f>
        <v>0</v>
      </c>
      <c r="C206" s="168">
        <v>4</v>
      </c>
      <c r="D206" s="237">
        <f>C206*B206</f>
        <v>0</v>
      </c>
      <c r="E206" s="232">
        <f>(((IF(D183&gt;0,VLOOKUP($B$195,Dados!A542:F544,6,0),0)))*$C$183*10)*D183</f>
        <v>377.14285714286</v>
      </c>
      <c r="F206" s="238">
        <f>C206*E206</f>
        <v>1508.5714285714</v>
      </c>
      <c r="G206" s="241">
        <f>(Dados!M12*10)*D184</f>
        <v>0</v>
      </c>
      <c r="H206" s="240">
        <f>G206*C206</f>
        <v>0</v>
      </c>
    </row>
    <row r="207" spans="1:25" customHeight="1" ht="15">
      <c r="A207" s="224"/>
      <c r="B207" s="242">
        <f>SUM(B204:B206)</f>
        <v>0</v>
      </c>
      <c r="C207" s="243"/>
      <c r="D207" s="244">
        <f>SUM(D204:D206)</f>
        <v>0</v>
      </c>
      <c r="E207" s="136"/>
      <c r="F207" s="245">
        <f>SUM(F204:F206)</f>
        <v>3574.2857142857</v>
      </c>
      <c r="G207" s="246"/>
      <c r="H207" s="244">
        <f>SUM(H204:H206)</f>
        <v>0</v>
      </c>
    </row>
    <row r="208" spans="1:25">
      <c r="H208" s="176">
        <f>((IF(G204="","",IF(G204&gt;0.001,(((100-3.5)/100)*(G204*0.057)+(0.092*G205)+(0.0395*G206))*3.77)))*238.85)/10</f>
        <v>0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45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700</v>
      </c>
      <c r="C227" s="191">
        <f>Dados!G336</f>
        <v>700</v>
      </c>
      <c r="D227" s="191">
        <f>Dados!H369</f>
        <v>750</v>
      </c>
      <c r="E227" s="186"/>
      <c r="F227" s="124">
        <f>MIN(C227:D227)</f>
        <v>700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228.07701816565</v>
      </c>
      <c r="C230" s="65">
        <f>(((0.1*(B224^0.75)+(0.84*(B224^0.355))*((B227/1000)^1.2))*1000)*1.2)</f>
        <v>4622.7915537809</v>
      </c>
      <c r="D230" s="196">
        <f>((C230*1000)/4750)/1000</f>
        <v>0.97321927448019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Leite descarte</v>
      </c>
      <c r="C234" s="200">
        <f>(IF(D234&gt;1,VLOOKUP(B248,Dados!A518:C520,3,0),0))</f>
        <v>0.1</v>
      </c>
      <c r="D234" s="201">
        <f>IF(Dados!I11&gt;=2,VLOOKUP(Dados!I11,Dados!A414:B419,2,0),0)</f>
        <v>4</v>
      </c>
      <c r="E234" s="202">
        <f>IF(B256&gt;0,B256,0)</f>
        <v>112</v>
      </c>
      <c r="F234" s="64">
        <f>IF(D259&gt;1,D259,"0")</f>
        <v>2376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</v>
      </c>
      <c r="D235" s="201">
        <f>IF(Dados!I12&gt;=2,VLOOKUP(Dados!I12,Dados!A414:B419,2,0),0)</f>
        <v>6</v>
      </c>
      <c r="E235" s="202">
        <f>IF(E256&gt;0,E256,0)</f>
        <v>100</v>
      </c>
      <c r="F235" s="64">
        <f>Dados!M15*(Dados!C235*D235)</f>
        <v>2442.11375187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25" customHeight="1" ht="15">
      <c r="C237" s="139"/>
      <c r="D237" s="208"/>
      <c r="E237" s="209">
        <f>B256+E256+G256</f>
        <v>212</v>
      </c>
      <c r="F237" s="263">
        <f>D259+F259+H259</f>
        <v>4476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20%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42</v>
      </c>
      <c r="F239" s="264">
        <f>((IF(D239&gt;0,VLOOKUP(Dados!J14,Dados!A505:C509,3,0),0))*C239)*1000</f>
        <v>602.475</v>
      </c>
    </row>
    <row r="240" spans="1:25">
      <c r="B240" s="69" t="s">
        <v>129</v>
      </c>
      <c r="C240" s="216">
        <f>(C235*D235)+(C234*D234)+(C236*D234)</f>
        <v>1</v>
      </c>
    </row>
    <row r="241" spans="1:25">
      <c r="A241" s="139"/>
      <c r="B241" s="69" t="s">
        <v>130</v>
      </c>
      <c r="C241" s="217">
        <f>(C240/(D234+D235+D236))*100</f>
        <v>10</v>
      </c>
      <c r="D241" s="69" t="s">
        <v>131</v>
      </c>
      <c r="E241" s="218">
        <f>B230</f>
        <v>228.07701816565</v>
      </c>
      <c r="F241" s="219">
        <f>C230</f>
        <v>4622.7915537809</v>
      </c>
    </row>
    <row r="242" spans="1:25">
      <c r="B242" s="69" t="s">
        <v>132</v>
      </c>
      <c r="C242" s="217">
        <f>C239+C240</f>
        <v>1.2175</v>
      </c>
      <c r="D242" s="116" t="s">
        <v>133</v>
      </c>
      <c r="E242" s="220">
        <f>SUM((E235+E236)*0.93,E234*0.95,E239*0.81)</f>
        <v>233.42</v>
      </c>
      <c r="F242" s="221">
        <f>SUM((F234*0.93)+(F235+F236)*0.91)+(F239*0.83)</f>
        <v>4932.0577642017</v>
      </c>
    </row>
    <row r="243" spans="1:25">
      <c r="A243" s="127"/>
      <c r="D243" s="69" t="s">
        <v>134</v>
      </c>
      <c r="E243" s="218">
        <f>E242-B230</f>
        <v>5.3429818343548</v>
      </c>
      <c r="F243" s="219">
        <f>F242-F241</f>
        <v>309.26621042081</v>
      </c>
    </row>
    <row r="244" spans="1:25">
      <c r="E244" s="143">
        <f>IF(AND(E243&gt;0,F243&gt;0),1,-1)</f>
        <v>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2</v>
      </c>
      <c r="C247" s="69" t="s">
        <v>144</v>
      </c>
      <c r="D247" s="222">
        <f>B230/32</f>
        <v>7.1274068176764</v>
      </c>
      <c r="E247" s="222">
        <f>B230/31.5</f>
        <v>7.2405402592268</v>
      </c>
    </row>
    <row r="248" spans="1:25">
      <c r="B248" s="69">
        <f>Dados!J11</f>
        <v>3</v>
      </c>
      <c r="C248" s="69" t="s">
        <v>145</v>
      </c>
      <c r="D248" s="222">
        <f>C230/650</f>
        <v>7.1119870058168</v>
      </c>
      <c r="E248" s="222">
        <f>C230/622.75</f>
        <v>7.4231899699412</v>
      </c>
    </row>
    <row r="249" spans="1:25">
      <c r="B249" s="69">
        <f>Dados!I14</f>
        <v>2</v>
      </c>
      <c r="F249" s="223"/>
    </row>
    <row r="250" spans="1:25">
      <c r="B250" s="69">
        <f>Dados!J14</f>
        <v>2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2123.136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112</v>
      </c>
      <c r="C256" s="230">
        <v>4</v>
      </c>
      <c r="D256" s="231">
        <f>C256*B256</f>
        <v>448</v>
      </c>
      <c r="E256" s="232">
        <f>(((IF(D235&gt;0,($C$235*5)*(Dados!M10*10),0))))</f>
        <v>100</v>
      </c>
      <c r="F256" s="233">
        <f>C256*E256</f>
        <v>400</v>
      </c>
      <c r="G256" s="234">
        <f>(Dados!M10*10)*Dados!D236</f>
        <v>0</v>
      </c>
      <c r="H256" s="235">
        <f>G256*C256</f>
        <v>0</v>
      </c>
    </row>
    <row r="257" spans="1:25">
      <c r="A257" s="224" t="s">
        <v>25</v>
      </c>
      <c r="B257" s="229">
        <f>IF($D$234&gt;0,VLOOKUP($B$248,Dados!$A$518:$F$520,5,0),0)*$D$234*1000</f>
        <v>152</v>
      </c>
      <c r="C257" s="168">
        <v>9</v>
      </c>
      <c r="D257" s="237">
        <f>C257*B257</f>
        <v>1368</v>
      </c>
      <c r="E257" s="232">
        <f>(((IF(D235&gt;0,($C$235*5)*(Dados!M11*10),0))))</f>
        <v>100</v>
      </c>
      <c r="F257" s="238">
        <f>C257*E257</f>
        <v>900</v>
      </c>
      <c r="G257" s="239">
        <f>(Dados!M11*10)*Dados!D236</f>
        <v>0</v>
      </c>
      <c r="H257" s="240">
        <f>G257*C257</f>
        <v>0</v>
      </c>
    </row>
    <row r="258" spans="1:25">
      <c r="A258" s="224" t="s">
        <v>30</v>
      </c>
      <c r="B258" s="229">
        <f>IF($D$234&gt;0,VLOOKUP($B$248,Dados!$A$518:$F$520,6,0),0)*$D$234*1000</f>
        <v>140</v>
      </c>
      <c r="C258" s="168">
        <v>4</v>
      </c>
      <c r="D258" s="237">
        <f>C258*B258</f>
        <v>560</v>
      </c>
      <c r="E258" s="232">
        <f>(((IF(D235&gt;0,($C$235*5)*(Dados!M12*10),0))))</f>
        <v>200</v>
      </c>
      <c r="F258" s="238">
        <f>C258*E258</f>
        <v>800</v>
      </c>
      <c r="G258" s="241">
        <f>(Dados!M12*10)*Dados!D236</f>
        <v>0</v>
      </c>
      <c r="H258" s="240">
        <f>G258*C258</f>
        <v>0</v>
      </c>
    </row>
    <row r="259" spans="1:25" customHeight="1" ht="15">
      <c r="A259" s="224"/>
      <c r="B259" s="242">
        <f>SUM(B256:B258)</f>
        <v>404</v>
      </c>
      <c r="C259" s="243"/>
      <c r="D259" s="244">
        <f>SUM(D256:D258)</f>
        <v>2376</v>
      </c>
      <c r="E259" s="136"/>
      <c r="F259" s="245">
        <f>SUM(F256:F258)</f>
        <v>2100</v>
      </c>
      <c r="G259" s="246"/>
      <c r="H259" s="244">
        <f>SUM(H256:H258)</f>
        <v>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4</v>
      </c>
      <c r="B276" s="265">
        <f>A276-2</f>
        <v>2</v>
      </c>
      <c r="C276" s="265"/>
      <c r="D276" s="265"/>
      <c r="E276" s="265" t="s">
        <v>147</v>
      </c>
      <c r="F276" s="265"/>
      <c r="G276" s="265">
        <f>VLOOKUP(Dados!$D$18,Dados!A436:B450,2,0)</f>
        <v>45</v>
      </c>
      <c r="H276" s="265"/>
      <c r="I276" s="265"/>
      <c r="J276" s="265">
        <f>IFERROR(VLOOKUP(A277,B284:N303,MATCH(A276,D281:N281,1)-B276,0),"")</f>
        <v>500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10</v>
      </c>
      <c r="B277" s="265"/>
      <c r="C277" s="265"/>
      <c r="D277" s="265"/>
      <c r="E277" s="265" t="s">
        <v>148</v>
      </c>
      <c r="F277" s="265"/>
      <c r="G277" s="266">
        <f>Dados!E190</f>
        <v>175.37142857143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-1</v>
      </c>
      <c r="B278" s="265"/>
      <c r="C278" s="265"/>
      <c r="D278" s="265"/>
      <c r="E278" s="268" t="s">
        <v>149</v>
      </c>
      <c r="F278" s="268"/>
      <c r="G278" s="269">
        <f>B280</f>
        <v>500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500</v>
      </c>
      <c r="C280" s="265"/>
      <c r="D280" s="265">
        <f>IFERROR(IF($A$276=1,MATCH($G$277,D$284:D$303,1),0),0)</f>
        <v>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10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10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45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4</v>
      </c>
      <c r="T305" s="265">
        <f>S305-2</f>
        <v>2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3252.6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7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350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-1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7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7</v>
      </c>
      <c r="S309" s="265">
        <f>IFERROR(VLOOKUP(S306,A313:Q332,MATCH(S305,C310:Q310,0)-T305,0),"")</f>
        <v>350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4</v>
      </c>
      <c r="B334" s="265">
        <f>A334-2</f>
        <v>2</v>
      </c>
      <c r="C334" s="265"/>
      <c r="D334" s="265"/>
      <c r="E334" s="265" t="s">
        <v>147</v>
      </c>
      <c r="F334" s="265"/>
      <c r="G334" s="265">
        <f>VLOOKUP(Dados!$D$18,Dados!A436:B450,2,0)</f>
        <v>45</v>
      </c>
      <c r="H334" s="265"/>
      <c r="I334" s="265"/>
      <c r="J334" s="265">
        <f>IFERROR(VLOOKUP(A335,B342:R361,MATCH(A334,D339:R339,1)-B334,0),"")</f>
        <v>700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14</v>
      </c>
      <c r="B335" s="265"/>
      <c r="C335" s="265"/>
      <c r="D335" s="265"/>
      <c r="E335" s="265" t="s">
        <v>148</v>
      </c>
      <c r="F335" s="265"/>
      <c r="G335" s="270">
        <f>Dados!E242</f>
        <v>233.42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-1</v>
      </c>
      <c r="B336" s="265"/>
      <c r="C336" s="265"/>
      <c r="D336" s="265"/>
      <c r="E336" s="268" t="s">
        <v>149</v>
      </c>
      <c r="F336" s="268"/>
      <c r="G336" s="269">
        <f>B338</f>
        <v>700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700</v>
      </c>
      <c r="C338" s="265"/>
      <c r="D338" s="265">
        <f>IFERROR(IF($A$334=1,MATCH($G$335,D342:D361,1),0),0)</f>
        <v>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14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14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45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700000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4</v>
      </c>
      <c r="T366" s="265">
        <f>S366-2</f>
        <v>2</v>
      </c>
      <c r="U366" s="265"/>
      <c r="V366" s="265">
        <f>MATCH(W363,D374:R374,0)</f>
        <v>4</v>
      </c>
      <c r="W366" s="265">
        <f>V366-2</f>
        <v>2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45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15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4932.0577642017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-1</v>
      </c>
      <c r="T368" s="265">
        <f>IFERROR(VLOOKUP(S367,B375:N394,MATCH(S366,D372:R372,0)-T366,0),"")</f>
        <v>750</v>
      </c>
      <c r="U368" s="265"/>
      <c r="V368" s="265">
        <f>MATCH(V366,D372:R372,0)-5</f>
        <v>-1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750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20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15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15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