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<sst xmlns="http://schemas.openxmlformats.org/spreadsheetml/2006/main" uniqueCount="279">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</sst>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0" applyFont="1" applyNumberFormat="0" applyFill="0" applyBorder="1" applyAlignment="1">
      <alignment vertical="center" textRotation="0" wrapText="false" shrinkToFit="false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7" numFmtId="0" fillId="0" borderId="82" applyFont="1" applyNumberFormat="0" applyFill="0" applyBorder="1" applyAlignment="0"/>
    <xf xfId="0" fontId="16" numFmtId="0" fillId="0" borderId="83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82" applyFont="1" applyNumberFormat="0" applyFill="0" applyBorder="1" applyAlignment="0"/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4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5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923dd8bc556eb1a95d2e0ab815efd0b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c17acc15a3f09a30ed3fc1acf83a9491.png"/><Relationship Id="rId2" Type="http://schemas.openxmlformats.org/officeDocument/2006/relationships/image" Target="../media/c17acc15a3f09a30ed3fc1acf83a9491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J22" sqref="J2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1</v>
      </c>
      <c r="J11" s="38">
        <v>1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1</v>
      </c>
      <c r="K12" s="38">
        <v>1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1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1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50" t="s">
        <v>39</v>
      </c>
      <c r="G15" s="350"/>
      <c r="H15" s="98" t="e">
        <f>Dados!B102</f>
        <v>#DIV/0!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1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1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1</v>
      </c>
      <c r="J19" s="38">
        <v>1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60</v>
      </c>
      <c r="E20" s="86"/>
      <c r="F20" s="89"/>
      <c r="G20" s="89"/>
      <c r="H20" s="102">
        <v>22</v>
      </c>
      <c r="I20" s="38">
        <v>1</v>
      </c>
      <c r="J20" s="38">
        <v>1</v>
      </c>
      <c r="K20" s="38">
        <v>1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1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1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50" t="s">
        <v>39</v>
      </c>
      <c r="G23" s="350"/>
      <c r="H23" s="98" t="e">
        <f>Dados!C102</f>
        <v>#DIV/0!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49"/>
      <c r="B27" s="349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31.25</v>
      </c>
      <c r="F38" s="325">
        <f>Dados!G145</f>
        <v>0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 t="e">
        <f>Dados!F147</f>
        <v>#DIV/0!</v>
      </c>
      <c r="F40" s="107" t="e">
        <f>Dados!G147</f>
        <v>#DIV/0!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3.125</v>
      </c>
      <c r="F43" s="311">
        <f>Dados!G151</f>
        <v>0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156.25</v>
      </c>
      <c r="F46" s="311">
        <f>Dados!G154</f>
        <v>0</v>
      </c>
    </row>
    <row r="47" spans="1:25">
      <c r="A47" s="117" t="s">
        <v>71</v>
      </c>
      <c r="B47" s="118">
        <f>Dados!B154</f>
        <v>0</v>
      </c>
      <c r="C47" s="118">
        <f>Dados!C154</f>
        <v>0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0</v>
      </c>
      <c r="C48" s="118">
        <f>Dados!C155</f>
        <v>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0</v>
      </c>
      <c r="C49" s="118">
        <f>Dados!C155</f>
        <v>0</v>
      </c>
      <c r="D49" s="309" t="s">
        <v>72</v>
      </c>
      <c r="E49" s="311">
        <f>Dados!F157</f>
        <v>187.5</v>
      </c>
      <c r="F49" s="311">
        <f>Dados!G157</f>
        <v>0</v>
      </c>
    </row>
    <row r="50" spans="1:25">
      <c r="A50" s="117" t="s">
        <v>73</v>
      </c>
      <c r="B50" s="118">
        <f>Dados!B157</f>
        <v>0</v>
      </c>
      <c r="C50" s="118">
        <f>Dados!C157</f>
        <v>0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</v>
      </c>
      <c r="C51" s="118">
        <f>Dados!C158</f>
        <v>0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</v>
      </c>
      <c r="C52" s="118">
        <f>Dados!C159</f>
        <v>0</v>
      </c>
    </row>
    <row r="53" spans="1:25">
      <c r="A53" s="117" t="s">
        <v>76</v>
      </c>
      <c r="B53" s="118">
        <f>Dados!B160</f>
        <v>0</v>
      </c>
      <c r="C53" s="118">
        <f>Dados!C160</f>
        <v>0</v>
      </c>
      <c r="D53" s="313" t="str">
        <f>Dados!B183</f>
        <v>Kalvolac</v>
      </c>
      <c r="E53" s="119"/>
      <c r="F53" s="319">
        <f>C53/25</f>
        <v>0</v>
      </c>
      <c r="G53" s="322">
        <f>Dados!H20</f>
        <v>22</v>
      </c>
      <c r="H53" s="311">
        <f>(G53*25)*F53</f>
        <v>0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0</v>
      </c>
      <c r="D56" s="313" t="s">
        <v>80</v>
      </c>
      <c r="E56" s="316" t="s">
        <v>77</v>
      </c>
      <c r="F56" s="319">
        <f>C56/15</f>
        <v>0</v>
      </c>
      <c r="G56" s="322">
        <f>Dados!H22</f>
        <v>2.5</v>
      </c>
      <c r="H56" s="311">
        <f>(G56*15)*F56</f>
        <v>0</v>
      </c>
    </row>
    <row r="57" spans="1:25">
      <c r="A57" s="117" t="s">
        <v>81</v>
      </c>
      <c r="B57" s="118">
        <f>Dados!B164</f>
        <v>11.25</v>
      </c>
      <c r="C57" s="118">
        <f>Dados!C164</f>
        <v>0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0</v>
      </c>
      <c r="C58" s="118">
        <f>Dados!C166</f>
        <v>0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0</v>
      </c>
      <c r="C60" s="122">
        <f>Dados!C167</f>
        <v>0</v>
      </c>
    </row>
    <row r="61" spans="1:25">
      <c r="A61" s="121" t="s">
        <v>84</v>
      </c>
      <c r="B61" s="122">
        <f>Dados!B168</f>
        <v>31.25</v>
      </c>
      <c r="C61" s="122">
        <f>Dados!C168</f>
        <v>0</v>
      </c>
    </row>
    <row r="62" spans="1:25">
      <c r="A62" s="121" t="s">
        <v>85</v>
      </c>
      <c r="B62" s="123">
        <f>Dados!B169</f>
        <v>30</v>
      </c>
      <c r="C62" s="123">
        <f>Dados!C169</f>
        <v>30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600</v>
      </c>
      <c r="C65" s="124">
        <f>Dados!B175</f>
        <v>600</v>
      </c>
    </row>
    <row r="66" spans="1:25">
      <c r="A66" s="69" t="s">
        <v>87</v>
      </c>
      <c r="B66" s="124" t="str">
        <f>Dados!C227</f>
        <v/>
      </c>
      <c r="C66" s="124" t="str">
        <f>Dados!C175</f>
        <v/>
      </c>
    </row>
    <row r="67" spans="1:25">
      <c r="A67" s="69" t="s">
        <v>88</v>
      </c>
      <c r="B67" s="124" t="str">
        <f>Dados!D227</f>
        <v/>
      </c>
      <c r="C67" s="124" t="str">
        <f>Dados!D175</f>
        <v/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0</v>
      </c>
      <c r="C71" s="124">
        <f>MIN(Dados!C175:D175)</f>
        <v>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30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</v>
      </c>
    </row>
    <row r="88" spans="1:25">
      <c r="A88" s="133" t="s">
        <v>93</v>
      </c>
      <c r="B88" s="134">
        <f>Dados!B148</f>
        <v>0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60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600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0</v>
      </c>
      <c r="C96" s="138">
        <f>Dados!C154</f>
        <v>0</v>
      </c>
    </row>
    <row r="97" spans="1:25">
      <c r="A97" s="117" t="s">
        <v>98</v>
      </c>
      <c r="B97" s="118">
        <f>Dados!B155</f>
        <v>0</v>
      </c>
      <c r="C97" s="138">
        <f>Dados!C155</f>
        <v>0</v>
      </c>
    </row>
    <row r="98" spans="1:25">
      <c r="A98" s="117" t="s">
        <v>99</v>
      </c>
      <c r="B98" s="138">
        <f>Dados!B156</f>
        <v>0</v>
      </c>
      <c r="C98" s="138">
        <f>Dados!C156</f>
        <v>0</v>
      </c>
    </row>
    <row r="99" spans="1:25">
      <c r="A99" s="117" t="s">
        <v>73</v>
      </c>
      <c r="B99" s="138">
        <f>Dados!B157</f>
        <v>0</v>
      </c>
      <c r="C99" s="138">
        <f>Dados!C157</f>
        <v>0</v>
      </c>
    </row>
    <row r="100" spans="1:25">
      <c r="A100" s="117" t="s">
        <v>74</v>
      </c>
      <c r="B100" s="138">
        <f>Dados!B158</f>
        <v>0</v>
      </c>
      <c r="C100" s="138">
        <f>Dados!C158</f>
        <v>0</v>
      </c>
    </row>
    <row r="101" spans="1:25">
      <c r="A101" s="117" t="s">
        <v>100</v>
      </c>
      <c r="B101" s="138">
        <f>Dados!B159</f>
        <v>0</v>
      </c>
      <c r="C101" s="138">
        <f>Dados!C159</f>
        <v>0</v>
      </c>
    </row>
    <row r="102" spans="1:25">
      <c r="A102" s="117" t="s">
        <v>99</v>
      </c>
      <c r="B102" s="122" t="e">
        <f>Dados!C241</f>
        <v>#DIV/0!</v>
      </c>
      <c r="C102" s="122" t="e">
        <f>Dados!C189</f>
        <v>#DIV/0!</v>
      </c>
    </row>
    <row r="104" spans="1:25">
      <c r="A104" s="117" t="s">
        <v>78</v>
      </c>
      <c r="B104" s="122">
        <f>Dados!B162</f>
        <v>0.25</v>
      </c>
      <c r="C104" s="122">
        <f>Dados!C162</f>
        <v>0</v>
      </c>
    </row>
    <row r="105" spans="1:25">
      <c r="A105" s="117" t="s">
        <v>101</v>
      </c>
      <c r="B105" s="122">
        <f>Dados!B163</f>
        <v>12.5</v>
      </c>
      <c r="C105" s="122">
        <f>Dados!C163</f>
        <v>0</v>
      </c>
    </row>
    <row r="106" spans="1:25">
      <c r="A106" s="117" t="s">
        <v>102</v>
      </c>
      <c r="B106" s="122">
        <f>Dados!D230</f>
        <v>0.70836524450174</v>
      </c>
      <c r="C106" s="122">
        <f>Dados!D178</f>
        <v>0.70836524450174</v>
      </c>
    </row>
    <row r="107" spans="1:25">
      <c r="A107" s="117" t="s">
        <v>103</v>
      </c>
      <c r="B107" s="122">
        <f>Dados!C242</f>
        <v>0.2175</v>
      </c>
      <c r="C107" s="122">
        <f>Dados!C190</f>
        <v>0</v>
      </c>
    </row>
    <row r="108" spans="1:25">
      <c r="A108" s="117" t="s">
        <v>104</v>
      </c>
      <c r="B108" s="122">
        <f>Dados!B164</f>
        <v>11.25</v>
      </c>
      <c r="C108" s="122">
        <f>Dados!C164</f>
        <v>0</v>
      </c>
    </row>
    <row r="109" spans="1:25">
      <c r="A109" s="117" t="s">
        <v>82</v>
      </c>
      <c r="B109" s="122">
        <f>Dados!B166</f>
        <v>0</v>
      </c>
      <c r="C109" s="122">
        <f>Dados!C166</f>
        <v>0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600</v>
      </c>
      <c r="C112" s="124">
        <f>Dados!B175</f>
        <v>600</v>
      </c>
    </row>
    <row r="113" spans="1:25">
      <c r="A113" s="69" t="s">
        <v>87</v>
      </c>
      <c r="B113" s="124" t="str">
        <f>Dados!C227</f>
        <v/>
      </c>
      <c r="C113" s="124" t="str">
        <f>Dados!C175</f>
        <v/>
      </c>
    </row>
    <row r="114" spans="1:25">
      <c r="A114" s="69" t="s">
        <v>88</v>
      </c>
      <c r="B114" s="124" t="str">
        <f>Dados!D227</f>
        <v/>
      </c>
      <c r="C114" s="124" t="str">
        <f>Dados!D175</f>
        <v/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600</v>
      </c>
      <c r="C117" s="69">
        <f>B93</f>
        <v>600</v>
      </c>
    </row>
    <row r="118" spans="1:25">
      <c r="A118" s="69" t="s">
        <v>89</v>
      </c>
      <c r="B118" s="124">
        <f>MIN(Dados!C227:D227)</f>
        <v>0</v>
      </c>
      <c r="C118" s="124">
        <f>MIN(Dados!C175:D175)</f>
        <v>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30</v>
      </c>
      <c r="C122" s="69">
        <f>B85+B88</f>
        <v>30</v>
      </c>
      <c r="D122" s="124">
        <f>D128</f>
        <v>30</v>
      </c>
    </row>
    <row r="123" spans="1:25">
      <c r="A123" s="69" t="s">
        <v>69</v>
      </c>
      <c r="B123" s="69">
        <f>B85</f>
        <v>30</v>
      </c>
      <c r="C123" s="69">
        <f>B85+B88</f>
        <v>30</v>
      </c>
      <c r="D123" s="124">
        <f>E128</f>
        <v>30</v>
      </c>
    </row>
    <row r="124" spans="1:25">
      <c r="A124" s="69" t="s">
        <v>106</v>
      </c>
      <c r="B124" s="69">
        <f>B85</f>
        <v>30</v>
      </c>
      <c r="C124" s="124">
        <f>(((((B124*2)-B124))/60)*B86)+B124</f>
        <v>35</v>
      </c>
      <c r="D124" s="69">
        <f>B124*2</f>
        <v>60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60</v>
      </c>
      <c r="E127" s="69">
        <f>(C117*B92)/1000+(B85+B88)</f>
        <v>60</v>
      </c>
    </row>
    <row r="128" spans="1:25">
      <c r="D128" s="124">
        <f>(B118*B92)/1000+(B85+B88)</f>
        <v>30</v>
      </c>
      <c r="E128" s="124">
        <f>(C118*B92)/1000+(B85+B88)</f>
        <v>30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30</v>
      </c>
      <c r="C145" s="139"/>
      <c r="D145" s="140"/>
      <c r="E145" s="113" t="s">
        <v>66</v>
      </c>
      <c r="F145" s="325">
        <f>B167+B168</f>
        <v>31.25</v>
      </c>
      <c r="G145" s="326">
        <f>C167+C168</f>
        <v>0</v>
      </c>
      <c r="H145" s="62">
        <f>-(1-(G145/F145))</f>
        <v>-1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</v>
      </c>
      <c r="C147" s="146"/>
      <c r="D147" s="140"/>
      <c r="E147" s="147" t="s">
        <v>67</v>
      </c>
      <c r="F147" s="148" t="e">
        <f>F145/B148</f>
        <v>#DIV/0!</v>
      </c>
      <c r="G147" s="149" t="e">
        <f>G145/B148</f>
        <v>#DIV/0!</v>
      </c>
      <c r="H147" s="150"/>
    </row>
    <row r="148" spans="1:25">
      <c r="A148" s="133" t="s">
        <v>93</v>
      </c>
      <c r="B148" s="151">
        <f>B146*B147</f>
        <v>0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60</v>
      </c>
      <c r="D149" s="150"/>
      <c r="E149" s="154" t="s">
        <v>109</v>
      </c>
      <c r="F149" s="154" t="e">
        <f>B164/B148</f>
        <v>#DIV/0!</v>
      </c>
      <c r="G149" s="155" t="e">
        <f>C164/B148</f>
        <v>#DIV/0!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600</v>
      </c>
      <c r="C151" s="146"/>
      <c r="D151" s="150"/>
      <c r="E151" s="158" t="s">
        <v>68</v>
      </c>
      <c r="F151" s="159">
        <f>F145/B146</f>
        <v>3.125</v>
      </c>
      <c r="G151" s="160">
        <f>G145/B146</f>
        <v>0</v>
      </c>
      <c r="H151" s="63">
        <f>-(1-(G151/F151))</f>
        <v>-1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0</v>
      </c>
      <c r="C154" s="169">
        <f>VLOOKUP(Dados!I19,Dados!A414:B419,2,0)</f>
        <v>0</v>
      </c>
      <c r="D154" s="140"/>
      <c r="E154" s="170" t="s">
        <v>70</v>
      </c>
      <c r="F154" s="171">
        <f>F151*B150</f>
        <v>156.25</v>
      </c>
      <c r="G154" s="171">
        <f>G151*B150</f>
        <v>0</v>
      </c>
    </row>
    <row r="155" spans="1:25">
      <c r="A155" s="168" t="s">
        <v>98</v>
      </c>
      <c r="B155" s="169">
        <f>B154*B150</f>
        <v>0</v>
      </c>
      <c r="C155" s="169">
        <f>C154*B150</f>
        <v>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0</v>
      </c>
      <c r="C156" s="173">
        <f>_xlfn.IFS(Dados!J19=1,0,Dados!J19=2,Dados!C519,Dados!J19=3,Dados!C520)*100</f>
        <v>0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</v>
      </c>
      <c r="C157" s="174">
        <f>IF(C154&gt;0,(C154*(C156/100)),0)</f>
        <v>0</v>
      </c>
      <c r="E157" s="170" t="s">
        <v>72</v>
      </c>
      <c r="F157" s="171">
        <f>F151*60</f>
        <v>187.5</v>
      </c>
      <c r="G157" s="171">
        <f>G151*60</f>
        <v>0</v>
      </c>
    </row>
    <row r="158" spans="1:25">
      <c r="A158" s="168" t="s">
        <v>74</v>
      </c>
      <c r="B158" s="175">
        <f>(IF(Dados!I13&gt;=2,((VLOOKUP(Dados!I13,Dados!A476:B490,2,0))))/1000)*B154</f>
        <v>0</v>
      </c>
      <c r="C158" s="174">
        <f>(IF(Dados!I21&gt;=2,(((VLOOKUP(Dados!I21,Dados!A476:B490,2,0))*C154)))/1000)</f>
        <v>0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</v>
      </c>
      <c r="C159" s="174">
        <f>(VLOOKUP(Dados!J20,Dados!A414:B419,2,0)*(VLOOKUP(Dados!I20,Dados!A469:C473,3)))</f>
        <v>0</v>
      </c>
      <c r="E159" s="165"/>
      <c r="F159" s="166"/>
      <c r="G159" s="166"/>
    </row>
    <row r="160" spans="1:25">
      <c r="A160" s="168" t="s">
        <v>111</v>
      </c>
      <c r="B160" s="168">
        <f>(B159+B158)*B150</f>
        <v>0</v>
      </c>
      <c r="C160" s="177">
        <f>(C159+C158)*B150</f>
        <v>0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</v>
      </c>
    </row>
    <row r="163" spans="1:25">
      <c r="A163" s="117" t="s">
        <v>101</v>
      </c>
      <c r="B163" s="181">
        <f>B162*B150</f>
        <v>12.5</v>
      </c>
      <c r="C163" s="181">
        <f>C162*B150</f>
        <v>0</v>
      </c>
    </row>
    <row r="164" spans="1:25">
      <c r="A164" s="117" t="s">
        <v>104</v>
      </c>
      <c r="B164" s="181">
        <f>(SUM(IF(B157&gt;0,B157,0)+IF(B158&gt;0,B158,0)+IF(B159&gt;0,B159,))*B150+(B163*0.9))</f>
        <v>11.25</v>
      </c>
      <c r="C164" s="181">
        <f>(SUM(IF(C157&gt;0,C157,0)+IF(C158&gt;0,C158,0)+IF(C159&gt;0,C159,))*B150+(C163*0.9))</f>
        <v>0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0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0</v>
      </c>
    </row>
    <row r="167" spans="1:25">
      <c r="A167" s="121" t="s">
        <v>83</v>
      </c>
      <c r="B167" s="182">
        <f>B166*B146</f>
        <v>0</v>
      </c>
      <c r="C167" s="182">
        <f>C166*B146</f>
        <v>0</v>
      </c>
    </row>
    <row r="168" spans="1:25">
      <c r="A168" s="121" t="s">
        <v>84</v>
      </c>
      <c r="B168" s="182">
        <f>Dados!H14*B163</f>
        <v>31.25</v>
      </c>
      <c r="C168" s="182">
        <f>Dados!H22*C163</f>
        <v>0</v>
      </c>
    </row>
    <row r="169" spans="1:25">
      <c r="A169" s="121" t="s">
        <v>85</v>
      </c>
      <c r="B169" s="183">
        <f>B145+B148</f>
        <v>30</v>
      </c>
      <c r="C169" s="183">
        <f>B145+B148</f>
        <v>30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30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600</v>
      </c>
      <c r="C175" s="191" t="str">
        <f>Dados!G278</f>
        <v/>
      </c>
      <c r="D175" s="191" t="str">
        <f>Dados!G307</f>
        <v/>
      </c>
    </row>
    <row r="176" spans="1:25" customHeight="1" ht="15"/>
    <row r="177" spans="1:25" customHeight="1" ht="15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186.78043876434</v>
      </c>
      <c r="C178" s="65">
        <f>(((0.1*(B172^0.75)+(0.84*(B172^0.355))*((B175/1000)^1.2))*1000)*1.2)</f>
        <v>3364.7349113833</v>
      </c>
      <c r="D178" s="196">
        <f>((C178*1000)/4750)/1000</f>
        <v>0.70836524450174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e">
        <f>VLOOKUP(Dados!J19,Dados!A433:B434,2,0)</f>
        <v>#N/A</v>
      </c>
      <c r="C182" s="200">
        <f>(IF(D182&gt;1,VLOOKUP(B196,Dados!A518:C519,3,0),0))</f>
        <v>0</v>
      </c>
      <c r="D182" s="201">
        <f>IF(Dados!I19&gt;=2,VLOOKUP(Dados!I19,Dados!A414:B419,2,0),0)</f>
        <v>0</v>
      </c>
      <c r="E182" s="202">
        <f>IF(B204&gt;0,B204,0)</f>
        <v>0</v>
      </c>
      <c r="F182" s="66" t="str">
        <f>IF(D207&gt;1,D207,"0")</f>
        <v>0</v>
      </c>
    </row>
    <row r="183" spans="1:25">
      <c r="A183" s="140" t="s">
        <v>125</v>
      </c>
      <c r="B183" s="186" t="str">
        <f>VLOOKUP(Dados!K20,Dados!A542:F544,2,0)</f>
        <v>Kalvolac</v>
      </c>
      <c r="C183" s="200">
        <f>IF(D183&gt;0,VLOOKUP(Dados!I20,Dados!A469:C473,3,0),0)</f>
        <v>0</v>
      </c>
      <c r="D183" s="201">
        <f>IF(Dados!J20&gt;=2,VLOOKUP(Dados!J20,Dados!A414:B419,2,0),0)</f>
        <v>0</v>
      </c>
      <c r="E183" s="202">
        <f>IF(E204&gt;0,E204,0)</f>
        <v>0</v>
      </c>
      <c r="F183" s="64" t="str">
        <f>IF(F207&gt;0,F207,"0")</f>
        <v>0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</v>
      </c>
      <c r="D184" s="205">
        <f>(IF(Dados!I21&gt;=2,VLOOKUP(Dados!I21,Dados!A476:B490,2,0),0)*D182)/1000</f>
        <v>0</v>
      </c>
      <c r="E184" s="206">
        <f>IF(G204&gt;0,G204,0)</f>
        <v>0</v>
      </c>
      <c r="F184" s="207" t="str">
        <f>IF(H207&gt;0,H207,"0")</f>
        <v>0</v>
      </c>
    </row>
    <row r="185" spans="1:25" customHeight="1" ht="15">
      <c r="C185" s="139"/>
      <c r="D185" s="208"/>
      <c r="E185" s="209">
        <f>B204+E204+G204</f>
        <v>0</v>
      </c>
      <c r="F185" s="210">
        <f>D207+F207+H207</f>
        <v>0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25">
      <c r="B188" s="69" t="s">
        <v>129</v>
      </c>
      <c r="C188" s="216">
        <f>(C183*D183)+(C182*D182)+(C184*D182)</f>
        <v>0</v>
      </c>
    </row>
    <row r="189" spans="1:25">
      <c r="A189" s="139"/>
      <c r="B189" s="69" t="s">
        <v>130</v>
      </c>
      <c r="C189" s="217" t="e">
        <f>(C188/(D183+D182)*100)</f>
        <v>#DIV/0!</v>
      </c>
      <c r="D189" s="69" t="s">
        <v>131</v>
      </c>
      <c r="E189" s="218">
        <f>B178</f>
        <v>186.78043876434</v>
      </c>
      <c r="F189" s="219">
        <f>C178</f>
        <v>3364.7349113833</v>
      </c>
    </row>
    <row r="190" spans="1:25">
      <c r="B190" s="69" t="s">
        <v>132</v>
      </c>
      <c r="C190" s="216">
        <f>C187+C188</f>
        <v>0</v>
      </c>
      <c r="D190" s="116" t="s">
        <v>133</v>
      </c>
      <c r="E190" s="220">
        <f>SUM((E183+E184)*0.93,E182*0.95,E187*0.81)</f>
        <v>0</v>
      </c>
      <c r="F190" s="221">
        <f>SUM((F182*0.93)+(F183+F184)*0.91)+(F187*0.83)</f>
        <v>0</v>
      </c>
    </row>
    <row r="191" spans="1:25">
      <c r="A191" s="127"/>
      <c r="D191" s="69" t="s">
        <v>134</v>
      </c>
      <c r="E191" s="218">
        <f>E190-B178</f>
        <v>-186.78043876434</v>
      </c>
      <c r="F191" s="219">
        <f>F190-F189</f>
        <v>-3364.7349113833</v>
      </c>
    </row>
    <row r="192" spans="1:25">
      <c r="E192" s="143">
        <f>IF(AND(E191&gt;0,F191&gt;0),1,-1)</f>
        <v>-1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1</v>
      </c>
      <c r="D195" s="222">
        <f>B178/32</f>
        <v>5.8368887113855</v>
      </c>
      <c r="E195" s="222">
        <f>B178/31.5</f>
        <v>5.9295377385504</v>
      </c>
    </row>
    <row r="196" spans="1:25">
      <c r="B196" s="69">
        <f>Dados!J19</f>
        <v>1</v>
      </c>
      <c r="D196" s="222">
        <f>C178/650</f>
        <v>5.176515248282</v>
      </c>
      <c r="E196" s="222">
        <f>C178/622.75</f>
        <v>5.4030267545296</v>
      </c>
    </row>
    <row r="197" spans="1:25">
      <c r="B197" s="69">
        <f>Dados!I21</f>
        <v>1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0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>
        <f>(VLOOKUP($B$196,Dados!$A$518:$F$519,4,FALSE))*$D$182*1000</f>
        <v>0</v>
      </c>
      <c r="C204" s="230">
        <v>4</v>
      </c>
      <c r="D204" s="231">
        <f>C204*B204</f>
        <v>0</v>
      </c>
      <c r="E204" s="232">
        <f>(((IF(D183&gt;0,VLOOKUP($B$195,Dados!A542:F544,4,0),0)))*10*($C$183*D183))</f>
        <v>0</v>
      </c>
      <c r="F204" s="233">
        <f>C204*E204</f>
        <v>0</v>
      </c>
      <c r="G204" s="234">
        <f>(Dados!M10*10)*D184</f>
        <v>0</v>
      </c>
      <c r="H204" s="235">
        <f>G204*C204</f>
        <v>0</v>
      </c>
    </row>
    <row r="205" spans="1:25">
      <c r="A205" s="224" t="s">
        <v>25</v>
      </c>
      <c r="B205" s="236">
        <f>(VLOOKUP($B$196,Dados!$A$518:$F$519,5,FALSE))*$D$182*1000</f>
        <v>0</v>
      </c>
      <c r="C205" s="168">
        <v>9</v>
      </c>
      <c r="D205" s="237">
        <f>C205*B205</f>
        <v>0</v>
      </c>
      <c r="E205" s="232">
        <f>(((IF(D183&gt;0,VLOOKUP($B$195,Dados!A542:F544,5,0),0)))*$C$183*10)*D183</f>
        <v>0</v>
      </c>
      <c r="F205" s="238">
        <f>C205*E205</f>
        <v>0</v>
      </c>
      <c r="G205" s="239">
        <f>(Dados!M11*10)*D184</f>
        <v>0</v>
      </c>
      <c r="H205" s="240">
        <f>G205*C205</f>
        <v>0</v>
      </c>
    </row>
    <row r="206" spans="1:25">
      <c r="A206" s="224" t="s">
        <v>30</v>
      </c>
      <c r="B206" s="236">
        <f>(VLOOKUP($B$196,Dados!$A$518:$F$519,6,FALSE))*$D$182*1000</f>
        <v>0</v>
      </c>
      <c r="C206" s="168">
        <v>4</v>
      </c>
      <c r="D206" s="237">
        <f>C206*B206</f>
        <v>0</v>
      </c>
      <c r="E206" s="232">
        <f>(((IF(D183&gt;0,VLOOKUP($B$195,Dados!A542:F544,6,0),0)))*$C$183*10)*D183</f>
        <v>0</v>
      </c>
      <c r="F206" s="238">
        <f>C206*E206</f>
        <v>0</v>
      </c>
      <c r="G206" s="241">
        <f>(Dados!M12*10)*D184</f>
        <v>0</v>
      </c>
      <c r="H206" s="240">
        <f>G206*C206</f>
        <v>0</v>
      </c>
    </row>
    <row r="207" spans="1:25" customHeight="1" ht="15">
      <c r="A207" s="224"/>
      <c r="B207" s="242">
        <f>SUM(B204:B206)</f>
        <v>0</v>
      </c>
      <c r="C207" s="243"/>
      <c r="D207" s="244">
        <f>SUM(D204:D206)</f>
        <v>0</v>
      </c>
      <c r="E207" s="136"/>
      <c r="F207" s="245">
        <f>SUM(F204:F206)</f>
        <v>0</v>
      </c>
      <c r="G207" s="246"/>
      <c r="H207" s="244">
        <f>SUM(H204:H206)</f>
        <v>0</v>
      </c>
    </row>
    <row r="208" spans="1:25">
      <c r="H208" s="176">
        <f>((IF(G204="","",IF(G204&gt;0.001,(((100-3.5)/100)*(G204*0.057)+(0.092*G205)+(0.0395*G206))*3.77)))*238.85)/10</f>
        <v>0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30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600</v>
      </c>
      <c r="C227" s="191" t="str">
        <f>Dados!G336</f>
        <v/>
      </c>
      <c r="D227" s="191" t="str">
        <f>Dados!H369</f>
        <v/>
      </c>
      <c r="E227" s="186"/>
      <c r="F227" s="124">
        <f>MIN(C227:D227)</f>
        <v>0</v>
      </c>
    </row>
    <row r="228" spans="1:25" customHeight="1" ht="15"/>
    <row r="229" spans="1:25" customHeight="1" ht="15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186.78043876434</v>
      </c>
      <c r="C230" s="65">
        <f>(((0.1*(B224^0.75)+(0.84*(B224^0.355))*((B227/1000)^1.2))*1000)*1.2)</f>
        <v>3364.7349113833</v>
      </c>
      <c r="D230" s="196">
        <f>((C230*1000)/4750)/1000</f>
        <v>0.70836524450174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Sem leite</v>
      </c>
      <c r="C234" s="200">
        <f>(IF(D234&gt;1,VLOOKUP(B248,Dados!A518:C520,3,0),0))</f>
        <v>0</v>
      </c>
      <c r="D234" s="201">
        <f>IF(Dados!I11&gt;=2,VLOOKUP(Dados!I11,Dados!A414:B419,2,0),0)</f>
        <v>0</v>
      </c>
      <c r="E234" s="202">
        <f>IF(B256&gt;0,B256,0)</f>
        <v>0</v>
      </c>
      <c r="F234" s="64" t="str">
        <f>IF(D259&gt;1,D259,"0")</f>
        <v>0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</v>
      </c>
      <c r="D235" s="201">
        <f>IF(Dados!I12&gt;=2,VLOOKUP(Dados!I12,Dados!A414:B419,2,0),0)</f>
        <v>0</v>
      </c>
      <c r="E235" s="202">
        <f>IF(E256&gt;0,E256,0)</f>
        <v>0</v>
      </c>
      <c r="F235" s="64">
        <f>Dados!M15*(Dados!C235*D235)</f>
        <v>0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</v>
      </c>
      <c r="D236" s="205">
        <f>(IF(Dados!I13&gt;=2,VLOOKUP(Dados!I13,Dados!A476:B490,2,0),0)*D234)/1000</f>
        <v>0</v>
      </c>
      <c r="E236" s="206">
        <f>IF(G256&gt;0,G256,0)</f>
        <v>0</v>
      </c>
      <c r="F236" s="262">
        <f>(Dados!M15)*D236</f>
        <v>0</v>
      </c>
    </row>
    <row r="237" spans="1:25" customHeight="1" ht="15">
      <c r="C237" s="139"/>
      <c r="D237" s="208"/>
      <c r="E237" s="209">
        <f>B256+E256+G256</f>
        <v>0</v>
      </c>
      <c r="F237" s="263">
        <f>D259+F259+H259</f>
        <v>0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18%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37.5</v>
      </c>
      <c r="F239" s="264">
        <f>((IF(D239&gt;0,VLOOKUP(Dados!J14,Dados!A505:C509,3,0),0))*C239)*1000</f>
        <v>565.5</v>
      </c>
    </row>
    <row r="240" spans="1:25">
      <c r="B240" s="69" t="s">
        <v>129</v>
      </c>
      <c r="C240" s="216">
        <f>(C235*D235)+(C234*D234)+(C236*D234)</f>
        <v>0</v>
      </c>
    </row>
    <row r="241" spans="1:25">
      <c r="A241" s="139"/>
      <c r="B241" s="69" t="s">
        <v>130</v>
      </c>
      <c r="C241" s="217" t="e">
        <f>(C240/(D234+D235+D236))*100</f>
        <v>#DIV/0!</v>
      </c>
      <c r="D241" s="69" t="s">
        <v>131</v>
      </c>
      <c r="E241" s="218">
        <f>B230</f>
        <v>186.78043876434</v>
      </c>
      <c r="F241" s="219">
        <f>C230</f>
        <v>3364.7349113833</v>
      </c>
    </row>
    <row r="242" spans="1:25">
      <c r="B242" s="69" t="s">
        <v>132</v>
      </c>
      <c r="C242" s="217">
        <f>C239+C240</f>
        <v>0.2175</v>
      </c>
      <c r="D242" s="116" t="s">
        <v>133</v>
      </c>
      <c r="E242" s="220">
        <f>SUM((E235+E236)*0.93,E234*0.95,E239*0.81)</f>
        <v>30.375</v>
      </c>
      <c r="F242" s="221">
        <f>SUM((F234*0.93)+(F235+F236)*0.91)+(F239*0.83)</f>
        <v>469.365</v>
      </c>
    </row>
    <row r="243" spans="1:25">
      <c r="A243" s="127"/>
      <c r="D243" s="69" t="s">
        <v>134</v>
      </c>
      <c r="E243" s="218">
        <f>E242-B230</f>
        <v>-156.40543876434</v>
      </c>
      <c r="F243" s="219">
        <f>F242-F241</f>
        <v>-2895.3699113833</v>
      </c>
    </row>
    <row r="244" spans="1:25">
      <c r="E244" s="143">
        <f>IF(AND(E243&gt;0,F243&gt;0),1,-1)</f>
        <v>-1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1</v>
      </c>
      <c r="C247" s="69" t="s">
        <v>144</v>
      </c>
      <c r="D247" s="222">
        <f>B230/32</f>
        <v>5.8368887113855</v>
      </c>
      <c r="E247" s="222">
        <f>B230/31.5</f>
        <v>5.9295377385504</v>
      </c>
    </row>
    <row r="248" spans="1:25">
      <c r="B248" s="69">
        <f>Dados!J11</f>
        <v>1</v>
      </c>
      <c r="C248" s="69" t="s">
        <v>145</v>
      </c>
      <c r="D248" s="222">
        <f>C230/650</f>
        <v>5.176515248282</v>
      </c>
      <c r="E248" s="222">
        <f>C230/622.75</f>
        <v>5.4030267545296</v>
      </c>
    </row>
    <row r="249" spans="1:25">
      <c r="B249" s="69">
        <f>Dados!I14</f>
        <v>2</v>
      </c>
      <c r="F249" s="223"/>
    </row>
    <row r="250" spans="1:25">
      <c r="B250" s="69">
        <f>Dados!J14</f>
        <v>1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0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0</v>
      </c>
      <c r="C256" s="230">
        <v>4</v>
      </c>
      <c r="D256" s="231">
        <f>C256*B256</f>
        <v>0</v>
      </c>
      <c r="E256" s="232">
        <f>(((IF(D235&gt;0,($C$235*5)*(Dados!M10*10),0))))</f>
        <v>0</v>
      </c>
      <c r="F256" s="233">
        <f>C256*E256</f>
        <v>0</v>
      </c>
      <c r="G256" s="234">
        <f>(Dados!M10*10)*Dados!D236</f>
        <v>0</v>
      </c>
      <c r="H256" s="235">
        <f>G256*C256</f>
        <v>0</v>
      </c>
    </row>
    <row r="257" spans="1:25">
      <c r="A257" s="224" t="s">
        <v>25</v>
      </c>
      <c r="B257" s="229">
        <f>IF($D$234&gt;0,VLOOKUP($B$248,Dados!$A$518:$F$520,5,0),0)*$D$234*1000</f>
        <v>0</v>
      </c>
      <c r="C257" s="168">
        <v>9</v>
      </c>
      <c r="D257" s="237">
        <f>C257*B257</f>
        <v>0</v>
      </c>
      <c r="E257" s="232">
        <f>(((IF(D235&gt;0,($C$235*5)*(Dados!M11*10),0))))</f>
        <v>0</v>
      </c>
      <c r="F257" s="238">
        <f>C257*E257</f>
        <v>0</v>
      </c>
      <c r="G257" s="239">
        <f>(Dados!M11*10)*Dados!D236</f>
        <v>0</v>
      </c>
      <c r="H257" s="240">
        <f>G257*C257</f>
        <v>0</v>
      </c>
    </row>
    <row r="258" spans="1:25">
      <c r="A258" s="224" t="s">
        <v>30</v>
      </c>
      <c r="B258" s="229">
        <f>IF($D$234&gt;0,VLOOKUP($B$248,Dados!$A$518:$F$520,6,0),0)*$D$234*1000</f>
        <v>0</v>
      </c>
      <c r="C258" s="168">
        <v>4</v>
      </c>
      <c r="D258" s="237">
        <f>C258*B258</f>
        <v>0</v>
      </c>
      <c r="E258" s="232">
        <f>(((IF(D235&gt;0,($C$235*5)*(Dados!M12*10),0))))</f>
        <v>0</v>
      </c>
      <c r="F258" s="238">
        <f>C258*E258</f>
        <v>0</v>
      </c>
      <c r="G258" s="241">
        <f>(Dados!M12*10)*Dados!D236</f>
        <v>0</v>
      </c>
      <c r="H258" s="240">
        <f>G258*C258</f>
        <v>0</v>
      </c>
    </row>
    <row r="259" spans="1:25" customHeight="1" ht="15">
      <c r="A259" s="224"/>
      <c r="B259" s="242">
        <f>SUM(B256:B258)</f>
        <v>0</v>
      </c>
      <c r="C259" s="243"/>
      <c r="D259" s="244">
        <f>SUM(D256:D258)</f>
        <v>0</v>
      </c>
      <c r="E259" s="136"/>
      <c r="F259" s="245">
        <f>SUM(F256:F258)</f>
        <v>0</v>
      </c>
      <c r="G259" s="246"/>
      <c r="H259" s="244">
        <f>SUM(H256:H258)</f>
        <v>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1</v>
      </c>
      <c r="B276" s="265">
        <f>A276-2</f>
        <v>-1</v>
      </c>
      <c r="C276" s="265"/>
      <c r="D276" s="265"/>
      <c r="E276" s="265" t="s">
        <v>147</v>
      </c>
      <c r="F276" s="265"/>
      <c r="G276" s="265">
        <f>VLOOKUP(Dados!$D$18,Dados!A436:B450,2,0)</f>
        <v>30</v>
      </c>
      <c r="H276" s="265"/>
      <c r="I276" s="265"/>
      <c r="J276" s="265" t="str">
        <f>IFERROR(VLOOKUP(A277,B284:N303,MATCH(A276,D281:N281,1)-B276,0),"")</f>
        <v/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0</v>
      </c>
      <c r="B277" s="265"/>
      <c r="C277" s="265"/>
      <c r="D277" s="265"/>
      <c r="E277" s="265" t="s">
        <v>148</v>
      </c>
      <c r="F277" s="265"/>
      <c r="G277" s="266">
        <f>Dados!E190</f>
        <v>0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-4</v>
      </c>
      <c r="B278" s="265"/>
      <c r="C278" s="265"/>
      <c r="D278" s="265"/>
      <c r="E278" s="268" t="s">
        <v>149</v>
      </c>
      <c r="F278" s="268"/>
      <c r="G278" s="269" t="str">
        <f>B280</f>
        <v/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 t="str">
        <f>IFERROR(VLOOKUP(A277,B284:R303,MATCH(A276,D281:R281,0)-B276,0),"")</f>
        <v/>
      </c>
      <c r="C280" s="265"/>
      <c r="D280" s="265">
        <f>IFERROR(IF($A$276=1,MATCH($G$277,D$284:D$303,1),0),0)</f>
        <v>0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0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30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1</v>
      </c>
      <c r="T305" s="265">
        <f>S305-2</f>
        <v>-1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0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0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 t="str">
        <f>S309</f>
        <v/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-4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0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0</v>
      </c>
      <c r="S309" s="265" t="str">
        <f>IFERROR(VLOOKUP(S306,A313:Q332,MATCH(S305,C310:Q310,0)-T305,0),"")</f>
        <v/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1</v>
      </c>
      <c r="B334" s="265">
        <f>A334-2</f>
        <v>-1</v>
      </c>
      <c r="C334" s="265"/>
      <c r="D334" s="265"/>
      <c r="E334" s="265" t="s">
        <v>147</v>
      </c>
      <c r="F334" s="265"/>
      <c r="G334" s="265">
        <f>VLOOKUP(Dados!$D$18,Dados!A436:B450,2,0)</f>
        <v>30</v>
      </c>
      <c r="H334" s="265"/>
      <c r="I334" s="265"/>
      <c r="J334" s="265" t="str">
        <f>IFERROR(VLOOKUP(A335,B342:R361,MATCH(A334,D339:R339,1)-B334,0),"")</f>
        <v/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0</v>
      </c>
      <c r="B335" s="265"/>
      <c r="C335" s="265"/>
      <c r="D335" s="265"/>
      <c r="E335" s="265" t="s">
        <v>148</v>
      </c>
      <c r="F335" s="265"/>
      <c r="G335" s="270">
        <f>Dados!E242</f>
        <v>30.375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-4</v>
      </c>
      <c r="B336" s="265"/>
      <c r="C336" s="265"/>
      <c r="D336" s="265"/>
      <c r="E336" s="268" t="s">
        <v>149</v>
      </c>
      <c r="F336" s="268"/>
      <c r="G336" s="269" t="str">
        <f>B338</f>
        <v/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 t="str">
        <f>IFERROR(VLOOKUP(A335,B342:R361,MATCH(A334,D339:R339,0)-B334,0),"")</f>
        <v/>
      </c>
      <c r="C338" s="265"/>
      <c r="D338" s="265">
        <f>IFERROR(IF($A$334=1,MATCH($G$335,D342:D361,1),0),0)</f>
        <v>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0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30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600000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1</v>
      </c>
      <c r="T366" s="265">
        <f>S366-2</f>
        <v>-1</v>
      </c>
      <c r="U366" s="265"/>
      <c r="V366" s="265">
        <f>MATCH(W363,D374:R374,0)</f>
        <v>1</v>
      </c>
      <c r="W366" s="265">
        <f>V366-2</f>
        <v>-1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30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0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469.365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-4</v>
      </c>
      <c r="T368" s="265" t="str">
        <f>IFERROR(VLOOKUP(S367,B375:N394,MATCH(S366,D372:R372,0)-T366,0),"")</f>
        <v/>
      </c>
      <c r="U368" s="265"/>
      <c r="V368" s="265">
        <f>MATCH(V366,D372:R372,0)-5</f>
        <v>-4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 t="str">
        <f>T368</f>
        <v/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20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0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51" t="s">
        <v>171</v>
      </c>
      <c r="C468" s="351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0.07</v>
      </c>
      <c r="N556" s="342"/>
      <c r="O556" s="342">
        <v>0.07</v>
      </c>
      <c r="P556" s="342"/>
      <c r="Q556" s="341"/>
      <c r="R556" s="341"/>
    </row>
    <row r="557" spans="1:25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134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25" customHeight="1" ht="18">
      <c r="A558" s="343" t="s">
        <v>226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25" customHeight="1" ht="15">
      <c r="A559" s="343" t="s">
        <v>227</v>
      </c>
      <c r="B559" s="343" t="s">
        <v>162</v>
      </c>
      <c r="C559" s="343"/>
      <c r="D559" s="343"/>
      <c r="E559" s="343" t="s">
        <v>163</v>
      </c>
      <c r="F559" s="343"/>
      <c r="G559" s="343"/>
      <c r="H559" s="343" t="s">
        <v>164</v>
      </c>
      <c r="I559" s="343"/>
      <c r="J559" s="343"/>
      <c r="M559" s="116">
        <v>0</v>
      </c>
      <c r="N559" s="116"/>
      <c r="O559" s="116"/>
    </row>
    <row r="560" spans="1:25" customHeight="1" ht="15">
      <c r="A560" s="343" t="s">
        <v>228</v>
      </c>
      <c r="B560" s="343" t="s">
        <v>229</v>
      </c>
      <c r="C560" s="343" t="s">
        <v>230</v>
      </c>
      <c r="D560" s="343" t="s">
        <v>231</v>
      </c>
      <c r="E560" s="343" t="s">
        <v>229</v>
      </c>
      <c r="F560" s="343" t="s">
        <v>230</v>
      </c>
      <c r="G560" s="343" t="s">
        <v>231</v>
      </c>
      <c r="H560" s="343" t="s">
        <v>229</v>
      </c>
      <c r="I560" s="343" t="s">
        <v>230</v>
      </c>
      <c r="J560" s="343" t="s">
        <v>231</v>
      </c>
      <c r="L560" s="344" t="s">
        <v>232</v>
      </c>
      <c r="M560" s="344" t="s">
        <v>233</v>
      </c>
      <c r="N560" s="116" t="s">
        <v>234</v>
      </c>
      <c r="O560" s="116" t="s">
        <v>235</v>
      </c>
      <c r="P560" s="116" t="s">
        <v>236</v>
      </c>
      <c r="Q560" s="116" t="s">
        <v>237</v>
      </c>
      <c r="R560" s="116" t="s">
        <v>238</v>
      </c>
    </row>
    <row r="561" spans="1:25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25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25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25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25" customHeight="1" ht="19">
      <c r="A567" s="100" t="s">
        <v>239</v>
      </c>
    </row>
    <row r="568" spans="1:25">
      <c r="A568" s="329" t="s">
        <v>240</v>
      </c>
      <c r="B568" s="329" t="s">
        <v>241</v>
      </c>
      <c r="C568" s="329" t="s">
        <v>242</v>
      </c>
      <c r="D568" s="329" t="s">
        <v>243</v>
      </c>
      <c r="E568" s="329" t="s">
        <v>244</v>
      </c>
      <c r="F568" s="328"/>
    </row>
    <row r="569" spans="1:25" customHeight="1" ht="30">
      <c r="A569" s="330" t="s">
        <v>245</v>
      </c>
      <c r="B569" s="330" t="s">
        <v>246</v>
      </c>
      <c r="C569" s="331" t="s">
        <v>247</v>
      </c>
      <c r="D569" s="331" t="s">
        <v>248</v>
      </c>
      <c r="E569" s="330"/>
      <c r="F569" s="328"/>
    </row>
    <row r="570" spans="1:25" customHeight="1" ht="30">
      <c r="A570" s="331" t="e">
        <f>#REF!</f>
        <v>#REF!</v>
      </c>
      <c r="B570" s="331" t="s">
        <v>249</v>
      </c>
      <c r="C570" s="331" t="s">
        <v>247</v>
      </c>
      <c r="D570" s="331" t="s">
        <v>250</v>
      </c>
      <c r="E570" s="331" t="s">
        <v>251</v>
      </c>
      <c r="F570" s="328"/>
    </row>
    <row r="571" spans="1:25" customHeight="1" ht="30">
      <c r="A571" s="331" t="s">
        <v>252</v>
      </c>
      <c r="B571" s="331" t="s">
        <v>253</v>
      </c>
      <c r="C571" s="331" t="s">
        <v>254</v>
      </c>
      <c r="D571" s="331" t="s">
        <v>255</v>
      </c>
      <c r="E571" s="331" t="s">
        <v>256</v>
      </c>
      <c r="F571" s="328"/>
    </row>
    <row r="572" spans="1:25" customHeight="1" ht="30">
      <c r="A572" s="331" t="s">
        <v>257</v>
      </c>
      <c r="B572" s="331" t="s">
        <v>253</v>
      </c>
      <c r="C572" s="331" t="s">
        <v>258</v>
      </c>
      <c r="D572" s="331" t="s">
        <v>259</v>
      </c>
      <c r="E572" s="331" t="s">
        <v>260</v>
      </c>
      <c r="F572" s="328"/>
    </row>
    <row r="573" spans="1:25" customHeight="1" ht="45">
      <c r="A573" s="331" t="s">
        <v>261</v>
      </c>
      <c r="B573" s="331" t="s">
        <v>262</v>
      </c>
      <c r="C573" s="331" t="s">
        <v>263</v>
      </c>
      <c r="D573" s="331" t="s">
        <v>264</v>
      </c>
      <c r="E573" s="331" t="s">
        <v>265</v>
      </c>
      <c r="F573" s="328"/>
    </row>
    <row r="574" spans="1:25" customHeight="1" ht="45">
      <c r="A574" s="331" t="s">
        <v>266</v>
      </c>
      <c r="B574" s="331" t="s">
        <v>267</v>
      </c>
      <c r="C574" s="331" t="s">
        <v>268</v>
      </c>
      <c r="D574" s="331" t="s">
        <v>269</v>
      </c>
      <c r="E574" s="331" t="s">
        <v>270</v>
      </c>
      <c r="F574" s="328"/>
    </row>
    <row r="575" spans="1:25">
      <c r="A575" s="332" t="s">
        <v>271</v>
      </c>
      <c r="B575" s="346" t="s">
        <v>272</v>
      </c>
      <c r="C575" s="346"/>
      <c r="D575" s="333"/>
      <c r="E575" s="334"/>
      <c r="F575" s="328"/>
    </row>
    <row r="576" spans="1:25">
      <c r="A576" s="335" t="s">
        <v>273</v>
      </c>
      <c r="B576" s="347" t="s">
        <v>274</v>
      </c>
      <c r="C576" s="347"/>
      <c r="D576" s="336"/>
      <c r="E576" s="337"/>
      <c r="F576" s="328"/>
    </row>
    <row r="577" spans="1:25">
      <c r="A577" s="338" t="s">
        <v>275</v>
      </c>
      <c r="B577" s="348" t="s">
        <v>276</v>
      </c>
      <c r="C577" s="348"/>
      <c r="D577" s="339" t="s">
        <v>14</v>
      </c>
      <c r="E577" s="340" t="s">
        <v>277</v>
      </c>
      <c r="F577" s="328"/>
    </row>
    <row r="578" spans="1:25">
      <c r="A578" s="327"/>
      <c r="B578" s="327"/>
      <c r="C578" s="327"/>
      <c r="D578" s="327"/>
      <c r="E578" s="327"/>
      <c r="F578" s="327"/>
    </row>
    <row r="579" spans="1:25">
      <c r="A579" s="327"/>
      <c r="B579" s="327"/>
      <c r="C579" s="327"/>
      <c r="D579" s="327"/>
      <c r="E579" s="327"/>
      <c r="F579" s="327"/>
    </row>
    <row r="580" spans="1:25">
      <c r="A580" s="327"/>
      <c r="B580" s="327"/>
      <c r="C580" s="327"/>
      <c r="D580" s="327"/>
      <c r="E580" s="327"/>
      <c r="F580" s="327"/>
    </row>
  </sheetData>
  <mergeCells>
    <mergeCell ref="F15:G15"/>
    <mergeCell ref="B468:C468"/>
    <mergeCell ref="B575:C575"/>
    <mergeCell ref="B576:C576"/>
    <mergeCell ref="B577:C577"/>
    <mergeCell ref="A27:B27"/>
    <mergeCell ref="F23:G23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56">
        <v>0.07</v>
      </c>
      <c r="O1" s="356"/>
      <c r="P1" s="356">
        <v>0.07</v>
      </c>
      <c r="Q1" s="357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60" t="s">
        <v>226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1:19" customHeight="1" ht="17.25">
      <c r="B4" s="2" t="s">
        <v>227</v>
      </c>
      <c r="C4" s="363" t="s">
        <v>162</v>
      </c>
      <c r="D4" s="364"/>
      <c r="E4" s="365"/>
      <c r="F4" s="363" t="s">
        <v>163</v>
      </c>
      <c r="G4" s="364"/>
      <c r="H4" s="365"/>
      <c r="I4" s="363" t="s">
        <v>164</v>
      </c>
      <c r="J4" s="364"/>
      <c r="K4" s="366"/>
      <c r="N4" s="359">
        <f>Dados!C15</f>
        <v/>
      </c>
      <c r="O4" s="359"/>
      <c r="P4" s="359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67" t="s">
        <v>278</v>
      </c>
      <c r="C2" s="368"/>
      <c r="D2" s="368"/>
      <c r="E2" s="368"/>
      <c r="F2" s="369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52"/>
      <c r="J14" s="353"/>
      <c r="K14" s="353"/>
      <c r="L14" s="48"/>
    </row>
    <row r="15" spans="1:12" customHeight="1" ht="17.25">
      <c r="I15" s="352"/>
      <c r="J15" s="353"/>
      <c r="K15" s="353"/>
      <c r="L15" s="50"/>
    </row>
    <row r="16" spans="1:12" customHeight="1" ht="17.25">
      <c r="I16" s="352"/>
      <c r="J16" s="353"/>
      <c r="K16" s="353"/>
      <c r="L16" s="48"/>
    </row>
    <row r="17" spans="1:12" customHeight="1" ht="17.25">
      <c r="I17" s="352"/>
      <c r="J17" s="353"/>
      <c r="K17" s="353"/>
    </row>
    <row r="18" spans="1:12" customHeight="1" ht="17.25">
      <c r="I18" s="352"/>
      <c r="J18" s="353"/>
      <c r="K18" s="353"/>
    </row>
    <row r="19" spans="1:12" customHeight="1" ht="17.25">
      <c r="I19" s="352"/>
      <c r="J19" s="353"/>
      <c r="K19" s="353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54"/>
      <c r="B27" s="354"/>
      <c r="C27" s="354"/>
      <c r="D27" s="354"/>
      <c r="E27" s="354"/>
      <c r="F27" s="354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24">
      <c r="K6" s="56"/>
      <c r="U6" s="355"/>
      <c r="V6" s="355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30">
      <c r="K6" s="56"/>
      <c r="U6" s="355"/>
      <c r="V6" s="355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2023-05-02T11:48:25+00:00</dcterms:modified>
  <dc:title/>
  <dc:description/>
  <dc:subject/>
  <cp:keywords/>
  <cp:category/>
</cp:coreProperties>
</file>