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Bisbii\PythonProjects\model_analysis\data\experimental\"/>
    </mc:Choice>
  </mc:AlternateContent>
  <xr:revisionPtr revIDLastSave="0" documentId="13_ncr:1_{60500513-B59C-4D04-9925-4AC297AFBA91}" xr6:coauthVersionLast="47" xr6:coauthVersionMax="47" xr10:uidLastSave="{00000000-0000-0000-0000-000000000000}"/>
  <bookViews>
    <workbookView xWindow="-120" yWindow="-120" windowWidth="29040" windowHeight="15720" activeTab="4" xr2:uid="{00000000-000D-0000-FFFF-FFFF00000000}"/>
  </bookViews>
  <sheets>
    <sheet name="Macromolecular Composition" sheetId="1" r:id="rId1"/>
    <sheet name="Protein" sheetId="2" r:id="rId2"/>
    <sheet name="RNA" sheetId="3" r:id="rId3"/>
    <sheet name="DNA" sheetId="4" r:id="rId4"/>
    <sheet name="Lipid" sheetId="5" r:id="rId5"/>
    <sheet name="Sterols" sheetId="11" r:id="rId6"/>
    <sheet name="Acids" sheetId="12" r:id="rId7"/>
    <sheet name="Sheet2" sheetId="10" r:id="rId8"/>
    <sheet name="Sheet1" sheetId="9" r:id="rId9"/>
    <sheet name="Carbohydrates" sheetId="6" r:id="rId10"/>
    <sheet name="Pigments" sheetId="7" r:id="rId11"/>
    <sheet name="Cofactors" sheetId="8" r:id="rId12"/>
  </sheets>
  <definedNames>
    <definedName name="solver_adj" localSheetId="4" hidden="1">Lipid!$AL$148:$AL$160</definedName>
    <definedName name="solver_cvg" localSheetId="4" hidden="1">"""""""""""""""""""""""""""""""""""""""""""""""""""""""""""""""""""""""""""""""""""""""""""""""""""""""""""""""""""""""""""""""0,0001"""""""""""""""""""""""""""""""""""""""""""""""""""""""""""""""""""""""""""""""""""""""""""""""""""""""""""""""""""""""""""""""</definedName>
    <definedName name="solver_drv" localSheetId="4" hidden="1">2</definedName>
    <definedName name="solver_eng" localSheetId="4" hidden="1">3</definedName>
    <definedName name="solver_est" localSheetId="4" hidden="1">1</definedName>
    <definedName name="solver_itr" localSheetId="4" hidden="1">2147483647</definedName>
    <definedName name="solver_lhs1" localSheetId="4" hidden="1">Lipid!$AL$162</definedName>
    <definedName name="solver_lhs2" localSheetId="4" hidden="1">Lipid!$AL$162</definedName>
    <definedName name="solver_lhs3" localSheetId="4" hidden="1">Lipid!$AP$162</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2</definedName>
    <definedName name="solver_nwt" localSheetId="4" hidden="1">1</definedName>
    <definedName name="solver_opt" localSheetId="4" hidden="1">Lipid!$AR$162</definedName>
    <definedName name="solver_pre" localSheetId="4" hidden="1">"""""""""""""""""""""""""""""""""""""""""""""""""""""""""""""""""""""""""""""""""""""""""""""""""""""""""""""""""""""""""""""""0,000001"""""""""""""""""""""""""""""""""""""""""""""""""""""""""""""""""""""""""""""""""""""""""""""""""""""""""""""""""""""""""""""""</definedName>
    <definedName name="solver_rbv" localSheetId="4" hidden="1">2</definedName>
    <definedName name="solver_rel1" localSheetId="4" hidden="1">1</definedName>
    <definedName name="solver_rel2" localSheetId="4" hidden="1">3</definedName>
    <definedName name="solver_rel3" localSheetId="4" hidden="1">2</definedName>
    <definedName name="solver_rhs1" localSheetId="4" hidden="1">1.01</definedName>
    <definedName name="solver_rhs2" localSheetId="4" hidden="1">0.99</definedName>
    <definedName name="solver_rhs3" localSheetId="4" hidden="1">1</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7" l="1"/>
  <c r="I33" i="7"/>
  <c r="F15" i="7"/>
  <c r="I4" i="11"/>
  <c r="J4" i="11" s="1"/>
  <c r="O21" i="11" l="1"/>
  <c r="O20" i="11"/>
  <c r="E12" i="1"/>
  <c r="F12" i="1"/>
  <c r="N5" i="11"/>
  <c r="N9" i="11"/>
  <c r="N12" i="11"/>
  <c r="M5" i="11"/>
  <c r="M9" i="11"/>
  <c r="M12" i="11"/>
  <c r="K6" i="6" l="1"/>
  <c r="K7" i="6"/>
  <c r="K8" i="6"/>
  <c r="K9" i="6"/>
  <c r="K10" i="6"/>
  <c r="K11" i="6"/>
  <c r="K12" i="6"/>
  <c r="K13" i="6"/>
  <c r="K14" i="6"/>
  <c r="G42" i="6"/>
  <c r="G41" i="6"/>
  <c r="G39" i="6"/>
  <c r="D5" i="1"/>
  <c r="N25" i="7" l="1"/>
  <c r="N26" i="7"/>
  <c r="N27" i="7"/>
  <c r="N28" i="7"/>
  <c r="N29" i="7"/>
  <c r="N24" i="7"/>
  <c r="E20" i="7"/>
  <c r="H3" i="2" l="1"/>
  <c r="I25" i="2"/>
  <c r="M25" i="5" l="1"/>
  <c r="M18" i="5"/>
  <c r="M15" i="5"/>
  <c r="M14" i="5"/>
  <c r="N14" i="5"/>
  <c r="G6" i="6"/>
  <c r="M16" i="5"/>
  <c r="M17" i="5"/>
  <c r="M19" i="5"/>
  <c r="M20" i="5"/>
  <c r="M21" i="5"/>
  <c r="M22" i="5"/>
  <c r="M23" i="5"/>
  <c r="M24" i="5"/>
  <c r="K16" i="5"/>
  <c r="K15" i="5"/>
  <c r="K14" i="5"/>
  <c r="K32" i="5"/>
  <c r="F14" i="5"/>
  <c r="I23" i="8"/>
  <c r="H11" i="12" l="1"/>
  <c r="G12" i="12"/>
  <c r="F12" i="12"/>
  <c r="H7" i="12"/>
  <c r="H8" i="12"/>
  <c r="H9" i="12"/>
  <c r="H10" i="12"/>
  <c r="H6" i="12"/>
  <c r="H12" i="12" l="1"/>
  <c r="D10" i="1" l="1"/>
  <c r="D12" i="1"/>
  <c r="K10" i="11"/>
  <c r="L10" i="11" s="1"/>
  <c r="M10" i="11" s="1"/>
  <c r="N10" i="11" s="1"/>
  <c r="K11" i="11"/>
  <c r="L11" i="11" s="1"/>
  <c r="M11" i="11" s="1"/>
  <c r="N11" i="11" s="1"/>
  <c r="J6" i="11"/>
  <c r="J7" i="11"/>
  <c r="J8" i="11"/>
  <c r="J13" i="11" s="1"/>
  <c r="K6" i="11" s="1"/>
  <c r="L6" i="11" s="1"/>
  <c r="M6" i="11" s="1"/>
  <c r="N6" i="11" s="1"/>
  <c r="J10" i="11"/>
  <c r="J11" i="11"/>
  <c r="I13" i="11"/>
  <c r="I6" i="11"/>
  <c r="I7" i="11"/>
  <c r="I8" i="11"/>
  <c r="I10" i="11"/>
  <c r="I11" i="11"/>
  <c r="K8" i="11" l="1"/>
  <c r="L8" i="11" s="1"/>
  <c r="M8" i="11" s="1"/>
  <c r="N8" i="11" s="1"/>
  <c r="K7" i="11"/>
  <c r="L7" i="11" s="1"/>
  <c r="M7" i="11" s="1"/>
  <c r="N7" i="11" s="1"/>
  <c r="K4" i="11"/>
  <c r="L4" i="11" s="1"/>
  <c r="M4" i="11"/>
  <c r="L13" i="11"/>
  <c r="K13" i="11"/>
  <c r="H6" i="11"/>
  <c r="H7" i="11"/>
  <c r="H8" i="11"/>
  <c r="H10" i="11"/>
  <c r="H11" i="11"/>
  <c r="H4" i="11"/>
  <c r="G13" i="11"/>
  <c r="F13" i="11"/>
  <c r="G32" i="8"/>
  <c r="H8" i="8" s="1"/>
  <c r="N4" i="11" l="1"/>
  <c r="N13" i="11" s="1"/>
  <c r="M13" i="11"/>
  <c r="H15" i="8"/>
  <c r="I15" i="8" s="1"/>
  <c r="H30" i="8"/>
  <c r="I30" i="8" s="1"/>
  <c r="H14" i="8"/>
  <c r="I14" i="8" s="1"/>
  <c r="H21" i="8"/>
  <c r="I21" i="8" s="1"/>
  <c r="H18" i="8"/>
  <c r="I18" i="8" s="1"/>
  <c r="H23" i="8"/>
  <c r="H22" i="8"/>
  <c r="I22" i="8" s="1"/>
  <c r="H29" i="8"/>
  <c r="I29" i="8" s="1"/>
  <c r="H13" i="8"/>
  <c r="I13" i="8" s="1"/>
  <c r="H28" i="8"/>
  <c r="I28" i="8" s="1"/>
  <c r="H20" i="8"/>
  <c r="I20" i="8" s="1"/>
  <c r="H12" i="8"/>
  <c r="I12" i="8" s="1"/>
  <c r="H26" i="8"/>
  <c r="I26" i="8" s="1"/>
  <c r="H31" i="8"/>
  <c r="I31" i="8" s="1"/>
  <c r="H27" i="8"/>
  <c r="I27" i="8" s="1"/>
  <c r="H19" i="8"/>
  <c r="I19" i="8" s="1"/>
  <c r="H11" i="8"/>
  <c r="I11" i="8" s="1"/>
  <c r="H10" i="8"/>
  <c r="I10" i="8" s="1"/>
  <c r="H25" i="8"/>
  <c r="I25" i="8" s="1"/>
  <c r="H17" i="8"/>
  <c r="I17" i="8" s="1"/>
  <c r="H9" i="8"/>
  <c r="I9" i="8" s="1"/>
  <c r="I8" i="8"/>
  <c r="H24" i="8"/>
  <c r="I24" i="8" s="1"/>
  <c r="H16" i="8"/>
  <c r="I16" i="8" s="1"/>
  <c r="H13" i="11"/>
  <c r="T54" i="5"/>
  <c r="T55" i="5"/>
  <c r="T56" i="5"/>
  <c r="T57" i="5"/>
  <c r="T53" i="5"/>
  <c r="S54" i="5"/>
  <c r="S55" i="5"/>
  <c r="S56" i="5"/>
  <c r="S57" i="5"/>
  <c r="S53" i="5"/>
  <c r="R58" i="5"/>
  <c r="T58" i="5"/>
  <c r="K53" i="5"/>
  <c r="J54" i="5"/>
  <c r="J55" i="5"/>
  <c r="J56" i="5"/>
  <c r="J57" i="5"/>
  <c r="J58" i="5"/>
  <c r="J59" i="5"/>
  <c r="J60" i="5"/>
  <c r="J61" i="5"/>
  <c r="J62" i="5"/>
  <c r="J63" i="5"/>
  <c r="J64" i="5"/>
  <c r="J53" i="5"/>
  <c r="R54" i="5"/>
  <c r="R55" i="5"/>
  <c r="R56" i="5"/>
  <c r="R57" i="5"/>
  <c r="R53" i="5"/>
  <c r="P58" i="5"/>
  <c r="S113" i="10"/>
  <c r="S114" i="10"/>
  <c r="S115" i="10"/>
  <c r="S116" i="10"/>
  <c r="S112" i="10"/>
  <c r="R117" i="10"/>
  <c r="R113" i="10"/>
  <c r="R114" i="10"/>
  <c r="R115" i="10"/>
  <c r="R116" i="10"/>
  <c r="R112" i="10"/>
  <c r="H32" i="8" l="1"/>
  <c r="I32" i="8"/>
  <c r="S58" i="5"/>
  <c r="P192" i="5" l="1"/>
  <c r="P193" i="5" s="1"/>
  <c r="V191" i="5"/>
  <c r="V192" i="5"/>
  <c r="V190" i="5"/>
  <c r="V193" i="5" s="1"/>
  <c r="U191" i="5"/>
  <c r="U192" i="5"/>
  <c r="U190" i="5"/>
  <c r="U193" i="5" s="1"/>
  <c r="T191" i="5"/>
  <c r="T192" i="5"/>
  <c r="T190" i="5"/>
  <c r="K192" i="5"/>
  <c r="K193" i="5"/>
  <c r="K194" i="5"/>
  <c r="K195" i="5"/>
  <c r="K196" i="5"/>
  <c r="K197" i="5"/>
  <c r="K198" i="5"/>
  <c r="K191" i="5"/>
  <c r="J192" i="5"/>
  <c r="J193" i="5"/>
  <c r="J194" i="5"/>
  <c r="J195" i="5"/>
  <c r="J196" i="5"/>
  <c r="J197" i="5"/>
  <c r="J198" i="5"/>
  <c r="J191" i="5"/>
  <c r="I195" i="5"/>
  <c r="I193" i="5"/>
  <c r="I192" i="5"/>
  <c r="S193" i="5"/>
  <c r="T193" i="5"/>
  <c r="Q191" i="5"/>
  <c r="Q190" i="5"/>
  <c r="Q177" i="5"/>
  <c r="P191" i="5"/>
  <c r="P190" i="5"/>
  <c r="L176" i="5"/>
  <c r="K177" i="5"/>
  <c r="K178" i="5"/>
  <c r="K179" i="5"/>
  <c r="K180" i="5"/>
  <c r="K181" i="5"/>
  <c r="K182" i="5"/>
  <c r="K183" i="5"/>
  <c r="K184" i="5"/>
  <c r="K185" i="5"/>
  <c r="K176" i="5"/>
  <c r="J176" i="5"/>
  <c r="I178" i="5"/>
  <c r="J177" i="5"/>
  <c r="J183" i="5"/>
  <c r="Q184" i="5"/>
  <c r="Q178" i="5"/>
  <c r="Q179" i="5"/>
  <c r="Q180" i="5"/>
  <c r="Q181" i="5"/>
  <c r="Q182" i="5"/>
  <c r="Q183" i="5"/>
  <c r="Q176" i="5"/>
  <c r="R30" i="5"/>
  <c r="P184" i="5"/>
  <c r="P183" i="5"/>
  <c r="P182" i="5"/>
  <c r="P181" i="5"/>
  <c r="P180" i="5"/>
  <c r="P179" i="5"/>
  <c r="P178" i="5"/>
  <c r="P177" i="5"/>
  <c r="P176" i="5"/>
  <c r="AC166" i="5"/>
  <c r="AC165" i="5"/>
  <c r="L168" i="5"/>
  <c r="L171" i="5" s="1"/>
  <c r="L169" i="5"/>
  <c r="L170" i="5"/>
  <c r="L160" i="5"/>
  <c r="L161" i="5"/>
  <c r="L162" i="5"/>
  <c r="L163" i="5"/>
  <c r="L164" i="5"/>
  <c r="L165" i="5"/>
  <c r="L166" i="5"/>
  <c r="L167" i="5"/>
  <c r="L159" i="5"/>
  <c r="K171" i="5"/>
  <c r="K160" i="5"/>
  <c r="K161" i="5"/>
  <c r="K162" i="5"/>
  <c r="K163" i="5"/>
  <c r="K164" i="5"/>
  <c r="K165" i="5"/>
  <c r="K166" i="5"/>
  <c r="K167" i="5"/>
  <c r="K168" i="5"/>
  <c r="K169" i="5"/>
  <c r="K170" i="5"/>
  <c r="K159" i="5"/>
  <c r="J159" i="5"/>
  <c r="J171" i="5" s="1"/>
  <c r="J154" i="5"/>
  <c r="J160" i="5"/>
  <c r="J161" i="5"/>
  <c r="J162" i="5"/>
  <c r="J163" i="5"/>
  <c r="J164" i="5"/>
  <c r="J165" i="5"/>
  <c r="J166" i="5"/>
  <c r="J167" i="5"/>
  <c r="J168" i="5"/>
  <c r="J169" i="5"/>
  <c r="J170" i="5"/>
  <c r="X162" i="5"/>
  <c r="I160" i="5" s="1"/>
  <c r="I164" i="5"/>
  <c r="I170" i="5"/>
  <c r="I167" i="5"/>
  <c r="I166" i="5"/>
  <c r="I165" i="5"/>
  <c r="I168" i="5"/>
  <c r="I162" i="5"/>
  <c r="X163" i="5"/>
  <c r="X164" i="5"/>
  <c r="X165" i="5"/>
  <c r="X166" i="5"/>
  <c r="X167" i="5"/>
  <c r="X168" i="5"/>
  <c r="X169" i="5"/>
  <c r="X170" i="5"/>
  <c r="X171" i="5"/>
  <c r="X172" i="5"/>
  <c r="J206" i="5"/>
  <c r="J207" i="5"/>
  <c r="J208" i="5"/>
  <c r="J209" i="5"/>
  <c r="J210" i="5"/>
  <c r="J211" i="5"/>
  <c r="J212" i="5"/>
  <c r="J213" i="5"/>
  <c r="J214" i="5"/>
  <c r="J215" i="5"/>
  <c r="J216" i="5"/>
  <c r="J205" i="5"/>
  <c r="I217" i="5"/>
  <c r="R206" i="5"/>
  <c r="Q226" i="5"/>
  <c r="P226" i="5"/>
  <c r="R204" i="5"/>
  <c r="R205" i="5"/>
  <c r="R207" i="5"/>
  <c r="R208" i="5"/>
  <c r="R209" i="5"/>
  <c r="R210" i="5"/>
  <c r="R211" i="5"/>
  <c r="R212" i="5"/>
  <c r="R213" i="5"/>
  <c r="R214" i="5"/>
  <c r="R215" i="5"/>
  <c r="R216" i="5"/>
  <c r="R217" i="5"/>
  <c r="R218" i="5"/>
  <c r="R219" i="5"/>
  <c r="R220" i="5"/>
  <c r="R221" i="5"/>
  <c r="R222" i="5"/>
  <c r="R223" i="5"/>
  <c r="R224" i="5"/>
  <c r="R225" i="5"/>
  <c r="R203" i="5"/>
  <c r="Q192" i="5" l="1"/>
  <c r="I161" i="5"/>
  <c r="I171" i="5" s="1"/>
  <c r="X173" i="5"/>
  <c r="J217" i="5"/>
  <c r="R226" i="5"/>
  <c r="J96" i="5"/>
  <c r="J97" i="5"/>
  <c r="J98" i="5"/>
  <c r="J99" i="5"/>
  <c r="J100" i="5"/>
  <c r="J101" i="5"/>
  <c r="J102" i="5"/>
  <c r="J103" i="5"/>
  <c r="J104" i="5"/>
  <c r="J105" i="5"/>
  <c r="J106" i="5"/>
  <c r="J107" i="5"/>
  <c r="J108" i="5"/>
  <c r="J95" i="5"/>
  <c r="Q106" i="5"/>
  <c r="P106" i="5"/>
  <c r="R94" i="5"/>
  <c r="R96" i="5"/>
  <c r="R97" i="5"/>
  <c r="R98" i="5"/>
  <c r="R99" i="5"/>
  <c r="R100" i="5"/>
  <c r="R101" i="5"/>
  <c r="R102" i="5"/>
  <c r="R103" i="5"/>
  <c r="R104" i="5"/>
  <c r="R105" i="5"/>
  <c r="R93" i="5"/>
  <c r="Q193" i="5" l="1"/>
  <c r="Y165" i="5"/>
  <c r="Y162" i="5"/>
  <c r="Y166" i="5"/>
  <c r="Y167" i="5"/>
  <c r="Y168" i="5"/>
  <c r="Y169" i="5"/>
  <c r="Y170" i="5"/>
  <c r="Y163" i="5"/>
  <c r="Y171" i="5"/>
  <c r="Y164" i="5"/>
  <c r="Y172" i="5"/>
  <c r="R106" i="5"/>
  <c r="K213" i="5"/>
  <c r="L213" i="5" s="1"/>
  <c r="K206" i="5"/>
  <c r="L206" i="5" s="1"/>
  <c r="K214" i="5"/>
  <c r="L214" i="5" s="1"/>
  <c r="K207" i="5"/>
  <c r="L207" i="5" s="1"/>
  <c r="K208" i="5"/>
  <c r="L208" i="5" s="1"/>
  <c r="K216" i="5"/>
  <c r="L216" i="5" s="1"/>
  <c r="K209" i="5"/>
  <c r="L209" i="5" s="1"/>
  <c r="K205" i="5"/>
  <c r="L205" i="5" s="1"/>
  <c r="K212" i="5"/>
  <c r="L212" i="5" s="1"/>
  <c r="K210" i="5"/>
  <c r="L210" i="5" s="1"/>
  <c r="K211" i="5"/>
  <c r="L211" i="5" s="1"/>
  <c r="K215" i="5"/>
  <c r="L215" i="5" s="1"/>
  <c r="J133" i="5"/>
  <c r="J134" i="5"/>
  <c r="J135" i="5"/>
  <c r="J136" i="5"/>
  <c r="J137" i="5"/>
  <c r="J138" i="5"/>
  <c r="J139" i="5"/>
  <c r="J140" i="5"/>
  <c r="J141" i="5"/>
  <c r="J142" i="5"/>
  <c r="J132" i="5"/>
  <c r="I143" i="5"/>
  <c r="R133" i="5"/>
  <c r="R134" i="5"/>
  <c r="R135" i="5"/>
  <c r="R136" i="5"/>
  <c r="R137" i="5"/>
  <c r="R138" i="5"/>
  <c r="R139" i="5"/>
  <c r="R140" i="5"/>
  <c r="R132" i="5"/>
  <c r="Q141" i="5"/>
  <c r="P141" i="5"/>
  <c r="R113" i="5"/>
  <c r="AA169" i="5" l="1"/>
  <c r="Z169" i="5"/>
  <c r="AA168" i="5"/>
  <c r="Z168" i="5"/>
  <c r="AA167" i="5"/>
  <c r="Z167" i="5"/>
  <c r="AA172" i="5"/>
  <c r="Z172" i="5"/>
  <c r="AA166" i="5"/>
  <c r="Z166" i="5"/>
  <c r="AA164" i="5"/>
  <c r="Z164" i="5"/>
  <c r="AA162" i="5"/>
  <c r="AA173" i="5" s="1"/>
  <c r="Z162" i="5"/>
  <c r="Z173" i="5" s="1"/>
  <c r="Y173" i="5"/>
  <c r="Z171" i="5"/>
  <c r="AA171" i="5"/>
  <c r="AA165" i="5"/>
  <c r="Z165" i="5"/>
  <c r="Z163" i="5"/>
  <c r="AA163" i="5"/>
  <c r="Z170" i="5"/>
  <c r="AA170" i="5"/>
  <c r="L217" i="5"/>
  <c r="K217" i="5"/>
  <c r="R141" i="5"/>
  <c r="J115" i="5"/>
  <c r="K115" i="5" s="1"/>
  <c r="J116" i="5"/>
  <c r="K116" i="5" s="1"/>
  <c r="J117" i="5"/>
  <c r="K117" i="5" s="1"/>
  <c r="J118" i="5"/>
  <c r="K118" i="5" s="1"/>
  <c r="J119" i="5"/>
  <c r="K119" i="5" s="1"/>
  <c r="J120" i="5"/>
  <c r="K120" i="5" s="1"/>
  <c r="J121" i="5"/>
  <c r="K121" i="5" s="1"/>
  <c r="J122" i="5"/>
  <c r="K122" i="5" s="1"/>
  <c r="J123" i="5"/>
  <c r="K123" i="5" s="1"/>
  <c r="J124" i="5"/>
  <c r="K124" i="5" s="1"/>
  <c r="J125" i="5"/>
  <c r="K125" i="5" s="1"/>
  <c r="J126" i="5"/>
  <c r="K126" i="5" s="1"/>
  <c r="J114" i="5"/>
  <c r="K114" i="5" s="1"/>
  <c r="R118" i="5"/>
  <c r="R121" i="5"/>
  <c r="R32" i="5"/>
  <c r="R115" i="5"/>
  <c r="R116" i="5"/>
  <c r="R117" i="5"/>
  <c r="R119" i="5"/>
  <c r="R120" i="5"/>
  <c r="R122" i="5"/>
  <c r="R123" i="5"/>
  <c r="R124" i="5"/>
  <c r="R125" i="5"/>
  <c r="R126" i="5"/>
  <c r="R127" i="5"/>
  <c r="R114" i="5"/>
  <c r="G127" i="5"/>
  <c r="H127" i="5"/>
  <c r="F127" i="5"/>
  <c r="K127" i="5" l="1"/>
  <c r="J127" i="5"/>
  <c r="R128" i="5"/>
  <c r="L115" i="5" l="1"/>
  <c r="L123" i="5"/>
  <c r="L116" i="5"/>
  <c r="L124" i="5"/>
  <c r="L117" i="5"/>
  <c r="L125" i="5"/>
  <c r="L118" i="5"/>
  <c r="L126" i="5"/>
  <c r="L119" i="5"/>
  <c r="L120" i="5"/>
  <c r="L121" i="5"/>
  <c r="L122" i="5"/>
  <c r="L114" i="5"/>
  <c r="M114" i="5" s="1"/>
  <c r="J149" i="5"/>
  <c r="J150" i="5"/>
  <c r="J151" i="5"/>
  <c r="J152" i="5"/>
  <c r="J153" i="5"/>
  <c r="J148" i="5"/>
  <c r="R33" i="5"/>
  <c r="I32" i="5"/>
  <c r="S149" i="5"/>
  <c r="S150" i="5"/>
  <c r="S151" i="5"/>
  <c r="S148" i="5"/>
  <c r="Q128" i="5"/>
  <c r="P128" i="5"/>
  <c r="R31" i="5"/>
  <c r="S152" i="5" l="1"/>
  <c r="R34" i="5"/>
  <c r="R35" i="5"/>
  <c r="R36" i="5"/>
  <c r="R37" i="5"/>
  <c r="R38" i="5"/>
  <c r="R39" i="5"/>
  <c r="R40" i="5"/>
  <c r="R41" i="5"/>
  <c r="R42" i="5"/>
  <c r="R43" i="5"/>
  <c r="R44" i="5"/>
  <c r="R45" i="5"/>
  <c r="R46" i="5"/>
  <c r="R47" i="5"/>
  <c r="R48" i="5" l="1"/>
  <c r="H109" i="5" l="1"/>
  <c r="I33" i="5"/>
  <c r="I34" i="5"/>
  <c r="I35" i="5"/>
  <c r="I36" i="5"/>
  <c r="I37" i="5"/>
  <c r="I38" i="5"/>
  <c r="I39" i="5"/>
  <c r="I40" i="5"/>
  <c r="I41" i="5"/>
  <c r="I42" i="5"/>
  <c r="I43" i="5"/>
  <c r="I44" i="5"/>
  <c r="I45" i="5"/>
  <c r="H65" i="5"/>
  <c r="G65" i="5"/>
  <c r="H46" i="5"/>
  <c r="I46" i="5" l="1"/>
  <c r="J65" i="5"/>
  <c r="I74" i="5"/>
  <c r="E48" i="6"/>
  <c r="F40" i="6"/>
  <c r="F39" i="6"/>
  <c r="F25" i="1"/>
  <c r="F30" i="1" s="1"/>
  <c r="F42" i="6"/>
  <c r="F45" i="6"/>
  <c r="F47" i="6"/>
  <c r="F44" i="6"/>
  <c r="F43" i="6"/>
  <c r="F41" i="6"/>
  <c r="I15" i="6"/>
  <c r="H217" i="5"/>
  <c r="G217" i="5"/>
  <c r="F217" i="5"/>
  <c r="E25" i="5"/>
  <c r="F16" i="5" s="1"/>
  <c r="I16" i="5" s="1"/>
  <c r="G25" i="5"/>
  <c r="H199" i="5"/>
  <c r="G199" i="5"/>
  <c r="F199" i="5"/>
  <c r="H186" i="5"/>
  <c r="G186" i="5"/>
  <c r="F186" i="5"/>
  <c r="H171" i="5"/>
  <c r="G171" i="5"/>
  <c r="F171" i="5"/>
  <c r="H155" i="5"/>
  <c r="G155" i="5"/>
  <c r="F155" i="5"/>
  <c r="H143" i="5"/>
  <c r="G143" i="5"/>
  <c r="F143" i="5"/>
  <c r="E30" i="1"/>
  <c r="D8" i="1"/>
  <c r="G30" i="1"/>
  <c r="D30" i="1"/>
  <c r="E38" i="7"/>
  <c r="E37" i="7"/>
  <c r="E36" i="7"/>
  <c r="E35" i="7"/>
  <c r="E34" i="7"/>
  <c r="E33" i="7"/>
  <c r="E32" i="7"/>
  <c r="F109" i="5"/>
  <c r="F88" i="5"/>
  <c r="F65" i="5"/>
  <c r="F46" i="5"/>
  <c r="G109" i="5"/>
  <c r="H88" i="5"/>
  <c r="G88" i="5"/>
  <c r="I87" i="5"/>
  <c r="I86" i="5"/>
  <c r="I85" i="5"/>
  <c r="I84" i="5"/>
  <c r="I83" i="5"/>
  <c r="I82" i="5"/>
  <c r="I81" i="5"/>
  <c r="I80" i="5"/>
  <c r="I79" i="5"/>
  <c r="I78" i="5"/>
  <c r="I77" i="5"/>
  <c r="I76" i="5"/>
  <c r="I75" i="5"/>
  <c r="G46" i="5"/>
  <c r="D39" i="7"/>
  <c r="H25" i="1"/>
  <c r="H30" i="1" s="1"/>
  <c r="D9" i="1" l="1"/>
  <c r="D14" i="1" s="1"/>
  <c r="E11" i="1" s="1"/>
  <c r="F48" i="6"/>
  <c r="J199" i="5"/>
  <c r="J143" i="5"/>
  <c r="K137" i="5" s="1"/>
  <c r="I88" i="5"/>
  <c r="E39" i="7"/>
  <c r="F33" i="7" s="1"/>
  <c r="K56" i="5"/>
  <c r="L56" i="5" s="1"/>
  <c r="F23" i="5"/>
  <c r="F22" i="5"/>
  <c r="I14" i="5"/>
  <c r="F20" i="5"/>
  <c r="F15" i="5"/>
  <c r="I15" i="5" s="1"/>
  <c r="H19" i="5"/>
  <c r="F21" i="5"/>
  <c r="F18" i="5"/>
  <c r="F19" i="5"/>
  <c r="F17" i="5"/>
  <c r="H24" i="5"/>
  <c r="I24" i="5" s="1"/>
  <c r="H23" i="5"/>
  <c r="H21" i="5"/>
  <c r="H20" i="5"/>
  <c r="H18" i="5"/>
  <c r="H17" i="5"/>
  <c r="H22" i="5"/>
  <c r="I32" i="7" l="1"/>
  <c r="E5" i="1"/>
  <c r="F5" i="1" s="1"/>
  <c r="E10" i="1"/>
  <c r="I9" i="12" s="1"/>
  <c r="K132" i="5"/>
  <c r="K133" i="5"/>
  <c r="L133" i="5" s="1"/>
  <c r="K141" i="5"/>
  <c r="L141" i="5" s="1"/>
  <c r="K134" i="5"/>
  <c r="L134" i="5" s="1"/>
  <c r="K142" i="5"/>
  <c r="L142" i="5" s="1"/>
  <c r="K135" i="5"/>
  <c r="L135" i="5" s="1"/>
  <c r="K136" i="5"/>
  <c r="L136" i="5" s="1"/>
  <c r="L137" i="5"/>
  <c r="K138" i="5"/>
  <c r="L138" i="5" s="1"/>
  <c r="K139" i="5"/>
  <c r="L139" i="5" s="1"/>
  <c r="K140" i="5"/>
  <c r="L140" i="5" s="1"/>
  <c r="I22" i="5"/>
  <c r="I18" i="5"/>
  <c r="I20" i="5"/>
  <c r="I23" i="5"/>
  <c r="I17" i="5"/>
  <c r="I19" i="5"/>
  <c r="I21" i="5"/>
  <c r="J34" i="5"/>
  <c r="K34" i="5" s="1"/>
  <c r="K55" i="5"/>
  <c r="L55" i="5" s="1"/>
  <c r="L195" i="5"/>
  <c r="L197" i="5"/>
  <c r="K62" i="5"/>
  <c r="L62" i="5" s="1"/>
  <c r="L198" i="5"/>
  <c r="L192" i="5"/>
  <c r="K61" i="5"/>
  <c r="L61" i="5" s="1"/>
  <c r="K59" i="5"/>
  <c r="L59" i="5" s="1"/>
  <c r="K64" i="5"/>
  <c r="L64" i="5" s="1"/>
  <c r="K54" i="5"/>
  <c r="L54" i="5" s="1"/>
  <c r="L183" i="5"/>
  <c r="L177" i="5"/>
  <c r="K58" i="5"/>
  <c r="L58" i="5" s="1"/>
  <c r="M120" i="5"/>
  <c r="M124" i="5"/>
  <c r="J35" i="5"/>
  <c r="K35" i="5" s="1"/>
  <c r="L196" i="5"/>
  <c r="K57" i="5"/>
  <c r="K63" i="5"/>
  <c r="L63" i="5" s="1"/>
  <c r="K60" i="5"/>
  <c r="L60" i="5" s="1"/>
  <c r="L191" i="5"/>
  <c r="L194" i="5"/>
  <c r="L193" i="5"/>
  <c r="J32" i="5"/>
  <c r="E9" i="1"/>
  <c r="F9" i="1" s="1"/>
  <c r="H25" i="5"/>
  <c r="F25" i="5"/>
  <c r="E6" i="1"/>
  <c r="F6" i="1" s="1"/>
  <c r="J6" i="1" s="1"/>
  <c r="E8" i="1"/>
  <c r="F8" i="1" s="1"/>
  <c r="Q14" i="5" s="1"/>
  <c r="E13" i="1"/>
  <c r="E7" i="1"/>
  <c r="F7" i="1" s="1"/>
  <c r="J7" i="1" s="1"/>
  <c r="F36" i="7"/>
  <c r="I36" i="7" s="1"/>
  <c r="F37" i="7"/>
  <c r="I37" i="7" s="1"/>
  <c r="F19" i="7" s="1"/>
  <c r="G19" i="7" s="1"/>
  <c r="F38" i="7"/>
  <c r="I38" i="7" s="1"/>
  <c r="F34" i="7"/>
  <c r="F35" i="7"/>
  <c r="J83" i="5"/>
  <c r="K83" i="5" s="1"/>
  <c r="J87" i="5"/>
  <c r="K87" i="5" s="1"/>
  <c r="J75" i="5"/>
  <c r="K75" i="5" s="1"/>
  <c r="J77" i="5"/>
  <c r="K77" i="5" s="1"/>
  <c r="J79" i="5"/>
  <c r="K79" i="5" s="1"/>
  <c r="J84" i="5"/>
  <c r="K84" i="5" s="1"/>
  <c r="J82" i="5"/>
  <c r="K82" i="5" s="1"/>
  <c r="J76" i="5"/>
  <c r="K76" i="5" s="1"/>
  <c r="J74" i="5"/>
  <c r="J81" i="5"/>
  <c r="K81" i="5" s="1"/>
  <c r="J86" i="5"/>
  <c r="K86" i="5" s="1"/>
  <c r="J85" i="5"/>
  <c r="K85" i="5" s="1"/>
  <c r="J78" i="5"/>
  <c r="K78" i="5" s="1"/>
  <c r="J80" i="5"/>
  <c r="K80" i="5" s="1"/>
  <c r="J42" i="5"/>
  <c r="K42" i="5" s="1"/>
  <c r="J44" i="5"/>
  <c r="K44" i="5" s="1"/>
  <c r="J40" i="5"/>
  <c r="K40" i="5" s="1"/>
  <c r="J45" i="5"/>
  <c r="K45" i="5" s="1"/>
  <c r="J38" i="5"/>
  <c r="K38" i="5" s="1"/>
  <c r="J43" i="5"/>
  <c r="K43" i="5" s="1"/>
  <c r="J39" i="5"/>
  <c r="K39" i="5" s="1"/>
  <c r="J36" i="5"/>
  <c r="K36" i="5" s="1"/>
  <c r="J33" i="5"/>
  <c r="K33" i="5" s="1"/>
  <c r="J41" i="5"/>
  <c r="K41" i="5" s="1"/>
  <c r="J37" i="5"/>
  <c r="K37" i="5" s="1"/>
  <c r="J5" i="1" l="1"/>
  <c r="J11" i="2"/>
  <c r="J19" i="2"/>
  <c r="J17" i="2"/>
  <c r="J10" i="2"/>
  <c r="J12" i="2"/>
  <c r="J20" i="2"/>
  <c r="J22" i="2"/>
  <c r="J7" i="2"/>
  <c r="J5" i="2"/>
  <c r="J13" i="2"/>
  <c r="J21" i="2"/>
  <c r="J24" i="2"/>
  <c r="J6" i="2"/>
  <c r="J14" i="2"/>
  <c r="J23" i="2"/>
  <c r="J8" i="2"/>
  <c r="J15" i="2"/>
  <c r="J16" i="2"/>
  <c r="J9" i="2"/>
  <c r="J18" i="2"/>
  <c r="J9" i="1"/>
  <c r="F16" i="7"/>
  <c r="G16" i="7" s="1"/>
  <c r="I34" i="7"/>
  <c r="F17" i="7" s="1"/>
  <c r="G17" i="7" s="1"/>
  <c r="I35" i="7"/>
  <c r="F18" i="7" s="1"/>
  <c r="G18" i="7" s="1"/>
  <c r="I6" i="12"/>
  <c r="I11" i="12"/>
  <c r="I7" i="12"/>
  <c r="J8" i="1"/>
  <c r="F10" i="1"/>
  <c r="I10" i="12"/>
  <c r="I8" i="12"/>
  <c r="F13" i="1"/>
  <c r="J12" i="1"/>
  <c r="E14" i="1"/>
  <c r="G47" i="6"/>
  <c r="G40" i="6"/>
  <c r="H40" i="6" s="1"/>
  <c r="G8" i="6" s="1"/>
  <c r="G46" i="6"/>
  <c r="G43" i="6"/>
  <c r="G44" i="6"/>
  <c r="G45" i="6"/>
  <c r="H39" i="6"/>
  <c r="G7" i="6" s="1"/>
  <c r="F11" i="1"/>
  <c r="L132" i="5"/>
  <c r="L143" i="5" s="1"/>
  <c r="K23" i="5" s="1"/>
  <c r="K143" i="5"/>
  <c r="L53" i="5"/>
  <c r="K65" i="5"/>
  <c r="K19" i="5"/>
  <c r="L199" i="5"/>
  <c r="K24" i="5"/>
  <c r="L57" i="5"/>
  <c r="K46" i="5"/>
  <c r="K199" i="5"/>
  <c r="K74" i="5"/>
  <c r="K88" i="5" s="1"/>
  <c r="L74" i="5" s="1"/>
  <c r="I25" i="5"/>
  <c r="J14" i="5" s="1"/>
  <c r="J88" i="5"/>
  <c r="J46" i="5"/>
  <c r="J25" i="2" l="1"/>
  <c r="F20" i="7"/>
  <c r="I12" i="12"/>
  <c r="J13" i="1"/>
  <c r="J19" i="8"/>
  <c r="J16" i="8"/>
  <c r="J12" i="8"/>
  <c r="J8" i="8"/>
  <c r="J27" i="8"/>
  <c r="J9" i="8"/>
  <c r="J10" i="8"/>
  <c r="J17" i="8"/>
  <c r="J28" i="8"/>
  <c r="J25" i="8"/>
  <c r="J30" i="8"/>
  <c r="J29" i="8"/>
  <c r="J26" i="8"/>
  <c r="J22" i="8"/>
  <c r="J24" i="8"/>
  <c r="J31" i="8"/>
  <c r="J23" i="8"/>
  <c r="J20" i="8"/>
  <c r="J11" i="8"/>
  <c r="J18" i="8"/>
  <c r="J14" i="8"/>
  <c r="J13" i="8"/>
  <c r="J15" i="8"/>
  <c r="J21" i="8"/>
  <c r="F14" i="1"/>
  <c r="J11" i="1"/>
  <c r="J23" i="5"/>
  <c r="L65" i="5"/>
  <c r="J19" i="5"/>
  <c r="J21" i="5"/>
  <c r="L75" i="5"/>
  <c r="L83" i="5"/>
  <c r="L82" i="5"/>
  <c r="L76" i="5"/>
  <c r="L84" i="5"/>
  <c r="L77" i="5"/>
  <c r="L85" i="5"/>
  <c r="L78" i="5"/>
  <c r="L86" i="5"/>
  <c r="L79" i="5"/>
  <c r="L87" i="5"/>
  <c r="L81" i="5"/>
  <c r="L80" i="5"/>
  <c r="J16" i="5"/>
  <c r="J20" i="5"/>
  <c r="J15" i="5"/>
  <c r="J24" i="5"/>
  <c r="J22" i="5"/>
  <c r="J17" i="5"/>
  <c r="J18" i="5"/>
  <c r="K10" i="2" l="1"/>
  <c r="L10" i="2" s="1"/>
  <c r="K18" i="2"/>
  <c r="L18" i="2" s="1"/>
  <c r="K11" i="2"/>
  <c r="L11" i="2" s="1"/>
  <c r="K19" i="2"/>
  <c r="L19" i="2" s="1"/>
  <c r="K23" i="2"/>
  <c r="L23" i="2" s="1"/>
  <c r="K24" i="2"/>
  <c r="L24" i="2" s="1"/>
  <c r="K5" i="2"/>
  <c r="K12" i="2"/>
  <c r="L12" i="2" s="1"/>
  <c r="K20" i="2"/>
  <c r="L20" i="2" s="1"/>
  <c r="K14" i="2"/>
  <c r="L14" i="2" s="1"/>
  <c r="K13" i="2"/>
  <c r="L13" i="2" s="1"/>
  <c r="K21" i="2"/>
  <c r="L21" i="2" s="1"/>
  <c r="K17" i="2"/>
  <c r="L17" i="2" s="1"/>
  <c r="K6" i="2"/>
  <c r="L6" i="2" s="1"/>
  <c r="K22" i="2"/>
  <c r="L22" i="2" s="1"/>
  <c r="K7" i="2"/>
  <c r="L7" i="2" s="1"/>
  <c r="K15" i="2"/>
  <c r="L15" i="2" s="1"/>
  <c r="K9" i="2"/>
  <c r="L9" i="2" s="1"/>
  <c r="K8" i="2"/>
  <c r="L8" i="2" s="1"/>
  <c r="K16" i="2"/>
  <c r="L16" i="2" s="1"/>
  <c r="J32" i="8"/>
  <c r="J7" i="12"/>
  <c r="K7" i="12" s="1"/>
  <c r="L7" i="12" s="1"/>
  <c r="J10" i="12"/>
  <c r="K10" i="12" s="1"/>
  <c r="L10" i="12" s="1"/>
  <c r="J11" i="12"/>
  <c r="K11" i="12" s="1"/>
  <c r="L11" i="12" s="1"/>
  <c r="J8" i="12"/>
  <c r="K8" i="12" s="1"/>
  <c r="L8" i="12" s="1"/>
  <c r="J9" i="12"/>
  <c r="K9" i="12" s="1"/>
  <c r="L9" i="12" s="1"/>
  <c r="J6" i="12"/>
  <c r="K6" i="12" s="1"/>
  <c r="L88" i="5"/>
  <c r="J25" i="5"/>
  <c r="J109" i="5"/>
  <c r="K95" i="5" s="1"/>
  <c r="L95" i="5" s="1"/>
  <c r="L5" i="2" l="1"/>
  <c r="K25" i="2"/>
  <c r="M7" i="2" s="1"/>
  <c r="M16" i="2"/>
  <c r="M9" i="2"/>
  <c r="L6" i="12"/>
  <c r="L12" i="12" s="1"/>
  <c r="J12" i="12"/>
  <c r="K96" i="5"/>
  <c r="L96" i="5" s="1"/>
  <c r="K102" i="5"/>
  <c r="L102" i="5" s="1"/>
  <c r="K104" i="5"/>
  <c r="L104" i="5" s="1"/>
  <c r="K97" i="5"/>
  <c r="L97" i="5" s="1"/>
  <c r="K106" i="5"/>
  <c r="L106" i="5" s="1"/>
  <c r="K100" i="5"/>
  <c r="L100" i="5" s="1"/>
  <c r="K103" i="5"/>
  <c r="L103" i="5" s="1"/>
  <c r="K108" i="5"/>
  <c r="L108" i="5" s="1"/>
  <c r="K101" i="5"/>
  <c r="L101" i="5" s="1"/>
  <c r="K98" i="5"/>
  <c r="L98" i="5" s="1"/>
  <c r="K99" i="5"/>
  <c r="L99" i="5" s="1"/>
  <c r="K107" i="5"/>
  <c r="L107" i="5" s="1"/>
  <c r="K105" i="5"/>
  <c r="L105" i="5" s="1"/>
  <c r="M5" i="2" l="1"/>
  <c r="L25" i="2"/>
  <c r="M17" i="2"/>
  <c r="M11" i="2"/>
  <c r="M13" i="2"/>
  <c r="M20" i="2"/>
  <c r="M24" i="2"/>
  <c r="M10" i="2"/>
  <c r="M8" i="2"/>
  <c r="M6" i="2"/>
  <c r="M22" i="2"/>
  <c r="M23" i="2"/>
  <c r="M15" i="2"/>
  <c r="M21" i="2"/>
  <c r="M18" i="2"/>
  <c r="M12" i="2"/>
  <c r="M14" i="2"/>
  <c r="M19" i="2"/>
  <c r="K12" i="12"/>
  <c r="L109" i="5"/>
  <c r="K17" i="5" s="1"/>
  <c r="K109" i="5"/>
  <c r="G15" i="7"/>
  <c r="G20" i="7" s="1"/>
  <c r="H19" i="7" s="1"/>
  <c r="M25" i="2" l="1"/>
  <c r="J19" i="7"/>
  <c r="K19" i="7" s="1"/>
  <c r="L19" i="7" s="1"/>
  <c r="I19" i="7"/>
  <c r="H15" i="7"/>
  <c r="J15" i="7" s="1"/>
  <c r="I15" i="7" l="1"/>
  <c r="O15" i="7" s="1"/>
  <c r="H18" i="7"/>
  <c r="H16" i="7"/>
  <c r="H17" i="7"/>
  <c r="H20" i="7" l="1"/>
  <c r="K15" i="7"/>
  <c r="O18" i="7"/>
  <c r="O20" i="7" s="1"/>
  <c r="I16" i="7"/>
  <c r="J16" i="7"/>
  <c r="K16" i="7" s="1"/>
  <c r="L16" i="7" s="1"/>
  <c r="I17" i="7"/>
  <c r="J17" i="7"/>
  <c r="K17" i="7" s="1"/>
  <c r="L17" i="7" s="1"/>
  <c r="I18" i="7"/>
  <c r="J18" i="7"/>
  <c r="K18" i="7" s="1"/>
  <c r="L18" i="7" s="1"/>
  <c r="I20" i="7" l="1"/>
  <c r="J20" i="7"/>
  <c r="L15" i="7"/>
  <c r="L20" i="7" s="1"/>
  <c r="K20" i="7"/>
  <c r="H46" i="6"/>
  <c r="H43" i="6"/>
  <c r="G11" i="6" s="1"/>
  <c r="H47" i="6"/>
  <c r="G14" i="6" s="1"/>
  <c r="H45" i="6"/>
  <c r="G13" i="6" s="1"/>
  <c r="H42" i="6"/>
  <c r="G10" i="6" s="1"/>
  <c r="H44" i="6"/>
  <c r="G12" i="6" s="1"/>
  <c r="H41" i="6"/>
  <c r="G9" i="6" s="1"/>
  <c r="G15" i="6" s="1"/>
  <c r="H6" i="6" s="1"/>
  <c r="L6" i="6" s="1"/>
  <c r="H48" i="6" l="1"/>
  <c r="G48" i="6"/>
  <c r="H9" i="6" l="1"/>
  <c r="L9" i="6" s="1"/>
  <c r="M9" i="6" s="1"/>
  <c r="H7" i="6"/>
  <c r="H8" i="6"/>
  <c r="L8" i="6" s="1"/>
  <c r="H12" i="6"/>
  <c r="H10" i="6"/>
  <c r="H11" i="6"/>
  <c r="H13" i="6"/>
  <c r="H14" i="6"/>
  <c r="L7" i="6" l="1"/>
  <c r="K18" i="6"/>
  <c r="L18" i="6" s="1"/>
  <c r="M18" i="6" s="1"/>
  <c r="L10" i="6"/>
  <c r="M10" i="6" s="1"/>
  <c r="K19" i="6"/>
  <c r="L19" i="6" s="1"/>
  <c r="M19" i="6" s="1"/>
  <c r="M8" i="6"/>
  <c r="H15" i="6"/>
  <c r="L11" i="6"/>
  <c r="M11" i="6" s="1"/>
  <c r="L12" i="6"/>
  <c r="M12" i="6" s="1"/>
  <c r="J155" i="5"/>
  <c r="K149" i="5" s="1"/>
  <c r="L14" i="6" l="1"/>
  <c r="M14" i="6" s="1"/>
  <c r="K15" i="6"/>
  <c r="M7" i="6"/>
  <c r="L13" i="6"/>
  <c r="M13" i="6" s="1"/>
  <c r="K154" i="5"/>
  <c r="L154" i="5" s="1"/>
  <c r="K148" i="5"/>
  <c r="L148" i="5" s="1"/>
  <c r="K150" i="5"/>
  <c r="L150" i="5" s="1"/>
  <c r="K153" i="5"/>
  <c r="L153" i="5" s="1"/>
  <c r="K151" i="5"/>
  <c r="L151" i="5" s="1"/>
  <c r="K152" i="5"/>
  <c r="L152" i="5" s="1"/>
  <c r="L149" i="5"/>
  <c r="L15" i="6" l="1"/>
  <c r="M15" i="6" s="1"/>
  <c r="M22" i="6" s="1"/>
  <c r="M6" i="6"/>
  <c r="L155" i="5"/>
  <c r="K18" i="5" s="1"/>
  <c r="K155" i="5"/>
  <c r="I155" i="5" l="1"/>
  <c r="M123" i="5"/>
  <c r="M117" i="5"/>
  <c r="M118" i="5"/>
  <c r="M122" i="5"/>
  <c r="M116" i="5"/>
  <c r="M121" i="5"/>
  <c r="M126" i="5"/>
  <c r="M119" i="5"/>
  <c r="M125" i="5"/>
  <c r="L127" i="5" l="1"/>
  <c r="M115" i="5"/>
  <c r="M127" i="5" s="1"/>
  <c r="K22" i="5" s="1"/>
  <c r="V120" i="5" l="1"/>
  <c r="U120" i="5"/>
  <c r="I127" i="5" l="1"/>
  <c r="V176" i="5"/>
  <c r="S184" i="5"/>
  <c r="T176" i="5"/>
  <c r="U176" i="5"/>
  <c r="U183" i="5"/>
  <c r="V183" i="5"/>
  <c r="T183" i="5"/>
  <c r="U180" i="5"/>
  <c r="V180" i="5"/>
  <c r="T180" i="5"/>
  <c r="U181" i="5"/>
  <c r="V181" i="5"/>
  <c r="T181" i="5"/>
  <c r="U182" i="5"/>
  <c r="V182" i="5"/>
  <c r="T182" i="5"/>
  <c r="U177" i="5"/>
  <c r="U184" i="5" s="1"/>
  <c r="T177" i="5"/>
  <c r="V177" i="5"/>
  <c r="V179" i="5"/>
  <c r="U179" i="5"/>
  <c r="T179" i="5"/>
  <c r="T178" i="5"/>
  <c r="U178" i="5"/>
  <c r="V178" i="5"/>
  <c r="I179" i="5"/>
  <c r="J179" i="5"/>
  <c r="L179" i="5" s="1"/>
  <c r="L180" i="5"/>
  <c r="I180" i="5"/>
  <c r="J180" i="5"/>
  <c r="I184" i="5"/>
  <c r="J184" i="5" s="1"/>
  <c r="L184" i="5" s="1"/>
  <c r="I182" i="5"/>
  <c r="J182" i="5"/>
  <c r="L182" i="5" s="1"/>
  <c r="I185" i="5"/>
  <c r="J185" i="5" s="1"/>
  <c r="L185" i="5" s="1"/>
  <c r="I181" i="5"/>
  <c r="J181" i="5" s="1"/>
  <c r="L181" i="5" s="1"/>
  <c r="J178" i="5"/>
  <c r="L178" i="5"/>
  <c r="L186" i="5" l="1"/>
  <c r="T184" i="5"/>
  <c r="J186" i="5"/>
  <c r="I186" i="5"/>
  <c r="K186" i="5"/>
  <c r="V184" i="5"/>
  <c r="K21" i="5" l="1"/>
  <c r="K20" i="5"/>
  <c r="K25" i="5" l="1"/>
  <c r="O14" i="5" l="1"/>
  <c r="O15" i="5"/>
  <c r="O23" i="5"/>
  <c r="O19" i="5"/>
  <c r="O21" i="5"/>
  <c r="O16" i="5"/>
  <c r="O24" i="5"/>
  <c r="O20" i="5"/>
  <c r="O22" i="5"/>
  <c r="O17" i="5"/>
  <c r="O18" i="5"/>
  <c r="P14" i="5"/>
  <c r="N16" i="5"/>
  <c r="N17" i="5"/>
  <c r="N23" i="5"/>
  <c r="N24" i="5"/>
  <c r="N15" i="5"/>
  <c r="N18" i="5"/>
  <c r="N22" i="5"/>
  <c r="N19" i="5"/>
  <c r="N21" i="5"/>
  <c r="N20" i="5"/>
  <c r="P20" i="5" l="1"/>
  <c r="R176" i="5" s="1"/>
  <c r="Q20" i="5"/>
  <c r="P21" i="5"/>
  <c r="R192" i="5" s="1"/>
  <c r="Q21" i="5"/>
  <c r="P18" i="5"/>
  <c r="T148" i="5" s="1"/>
  <c r="Q18" i="5"/>
  <c r="P15" i="5"/>
  <c r="Q55" i="5" s="1"/>
  <c r="Q15" i="5"/>
  <c r="P24" i="5"/>
  <c r="S213" i="5" s="1"/>
  <c r="T213" i="5" s="1"/>
  <c r="Q24" i="5"/>
  <c r="P23" i="5"/>
  <c r="S132" i="5" s="1"/>
  <c r="Q23" i="5"/>
  <c r="P17" i="5"/>
  <c r="S99" i="5" s="1"/>
  <c r="T99" i="5" s="1"/>
  <c r="Q17" i="5"/>
  <c r="P16" i="5"/>
  <c r="Q16" i="5"/>
  <c r="P19" i="5"/>
  <c r="Q19" i="5"/>
  <c r="P22" i="5"/>
  <c r="S114" i="5" s="1"/>
  <c r="T114" i="5" s="1"/>
  <c r="Q22" i="5"/>
  <c r="R178" i="5"/>
  <c r="S207" i="5"/>
  <c r="T207" i="5" s="1"/>
  <c r="S208" i="5"/>
  <c r="T208" i="5" s="1"/>
  <c r="S220" i="5"/>
  <c r="T220" i="5" s="1"/>
  <c r="S225" i="5"/>
  <c r="T225" i="5" s="1"/>
  <c r="S205" i="5"/>
  <c r="T205" i="5" s="1"/>
  <c r="S211" i="5"/>
  <c r="T211" i="5" s="1"/>
  <c r="S215" i="5"/>
  <c r="T215" i="5" s="1"/>
  <c r="S204" i="5"/>
  <c r="T204" i="5" s="1"/>
  <c r="N25" i="5"/>
  <c r="R183" i="5"/>
  <c r="R177" i="5"/>
  <c r="R181" i="5"/>
  <c r="R179" i="5"/>
  <c r="R182" i="5"/>
  <c r="R180" i="5"/>
  <c r="S104" i="5"/>
  <c r="T104" i="5" s="1"/>
  <c r="S103" i="5"/>
  <c r="T103" i="5" s="1"/>
  <c r="S113" i="5"/>
  <c r="S203" i="5" l="1"/>
  <c r="T203" i="5" s="1"/>
  <c r="S138" i="5"/>
  <c r="T138" i="5" s="1"/>
  <c r="S134" i="5"/>
  <c r="T134" i="5" s="1"/>
  <c r="S133" i="5"/>
  <c r="T133" i="5" s="1"/>
  <c r="S137" i="5"/>
  <c r="T137" i="5" s="1"/>
  <c r="V137" i="5" s="1"/>
  <c r="S135" i="5"/>
  <c r="T135" i="5" s="1"/>
  <c r="V135" i="5" s="1"/>
  <c r="S140" i="5"/>
  <c r="T140" i="5" s="1"/>
  <c r="W140" i="5" s="1"/>
  <c r="S122" i="5"/>
  <c r="T122" i="5" s="1"/>
  <c r="U122" i="5" s="1"/>
  <c r="S127" i="5"/>
  <c r="T127" i="5" s="1"/>
  <c r="V127" i="5" s="1"/>
  <c r="S125" i="5"/>
  <c r="T125" i="5" s="1"/>
  <c r="V125" i="5" s="1"/>
  <c r="S126" i="5"/>
  <c r="T126" i="5" s="1"/>
  <c r="T149" i="5"/>
  <c r="U149" i="5" s="1"/>
  <c r="V149" i="5" s="1"/>
  <c r="S117" i="5"/>
  <c r="T117" i="5" s="1"/>
  <c r="V117" i="5" s="1"/>
  <c r="S139" i="5"/>
  <c r="T139" i="5" s="1"/>
  <c r="W139" i="5" s="1"/>
  <c r="S116" i="5"/>
  <c r="T116" i="5" s="1"/>
  <c r="U116" i="5" s="1"/>
  <c r="S121" i="5"/>
  <c r="T120" i="5" s="1"/>
  <c r="U121" i="5" s="1"/>
  <c r="S115" i="5"/>
  <c r="T115" i="5" s="1"/>
  <c r="U115" i="5" s="1"/>
  <c r="S120" i="5"/>
  <c r="S119" i="5"/>
  <c r="T119" i="5" s="1"/>
  <c r="V119" i="5" s="1"/>
  <c r="S136" i="5"/>
  <c r="T136" i="5" s="1"/>
  <c r="V136" i="5" s="1"/>
  <c r="S123" i="5"/>
  <c r="T123" i="5" s="1"/>
  <c r="V123" i="5" s="1"/>
  <c r="S124" i="5"/>
  <c r="T124" i="5" s="1"/>
  <c r="V124" i="5" s="1"/>
  <c r="S118" i="5"/>
  <c r="T118" i="5" s="1"/>
  <c r="V118" i="5" s="1"/>
  <c r="S94" i="5"/>
  <c r="T94" i="5" s="1"/>
  <c r="U94" i="5" s="1"/>
  <c r="Q25" i="5"/>
  <c r="S102" i="5"/>
  <c r="T102" i="5" s="1"/>
  <c r="W102" i="5" s="1"/>
  <c r="S221" i="5"/>
  <c r="T221" i="5" s="1"/>
  <c r="W221" i="5" s="1"/>
  <c r="S222" i="5"/>
  <c r="T222" i="5" s="1"/>
  <c r="W222" i="5" s="1"/>
  <c r="S214" i="5"/>
  <c r="T214" i="5" s="1"/>
  <c r="U214" i="5" s="1"/>
  <c r="S210" i="5"/>
  <c r="T210" i="5" s="1"/>
  <c r="W210" i="5" s="1"/>
  <c r="S212" i="5"/>
  <c r="T212" i="5" s="1"/>
  <c r="V212" i="5" s="1"/>
  <c r="S216" i="5"/>
  <c r="T216" i="5" s="1"/>
  <c r="W216" i="5" s="1"/>
  <c r="S206" i="5"/>
  <c r="T206" i="5" s="1"/>
  <c r="V206" i="5" s="1"/>
  <c r="S223" i="5"/>
  <c r="T223" i="5" s="1"/>
  <c r="W223" i="5" s="1"/>
  <c r="S218" i="5"/>
  <c r="T218" i="5" s="1"/>
  <c r="W218" i="5" s="1"/>
  <c r="Q56" i="5"/>
  <c r="S224" i="5"/>
  <c r="T224" i="5" s="1"/>
  <c r="V224" i="5" s="1"/>
  <c r="R191" i="5"/>
  <c r="S209" i="5"/>
  <c r="T209" i="5" s="1"/>
  <c r="V209" i="5" s="1"/>
  <c r="S219" i="5"/>
  <c r="T219" i="5" s="1"/>
  <c r="V219" i="5" s="1"/>
  <c r="S217" i="5"/>
  <c r="T217" i="5" s="1"/>
  <c r="W217" i="5" s="1"/>
  <c r="Q53" i="5"/>
  <c r="Q57" i="5"/>
  <c r="R190" i="5"/>
  <c r="S97" i="5"/>
  <c r="T97" i="5" s="1"/>
  <c r="V97" i="5" s="1"/>
  <c r="S105" i="5"/>
  <c r="T105" i="5" s="1"/>
  <c r="W105" i="5" s="1"/>
  <c r="S93" i="5"/>
  <c r="T93" i="5" s="1"/>
  <c r="S98" i="5"/>
  <c r="T98" i="5" s="1"/>
  <c r="U98" i="5" s="1"/>
  <c r="T150" i="5"/>
  <c r="U150" i="5" s="1"/>
  <c r="W150" i="5" s="1"/>
  <c r="S101" i="5"/>
  <c r="T101" i="5" s="1"/>
  <c r="U101" i="5" s="1"/>
  <c r="S96" i="5"/>
  <c r="T96" i="5" s="1"/>
  <c r="U96" i="5" s="1"/>
  <c r="S100" i="5"/>
  <c r="T100" i="5" s="1"/>
  <c r="V100" i="5" s="1"/>
  <c r="T151" i="5"/>
  <c r="U151" i="5" s="1"/>
  <c r="W151" i="5" s="1"/>
  <c r="Q54" i="5"/>
  <c r="T113" i="5"/>
  <c r="V208" i="5"/>
  <c r="W208" i="5"/>
  <c r="U208" i="5"/>
  <c r="U99" i="5"/>
  <c r="V99" i="5"/>
  <c r="W99" i="5"/>
  <c r="W134" i="5"/>
  <c r="U134" i="5"/>
  <c r="V134" i="5"/>
  <c r="O25" i="5"/>
  <c r="T132" i="5"/>
  <c r="V215" i="5"/>
  <c r="W215" i="5"/>
  <c r="U215" i="5"/>
  <c r="U204" i="5"/>
  <c r="W204" i="5"/>
  <c r="V204" i="5"/>
  <c r="V114" i="5"/>
  <c r="U114" i="5"/>
  <c r="U148" i="5"/>
  <c r="U211" i="5"/>
  <c r="V211" i="5"/>
  <c r="W211" i="5"/>
  <c r="V221" i="5"/>
  <c r="W225" i="5"/>
  <c r="U225" i="5"/>
  <c r="V225" i="5"/>
  <c r="R184" i="5"/>
  <c r="W103" i="5"/>
  <c r="V103" i="5"/>
  <c r="U103" i="5"/>
  <c r="W149" i="5"/>
  <c r="V205" i="5"/>
  <c r="U205" i="5"/>
  <c r="W205" i="5"/>
  <c r="W213" i="5"/>
  <c r="V213" i="5"/>
  <c r="U213" i="5"/>
  <c r="W133" i="5"/>
  <c r="V133" i="5"/>
  <c r="U133" i="5"/>
  <c r="W220" i="5"/>
  <c r="V220" i="5"/>
  <c r="U220" i="5"/>
  <c r="V138" i="5"/>
  <c r="U138" i="5"/>
  <c r="W138" i="5"/>
  <c r="U126" i="5"/>
  <c r="V126" i="5"/>
  <c r="U104" i="5"/>
  <c r="V104" i="5"/>
  <c r="W104" i="5"/>
  <c r="U207" i="5"/>
  <c r="W207" i="5"/>
  <c r="V207" i="5"/>
  <c r="U127" i="5" l="1"/>
  <c r="W135" i="5"/>
  <c r="W137" i="5"/>
  <c r="U137" i="5"/>
  <c r="V140" i="5"/>
  <c r="U140" i="5"/>
  <c r="U135" i="5"/>
  <c r="V122" i="5"/>
  <c r="U125" i="5"/>
  <c r="V139" i="5"/>
  <c r="U119" i="5"/>
  <c r="V121" i="5"/>
  <c r="W94" i="5"/>
  <c r="U139" i="5"/>
  <c r="U124" i="5"/>
  <c r="V222" i="5"/>
  <c r="V116" i="5"/>
  <c r="U118" i="5"/>
  <c r="U117" i="5"/>
  <c r="U224" i="5"/>
  <c r="W101" i="5"/>
  <c r="W206" i="5"/>
  <c r="V115" i="5"/>
  <c r="V94" i="5"/>
  <c r="U221" i="5"/>
  <c r="U102" i="5"/>
  <c r="V96" i="5"/>
  <c r="V214" i="5"/>
  <c r="U218" i="5"/>
  <c r="W214" i="5"/>
  <c r="V102" i="5"/>
  <c r="S128" i="5"/>
  <c r="U222" i="5"/>
  <c r="U123" i="5"/>
  <c r="U136" i="5"/>
  <c r="U219" i="5"/>
  <c r="U212" i="5"/>
  <c r="W212" i="5"/>
  <c r="W136" i="5"/>
  <c r="S141" i="5"/>
  <c r="V218" i="5"/>
  <c r="V210" i="5"/>
  <c r="V101" i="5"/>
  <c r="U210" i="5"/>
  <c r="U206" i="5"/>
  <c r="V216" i="5"/>
  <c r="U223" i="5"/>
  <c r="V217" i="5"/>
  <c r="U216" i="5"/>
  <c r="U217" i="5"/>
  <c r="V98" i="5"/>
  <c r="V223" i="5"/>
  <c r="W209" i="5"/>
  <c r="U209" i="5"/>
  <c r="U97" i="5"/>
  <c r="W224" i="5"/>
  <c r="S226" i="5"/>
  <c r="U105" i="5"/>
  <c r="W98" i="5"/>
  <c r="R193" i="5"/>
  <c r="W219" i="5"/>
  <c r="W97" i="5"/>
  <c r="V151" i="5"/>
  <c r="W96" i="5"/>
  <c r="W100" i="5"/>
  <c r="Q58" i="5"/>
  <c r="V150" i="5"/>
  <c r="V105" i="5"/>
  <c r="T152" i="5"/>
  <c r="U100" i="5"/>
  <c r="S106" i="5"/>
  <c r="S34" i="5"/>
  <c r="T34" i="5" s="1"/>
  <c r="S37" i="5"/>
  <c r="T37" i="5" s="1"/>
  <c r="S46" i="5"/>
  <c r="T46" i="5" s="1"/>
  <c r="S42" i="5"/>
  <c r="T42" i="5" s="1"/>
  <c r="S38" i="5"/>
  <c r="T38" i="5" s="1"/>
  <c r="S31" i="5"/>
  <c r="T31" i="5" s="1"/>
  <c r="S30" i="5"/>
  <c r="S35" i="5"/>
  <c r="T35" i="5" s="1"/>
  <c r="S36" i="5"/>
  <c r="T36" i="5" s="1"/>
  <c r="S45" i="5"/>
  <c r="T45" i="5" s="1"/>
  <c r="S43" i="5"/>
  <c r="T43" i="5" s="1"/>
  <c r="S44" i="5"/>
  <c r="T44" i="5" s="1"/>
  <c r="S47" i="5"/>
  <c r="T47" i="5" s="1"/>
  <c r="S32" i="5"/>
  <c r="T32" i="5" s="1"/>
  <c r="S40" i="5"/>
  <c r="T40" i="5" s="1"/>
  <c r="S33" i="5"/>
  <c r="T33" i="5" s="1"/>
  <c r="S41" i="5"/>
  <c r="T41" i="5" s="1"/>
  <c r="S39" i="5"/>
  <c r="T39" i="5" s="1"/>
  <c r="P25" i="5"/>
  <c r="V113" i="5"/>
  <c r="U113" i="5"/>
  <c r="T128" i="5"/>
  <c r="U152" i="5"/>
  <c r="V148" i="5"/>
  <c r="W148" i="5"/>
  <c r="W152" i="5" s="1"/>
  <c r="U132" i="5"/>
  <c r="V132" i="5"/>
  <c r="W132" i="5"/>
  <c r="T141" i="5"/>
  <c r="V93" i="5"/>
  <c r="U93" i="5"/>
  <c r="T106" i="5"/>
  <c r="W93" i="5"/>
  <c r="U203" i="5"/>
  <c r="T226" i="5"/>
  <c r="W203" i="5"/>
  <c r="V203" i="5"/>
  <c r="V141" i="5" l="1"/>
  <c r="U128" i="5"/>
  <c r="V128" i="5"/>
  <c r="W141" i="5"/>
  <c r="U141" i="5"/>
  <c r="V226" i="5"/>
  <c r="U226" i="5"/>
  <c r="U106" i="5"/>
  <c r="V106" i="5"/>
  <c r="W226" i="5"/>
  <c r="W106" i="5"/>
  <c r="V152" i="5"/>
  <c r="U35" i="5"/>
  <c r="V35" i="5"/>
  <c r="U40" i="5"/>
  <c r="V40" i="5"/>
  <c r="U38" i="5"/>
  <c r="V38" i="5"/>
  <c r="U42" i="5"/>
  <c r="V42" i="5"/>
  <c r="S48" i="5"/>
  <c r="T30" i="5"/>
  <c r="U32" i="5"/>
  <c r="V32" i="5"/>
  <c r="V47" i="5"/>
  <c r="U47" i="5"/>
  <c r="V45" i="5"/>
  <c r="U45" i="5"/>
  <c r="V33" i="5"/>
  <c r="U33" i="5"/>
  <c r="U31" i="5"/>
  <c r="V31" i="5"/>
  <c r="U44" i="5"/>
  <c r="V44" i="5"/>
  <c r="V43" i="5"/>
  <c r="U43" i="5"/>
  <c r="U46" i="5"/>
  <c r="V46" i="5"/>
  <c r="V39" i="5"/>
  <c r="U39" i="5"/>
  <c r="V37" i="5"/>
  <c r="U37" i="5"/>
  <c r="U41" i="5"/>
  <c r="V41" i="5"/>
  <c r="V36" i="5"/>
  <c r="U36" i="5"/>
  <c r="U34" i="5"/>
  <c r="V34" i="5"/>
  <c r="V30" i="5" l="1"/>
  <c r="V48" i="5" s="1"/>
  <c r="T48" i="5"/>
  <c r="U30" i="5"/>
  <c r="U48" i="5" s="1"/>
  <c r="X29" i="5"/>
</calcChain>
</file>

<file path=xl/sharedStrings.xml><?xml version="1.0" encoding="utf-8"?>
<sst xmlns="http://schemas.openxmlformats.org/spreadsheetml/2006/main" count="1195" uniqueCount="462">
  <si>
    <t>Macromolecule</t>
  </si>
  <si>
    <t>Protein</t>
  </si>
  <si>
    <t>DNA</t>
  </si>
  <si>
    <t>RNA</t>
  </si>
  <si>
    <t>Carbohydrates</t>
  </si>
  <si>
    <t>Pigments</t>
  </si>
  <si>
    <t>Cofactors</t>
  </si>
  <si>
    <t>Cellular content% (w/w)</t>
  </si>
  <si>
    <t>Normalized cellular content% (w/w)</t>
  </si>
  <si>
    <t>g/gDCW</t>
  </si>
  <si>
    <t>Lipid</t>
  </si>
  <si>
    <t>Reference</t>
  </si>
  <si>
    <t>[1-3]</t>
  </si>
  <si>
    <t>[2]</t>
  </si>
  <si>
    <t>[3]</t>
  </si>
  <si>
    <t>[5]</t>
  </si>
  <si>
    <t>[2,4]</t>
  </si>
  <si>
    <t>[1] M. Kent, H.M. Welladsen, A. Mangott, Y. Li, Nutritional evaluation of Australian microalgae as potential human health supplements, PLoS One. 10 (2015) 1–14. doi:10.1371/journal.pone.0118985.</t>
  </si>
  <si>
    <t>[2] M.M. Rebolloso-Fuentes, A. Navarro-Pérez, F. García-Camacho, J.J. Ramos-Miras, J.L. Guil-Guerrero, Biomass nutrient profiles of the microalga Nannochloropsis., J. Agric. Food Chem. 49 (2001) 2966–2972. doi:10.1021/jf0010376.</t>
  </si>
  <si>
    <t>[3] Q. Hu, W. Xiang, S. Dai, T. Li, F. Yang, Q. Jia, G. Wang, H. Wu, The influence of cultivation period on growth and biodiesel properties of microalga Nannochloropsis gaditana 1049, Bioresour. Technol. 192 (2015) 157–164. doi:10.1016/j.biortech.2015.04.106.</t>
  </si>
  <si>
    <t>[4] J.K. Volkman, M.R. Brown, G.A. Dunstan, S.W. Jeffrey, the Biochemical Composition of Marine Microalgae From the Class Eustigmatophyceae, J. Phycol. 29 (1992) 69–78. doi:10.1111/j.1529-8817.1993.tb00281.x.</t>
  </si>
  <si>
    <t>[5] R. Radakovits, R.E. Jinkerson, S.I. Fuerstenberg, H. Tae, R.E. Settlage, J.L. Boore, M.C. Posewitz, Draft genome sequence and genetic transformation of the oleaginous alga Nannochloropis gaditana, Nat. Commun. 3 (2012) 686. doi:10.1038/ncomms1688.</t>
  </si>
  <si>
    <t>Component</t>
  </si>
  <si>
    <t>KEGG ID</t>
  </si>
  <si>
    <t>Formula</t>
  </si>
  <si>
    <t>Mol.Weight</t>
  </si>
  <si>
    <t>Glucose</t>
  </si>
  <si>
    <t>Galactose</t>
  </si>
  <si>
    <t>Fucose</t>
  </si>
  <si>
    <t>n-acetylglucosamine</t>
  </si>
  <si>
    <t>Mannose</t>
  </si>
  <si>
    <t>Total</t>
  </si>
  <si>
    <t>Soluble</t>
  </si>
  <si>
    <t>Storage</t>
  </si>
  <si>
    <t>-</t>
  </si>
  <si>
    <t>[6] D. Simionato, M.A. Block, N. La Rocca, J. Jouhet, E. Maréchal, G. Finazzi, T. Morosinotto, The response of Nannochloropsis gaditana to nitrogen starvation includes de novo biosynthesis of triacylglycerols, a decrease of chloroplast galactolipids, and reorganization of the photosynthetic apparatus, Eukaryot. Cell. 12 (2013) 665–676. doi:10.1128/EC.00363-12.</t>
  </si>
  <si>
    <t>[7] G.J.O. Martin, D.R.A. Hill, I.L.D. Olmstead, A. Bergamin, M.J. Shears, D.A. Dias, S.E. Kentish, P.J. Scales, C.Y. Botté, D.L. Callahan, Lipid profile remodeling in response to nitrogen deprivation in the microalgae Chlorella sp. (Trebouxiophyceae) and Nannochloropsis sp. (Eustigmatophyceae), PLoS One. 9 (2014). doi:10.1371/journal.pone.0103389.</t>
  </si>
  <si>
    <t>[8] R.L. Chang, L. Ghamsari, A. Manichaikul, E.F. Hom, S. Balaji, W. Fu, Y. Shen, T. Hao, B.O. Palsson, K. Salehi-Ashtiani, J.A. Papin, Metabolic network reconstruction of Chlamydomonas offers insight into light-driven algal metabolism, Mol Syst Biol. 7 (2011) 518. doi:10.1038/msb.2011.52.</t>
  </si>
  <si>
    <t>[9] S.M. Tibbetts, W.J. Bjornsson, P.J. McGinn, Biochemical composition and amino acid profiles of Nannochloropsis granulata algal biomass before and after supercritical fluid CO&lt;inf&gt;2&lt;/inf&gt; extraction at two processing temperatures, Anim. Feed Sci. Technol. 204 (2015) 62–71. doi:10.1016/j.anifeedsci.2015.04.006.</t>
  </si>
  <si>
    <t>[10] J.C. Schneider, A. Livne, A. Sukenik, P.G. Roessler, A mutant of Nannochloropsis deficient in eicosapentaenoic acid production, Phytochemistry. 40 (1995) 807–814. doi:10.1016/0031-9422(95)00365-E.</t>
  </si>
  <si>
    <t>[11] M.J. Scholz, T.L. Weiss, R.E. Jinkerson, J. Jing, R. Roth, U. Goodenough, M.C. Posewitz, H.G. Gerken, Ultrastructure and composition of the Nannochloropsis gaditana cell wall, Eukaryot. Cell. 13 (2014) 1450–1464. doi:10.1128/EC.00183-14</t>
  </si>
  <si>
    <t>[12] D. Zhang, F. Yan, Z. Sun, Q. Zhang, S. Xue, W. Cong, Bioresource Technology On-line modeling intracellular carbon and energy metabolism of Nannochloropsis sp . in nitrogen-repletion and nitrogen-limitation cultures, Bioresour. Technol. 164 (2014) 86–92. doi:10.1016/j.biortech.2014.04.08</t>
  </si>
  <si>
    <t>[13]</t>
  </si>
  <si>
    <t>[13] reports carbohydrate content in wastewater</t>
  </si>
  <si>
    <t>[13] Fan H, Wang K, Wang C, Yu F, He X, Ma J, Li X (2020) A comparative study on growth characters and nutrients removal from wastewater by two microalgae under optimized light regimes. Environ Technol Innov 19: 100849</t>
  </si>
  <si>
    <t>[14]</t>
  </si>
  <si>
    <t>[14] Onay M (2020) Enhancing carbohydrate productivity from Nannochloropsis gaditana for bio-butanol production. Energy Reports. Elsevier Ltd, pp 63–67</t>
  </si>
  <si>
    <t>gM/gMM</t>
  </si>
  <si>
    <t>gM/gDW</t>
  </si>
  <si>
    <t>mmolM/gMM</t>
  </si>
  <si>
    <t>molM/molMM</t>
  </si>
  <si>
    <t>Chlorophyll a</t>
  </si>
  <si>
    <t>Violaxanthin</t>
  </si>
  <si>
    <t>beta-Carotene</t>
  </si>
  <si>
    <t>Zeaxanthin</t>
  </si>
  <si>
    <t xml:space="preserve">[15] Lubián LM, Montero O, Moreno-Garrido I, Huertas IE, Sobrino C, González-Del Valle M, Parés G (2000) Nannochloropsis (Eustigmatophyceae) as source of commercially valuable pigments. </t>
  </si>
  <si>
    <t>[16] Meneghesso A, Simionato D, Gerotto • Caterina, Nicoletta •, Rocca L, Finazzi G, Morosinotto T Photoacclimation of photosynthesis in the Eustigmatophycean Nannochloropsis gaditana. Photosynth Res. doi: 10.1007/s11120-016-0297-z</t>
  </si>
  <si>
    <t>TAG</t>
  </si>
  <si>
    <t>DAG</t>
  </si>
  <si>
    <t>FFA</t>
  </si>
  <si>
    <t>SQDG</t>
  </si>
  <si>
    <t>PG</t>
  </si>
  <si>
    <t>PC</t>
  </si>
  <si>
    <t>PE</t>
  </si>
  <si>
    <t>PI</t>
  </si>
  <si>
    <t>MGDG</t>
  </si>
  <si>
    <t>DGDG</t>
  </si>
  <si>
    <t>DGTS</t>
  </si>
  <si>
    <t>1,3-b-glucan</t>
  </si>
  <si>
    <t>Rhamnose</t>
  </si>
  <si>
    <t>Ribose</t>
  </si>
  <si>
    <t>Xylose</t>
  </si>
  <si>
    <t>Characterization of the Nannochloropsis gaditana storage carbohydrate: A 1,3-beta glucan with limited 1,6-branching</t>
  </si>
  <si>
    <t>C60H100O50</t>
  </si>
  <si>
    <t>% mol/mol</t>
  </si>
  <si>
    <t>molM/molMM2</t>
  </si>
  <si>
    <t>Schneider</t>
  </si>
  <si>
    <t>Average</t>
  </si>
  <si>
    <t>Average MW</t>
  </si>
  <si>
    <t>gM/molMM</t>
  </si>
  <si>
    <t>C14:0</t>
  </si>
  <si>
    <t>C16:0</t>
  </si>
  <si>
    <t>C16:1</t>
  </si>
  <si>
    <t>C16:2</t>
  </si>
  <si>
    <t>C16:3</t>
  </si>
  <si>
    <t>C18:1</t>
  </si>
  <si>
    <t>C18:2</t>
  </si>
  <si>
    <t>C18:3</t>
  </si>
  <si>
    <t>C20:1</t>
  </si>
  <si>
    <t>C20:2</t>
  </si>
  <si>
    <t>C20:3</t>
  </si>
  <si>
    <t>C20:4</t>
  </si>
  <si>
    <t>C20:5</t>
  </si>
  <si>
    <t>C18:0</t>
  </si>
  <si>
    <t>C06424</t>
  </si>
  <si>
    <t>C14H28O2</t>
  </si>
  <si>
    <t>C00249</t>
  </si>
  <si>
    <t>C16H32O2</t>
  </si>
  <si>
    <t>C08362</t>
  </si>
  <si>
    <t>C16H30O2</t>
  </si>
  <si>
    <t>C16H28O2</t>
  </si>
  <si>
    <t>C01530</t>
  </si>
  <si>
    <t>C18H36O2</t>
  </si>
  <si>
    <t>C00712</t>
  </si>
  <si>
    <t>C18H34O2</t>
  </si>
  <si>
    <t>C01595</t>
  </si>
  <si>
    <t>C18H32O2</t>
  </si>
  <si>
    <t>C06427</t>
  </si>
  <si>
    <t>C18H30O2</t>
  </si>
  <si>
    <t>C16526</t>
  </si>
  <si>
    <t>C20H38O2</t>
  </si>
  <si>
    <t>C16525</t>
  </si>
  <si>
    <t>C20H36O2</t>
  </si>
  <si>
    <t>C16522</t>
  </si>
  <si>
    <t>C20H34O2</t>
  </si>
  <si>
    <t>C00219</t>
  </si>
  <si>
    <t>C20H32O2</t>
  </si>
  <si>
    <t>C06428</t>
  </si>
  <si>
    <t>C20H30O2</t>
  </si>
  <si>
    <t>C16H26O2</t>
  </si>
  <si>
    <t>CHEBI:22340</t>
  </si>
  <si>
    <t>gM/gDW Average</t>
  </si>
  <si>
    <t>gM/gMM Normalized</t>
  </si>
  <si>
    <t>[15]</t>
  </si>
  <si>
    <t>Astaxanthin</t>
  </si>
  <si>
    <t>Antheraxanthin</t>
  </si>
  <si>
    <t>Canthaxanthin</t>
  </si>
  <si>
    <t>molM/molMM Normalized</t>
  </si>
  <si>
    <t>% molM/molMM</t>
  </si>
  <si>
    <t>% molM/molMM Average</t>
  </si>
  <si>
    <t>molM/molMM Average (normalized)</t>
  </si>
  <si>
    <t>g/mol</t>
  </si>
  <si>
    <t>mmol/gDW</t>
  </si>
  <si>
    <t>% gM/gMM</t>
  </si>
  <si>
    <t>Cellulose</t>
  </si>
  <si>
    <t>https://www.sciencedirect.com/science/article/pii/S2211926414001258</t>
  </si>
  <si>
    <t>See this:</t>
  </si>
  <si>
    <t>Simionato</t>
  </si>
  <si>
    <t>Metabolite</t>
  </si>
  <si>
    <t>Chemical Formula</t>
  </si>
  <si>
    <t>MW (g/mol)</t>
  </si>
  <si>
    <t>Reduced MW</t>
  </si>
  <si>
    <t>gmetabolite/gDW</t>
  </si>
  <si>
    <t>NADP+</t>
  </si>
  <si>
    <t>C21H29N7O17P3</t>
  </si>
  <si>
    <t>FAD</t>
  </si>
  <si>
    <t>C27H33N9O15P2</t>
  </si>
  <si>
    <t>Thiamin diphosphate</t>
  </si>
  <si>
    <t>C12H19N4O7P2S</t>
  </si>
  <si>
    <t>CoA</t>
  </si>
  <si>
    <t>C21H36N7O16P3S</t>
  </si>
  <si>
    <t>Pyridoxal phosphate</t>
  </si>
  <si>
    <t>C8H10NO6P</t>
  </si>
  <si>
    <t>S-Adenosyl-L-methionine</t>
  </si>
  <si>
    <t>C15H22N6O5S</t>
  </si>
  <si>
    <t>10-Formyltetrahydrofolate</t>
  </si>
  <si>
    <t>C20H23N7O7</t>
  </si>
  <si>
    <t>NAD+</t>
  </si>
  <si>
    <t>C21H28N7O14P2</t>
  </si>
  <si>
    <t>FMN</t>
  </si>
  <si>
    <t>C17H21N4O9P</t>
  </si>
  <si>
    <t>Glutathione</t>
  </si>
  <si>
    <t>C10H17N3O6S</t>
  </si>
  <si>
    <t>Ascorbate</t>
  </si>
  <si>
    <t>C6H8O6</t>
  </si>
  <si>
    <t>Riboflavin</t>
  </si>
  <si>
    <t>C17H20N4O6</t>
  </si>
  <si>
    <t>Tetrahydrofolate</t>
  </si>
  <si>
    <t>C19H23N7O6</t>
  </si>
  <si>
    <t>Pantetheine 4\'-phosphate</t>
  </si>
  <si>
    <t>C11H23N2O7PS</t>
  </si>
  <si>
    <t>C53H82O2</t>
  </si>
  <si>
    <t>Heme</t>
  </si>
  <si>
    <t>C34H32FeN4O4</t>
  </si>
  <si>
    <t>Biotin</t>
  </si>
  <si>
    <t>C10H16N2O3S</t>
  </si>
  <si>
    <t>mol/mole-Cofactor</t>
  </si>
  <si>
    <t>gmetabolite/ge-Cofactor</t>
  </si>
  <si>
    <t>mmolmetabolite/ge-Cofactor</t>
  </si>
  <si>
    <t>Ubiquinol-9</t>
  </si>
  <si>
    <t>C54H84O4</t>
  </si>
  <si>
    <t>Plastoquinol-9</t>
  </si>
  <si>
    <t>[5], [13], [14]</t>
  </si>
  <si>
    <t>UDP-Glucose</t>
  </si>
  <si>
    <t>C00029</t>
  </si>
  <si>
    <t>C00965</t>
  </si>
  <si>
    <t>UDP-Galactose</t>
  </si>
  <si>
    <t>C00052</t>
  </si>
  <si>
    <t>GDP-Fucose</t>
  </si>
  <si>
    <t>C00325</t>
  </si>
  <si>
    <t>UDP-n-acetylglucosamine</t>
  </si>
  <si>
    <t>C00043</t>
  </si>
  <si>
    <t>UDP-L-Rhamnose</t>
  </si>
  <si>
    <t>C02199</t>
  </si>
  <si>
    <t>UDP-Xylose</t>
  </si>
  <si>
    <t>C00760</t>
  </si>
  <si>
    <t>GDP-Mannose</t>
  </si>
  <si>
    <t>C00096</t>
  </si>
  <si>
    <t>C48H84O42</t>
  </si>
  <si>
    <t>UDP</t>
  </si>
  <si>
    <t>GDP</t>
  </si>
  <si>
    <t>e-Carbohydrate</t>
  </si>
  <si>
    <t>Cellulose (Glucose 1,4 &amp; terminal glucopyranose)</t>
  </si>
  <si>
    <t>mmol/MM</t>
  </si>
  <si>
    <t>g MM/mol MM</t>
  </si>
  <si>
    <t>g M/g MM</t>
  </si>
  <si>
    <t>mmol M/g MM</t>
  </si>
  <si>
    <t>mmol M / gDW</t>
  </si>
  <si>
    <t>CPD-17476</t>
  </si>
  <si>
    <t>[17] Alessandro Alboresi, Giorgio Perin, Nicola Vitulo, Gianfranco Diretto, Maryse Block, Juliette Jouhet, Andrea Meneghesso, Giorgio Valle, Giovanni Giuliano, Eric Maréchal, Tomas Morosinotto, Light Remodels Lipid Biosynthesis in Nannochloropsis gaditana by Modulating Carbon Partitioning between Organelles  , Plant Physiology, Volume 171, Issue 4, August 2016, Pages 2468–2482, https://doi.org/10.1104/pp.16.00599</t>
  </si>
  <si>
    <t>mol/mol</t>
  </si>
  <si>
    <t>Composition</t>
  </si>
  <si>
    <t>NMBluh014</t>
  </si>
  <si>
    <t>NMBluh-X</t>
  </si>
  <si>
    <t>18:1-16:0-16:0</t>
  </si>
  <si>
    <t>_</t>
  </si>
  <si>
    <t>16:0-16:0-16:1</t>
  </si>
  <si>
    <t>18:1-16:0-16:1</t>
  </si>
  <si>
    <t>16:1-16:1-18:1</t>
  </si>
  <si>
    <t>16:1-16:0-16:1</t>
  </si>
  <si>
    <t>16:1-16:0-14:0</t>
  </si>
  <si>
    <t>16:1-16:1-14:0</t>
  </si>
  <si>
    <t>16:1-16:0-20:5</t>
  </si>
  <si>
    <t>14:0-14:0-16:1</t>
  </si>
  <si>
    <t>16:1-16:1-16:1</t>
  </si>
  <si>
    <t>16:1-16:1-20:5</t>
  </si>
  <si>
    <t>16:1-14:0-20:5</t>
  </si>
  <si>
    <t>16:1-20:5-20:5</t>
  </si>
  <si>
    <t>16:0-16:1-18:2</t>
  </si>
  <si>
    <t>20:5-16:1-20:5</t>
  </si>
  <si>
    <t>18:1-16:1-20:5</t>
  </si>
  <si>
    <t>16:0-16:0-16:0</t>
  </si>
  <si>
    <t>16:0-16:0-20:5</t>
  </si>
  <si>
    <t>g M / gDW</t>
  </si>
  <si>
    <t>molM/mol/MM</t>
  </si>
  <si>
    <t>mmol/gDW (normalized for 0.19)</t>
  </si>
  <si>
    <t>16:2-16:3</t>
  </si>
  <si>
    <t>16:1-16:1</t>
  </si>
  <si>
    <t>16:1-16:0</t>
  </si>
  <si>
    <t>18:3-16:3</t>
  </si>
  <si>
    <t>18:2-16:3</t>
  </si>
  <si>
    <t>20:5-14:0</t>
  </si>
  <si>
    <t>18:2-16:2</t>
  </si>
  <si>
    <t>16:1-18:1</t>
  </si>
  <si>
    <t>20:5-16:1</t>
  </si>
  <si>
    <t>20:5-16:0</t>
  </si>
  <si>
    <t>18:2-20:5</t>
  </si>
  <si>
    <t>20:5-20:5</t>
  </si>
  <si>
    <t>20:4-20:5</t>
  </si>
  <si>
    <t>20:4-20:4</t>
  </si>
  <si>
    <t>https://onlinelibrary.wiley.com/doi/epdf/10.1111/jpy.12271</t>
  </si>
  <si>
    <t>18:3-16:1</t>
  </si>
  <si>
    <t>18:2-16:1</t>
  </si>
  <si>
    <t>20:5-12:0</t>
  </si>
  <si>
    <t>C12:0</t>
  </si>
  <si>
    <t>C02679</t>
  </si>
  <si>
    <t>C12H23O2</t>
  </si>
  <si>
    <t>18:3-16:2</t>
  </si>
  <si>
    <t>18:2-16:0</t>
  </si>
  <si>
    <t>18:1-16:0</t>
  </si>
  <si>
    <t>14:0-16:1</t>
  </si>
  <si>
    <t>14:0-16:0</t>
  </si>
  <si>
    <t>16:2-16:1</t>
  </si>
  <si>
    <t>16:0-16:0</t>
  </si>
  <si>
    <t>18:3-16:0</t>
  </si>
  <si>
    <t>16:0-18:1</t>
  </si>
  <si>
    <t>18:3-18:3</t>
  </si>
  <si>
    <t>18:3-18:2</t>
  </si>
  <si>
    <t>16:0-16:1</t>
  </si>
  <si>
    <t>17:1-16:0</t>
  </si>
  <si>
    <t>14:0-20:5</t>
  </si>
  <si>
    <t>14:0-20:4</t>
  </si>
  <si>
    <t>16:0-18:3</t>
  </si>
  <si>
    <t>16:0-18:2</t>
  </si>
  <si>
    <t>16:1-20:5</t>
  </si>
  <si>
    <t>16:0-20:5</t>
  </si>
  <si>
    <t>16:0-20:4</t>
  </si>
  <si>
    <t>17:1-20:5</t>
  </si>
  <si>
    <t>17:0-20:5</t>
  </si>
  <si>
    <t>20:5-18:4</t>
  </si>
  <si>
    <t>18:3-20:5</t>
  </si>
  <si>
    <t>20:5-18:1</t>
  </si>
  <si>
    <t>18:0-20:5</t>
  </si>
  <si>
    <t>18:1-20:4</t>
  </si>
  <si>
    <t>C17:0</t>
  </si>
  <si>
    <t>C17:1</t>
  </si>
  <si>
    <t>C17H33O2</t>
  </si>
  <si>
    <t>CPD-7830</t>
  </si>
  <si>
    <t>CPD-15680</t>
  </si>
  <si>
    <t>C17H31O2</t>
  </si>
  <si>
    <t>C18:4</t>
  </si>
  <si>
    <t>C16300</t>
  </si>
  <si>
    <t>C18H27O2</t>
  </si>
  <si>
    <t>molM/molMM Average</t>
  </si>
  <si>
    <t xml:space="preserve"> </t>
  </si>
  <si>
    <t>https://pubs.acs.org/doi/full/10.1021/acs.jafc.5b00241</t>
  </si>
  <si>
    <t>PFE</t>
  </si>
  <si>
    <t>Soxhlet</t>
  </si>
  <si>
    <t>Folch</t>
  </si>
  <si>
    <t>SFE</t>
  </si>
  <si>
    <t>extraction method</t>
  </si>
  <si>
    <t>hexane</t>
  </si>
  <si>
    <t>ethanol</t>
  </si>
  <si>
    <t>2:1 CHL/MeOH</t>
  </si>
  <si>
    <t>scCO2/30% EtOH</t>
  </si>
  <si>
    <t>PC 16:0/16:1</t>
  </si>
  <si>
    <t>PC 16:0/18:1</t>
  </si>
  <si>
    <t>PC 16:0/18:2</t>
  </si>
  <si>
    <t>PC 16:0/18:3</t>
  </si>
  <si>
    <t>PC 16:0/20:5</t>
  </si>
  <si>
    <t>PC 16:1/16:1</t>
  </si>
  <si>
    <t>PC 16:1/18:0</t>
  </si>
  <si>
    <t>PC 16:1/20:5</t>
  </si>
  <si>
    <t>PC 16:2/18:2</t>
  </si>
  <si>
    <t>PC 18:1/16:1</t>
  </si>
  <si>
    <t>PC 20:3/16:0</t>
  </si>
  <si>
    <t>x</t>
  </si>
  <si>
    <t xml:space="preserve">PE 36:6 (20:5/16:1) </t>
  </si>
  <si>
    <t>Time (hours)</t>
  </si>
  <si>
    <t>N+</t>
    <phoneticPr fontId="1" type="noConversion"/>
  </si>
  <si>
    <t xml:space="preserve">PE 36:1 (18:0/18:1) </t>
  </si>
  <si>
    <t xml:space="preserve">PE 38:7 (20:4/18:3 20:5/18:2) </t>
  </si>
  <si>
    <t xml:space="preserve">PE 38:6 (20:5/18:1) </t>
  </si>
  <si>
    <t xml:space="preserve">PE 38:5 (20:5/18:0) </t>
  </si>
  <si>
    <t xml:space="preserve">PE 40:10 (20:5/20:5) </t>
  </si>
  <si>
    <t xml:space="preserve">PE 40:9 (20:5/20:4) </t>
  </si>
  <si>
    <t xml:space="preserve">PE 40:8 (20:4/20:4) </t>
  </si>
  <si>
    <t>umol/gDW</t>
  </si>
  <si>
    <t>mmol/molMM</t>
  </si>
  <si>
    <t xml:space="preserve">PI 34:1 (16:0/18:1) </t>
  </si>
  <si>
    <t>N+</t>
  </si>
  <si>
    <t>N-</t>
  </si>
  <si>
    <t xml:space="preserve">PI 32:1 (16:0/16:1) </t>
  </si>
  <si>
    <t xml:space="preserve">PI 32:2 (16:1/16:1) </t>
  </si>
  <si>
    <t>Supplemental Data. Li et al. (2014). Plant Cell 10.1105/tpc.113.121418</t>
  </si>
  <si>
    <t>P</t>
  </si>
  <si>
    <t>NH4</t>
  </si>
  <si>
    <t>DG</t>
  </si>
  <si>
    <t>DG(16:0/16:1)</t>
  </si>
  <si>
    <t>DG(16:0/16:1)+NH4</t>
  </si>
  <si>
    <t>######</t>
  </si>
  <si>
    <t>(16:1)</t>
  </si>
  <si>
    <t>DG(20:4/16:0)</t>
  </si>
  <si>
    <t>DG(20:4/16:0)+NH4</t>
  </si>
  <si>
    <t>(16:0)</t>
  </si>
  <si>
    <t>DG(20:5/16:0)</t>
  </si>
  <si>
    <t>DG(20:5/16:0)+NH4</t>
  </si>
  <si>
    <t>DG(20:5/16:1)</t>
  </si>
  <si>
    <t>DG(20:5/16:1)+NH4</t>
  </si>
  <si>
    <t>DG(20:5/20:5)</t>
  </si>
  <si>
    <t>DG(20:5/20:5)+NH4</t>
  </si>
  <si>
    <t>(20:5)</t>
  </si>
  <si>
    <t>Cobamide coenzyme</t>
  </si>
  <si>
    <t>C72H100CoN18O17P</t>
  </si>
  <si>
    <t>Lipoate</t>
  </si>
  <si>
    <t>C8H14O2S2</t>
  </si>
  <si>
    <t>[2Fe-2S] without apo protein</t>
  </si>
  <si>
    <t>S2Fe2</t>
  </si>
  <si>
    <t>Phylloquinol</t>
  </si>
  <si>
    <t>Molybdenium cofactor</t>
  </si>
  <si>
    <t>C31H48O2</t>
  </si>
  <si>
    <t>https://www.sciencedirect.com/science/article/pii/S2211926418304697#f0020</t>
  </si>
  <si>
    <t>di-trans,poly-cis-Undecaprenyl diphosphate</t>
  </si>
  <si>
    <t>Sterols</t>
  </si>
  <si>
    <t>Cholest-5-en-3β-ol</t>
  </si>
  <si>
    <t>5α(H)-Cholestan-3β-ol</t>
  </si>
  <si>
    <t>n.d.</t>
  </si>
  <si>
    <t>Cholesta-5,7-dien-3β-ol</t>
  </si>
  <si>
    <t>Cholest-7-en-3β-ol</t>
  </si>
  <si>
    <t>24-Methycholest-5-en-3β-ol</t>
  </si>
  <si>
    <t>24-Ethylcholest-5-en-3β-ol</t>
  </si>
  <si>
    <t>24-Ethylcholest-7-en-3β-ol</t>
  </si>
  <si>
    <t>24-Ethylcholesta-5,24(28)Z-dien-3β-ol</t>
  </si>
  <si>
    <t>24-Ethylcholesta-5,24(28)E-dien-3β-ol</t>
  </si>
  <si>
    <t>MW</t>
  </si>
  <si>
    <t>C00187</t>
  </si>
  <si>
    <t>C01164</t>
  </si>
  <si>
    <t>C01189</t>
  </si>
  <si>
    <t>C15781</t>
  </si>
  <si>
    <t>C01753</t>
  </si>
  <si>
    <t>CPD-4142</t>
  </si>
  <si>
    <t>mmol/gMM</t>
  </si>
  <si>
    <t>Compound</t>
  </si>
  <si>
    <t>Acetate</t>
  </si>
  <si>
    <t>Propanoate</t>
  </si>
  <si>
    <t>Butanoate</t>
  </si>
  <si>
    <t>Lactate</t>
  </si>
  <si>
    <t>Succinate</t>
  </si>
  <si>
    <t>Formate</t>
  </si>
  <si>
    <t>g/g 30 days</t>
  </si>
  <si>
    <t>https://www.mdpi.com/2311-5637/8/4/159</t>
  </si>
  <si>
    <t>g/g 180 days</t>
  </si>
  <si>
    <t>Acids</t>
  </si>
  <si>
    <t>g/gDW</t>
  </si>
  <si>
    <t>Column3</t>
  </si>
  <si>
    <t>mmol M/gMM</t>
  </si>
  <si>
    <t>C00190</t>
  </si>
  <si>
    <t>Corrected MW</t>
  </si>
  <si>
    <t>L-Leucyl-tRNA</t>
  </si>
  <si>
    <t>C34H46N12O22P3T2</t>
  </si>
  <si>
    <t>L-Tryptophanyl-tRNA(Trp)</t>
  </si>
  <si>
    <t>C39H45N13O22P3T2</t>
  </si>
  <si>
    <t>L-Isoleucyl-tRNA(Ile)</t>
  </si>
  <si>
    <t>L-Cysteinyl-tRNA(Cys)</t>
  </si>
  <si>
    <t>C31H40N12O22P3ST2</t>
  </si>
  <si>
    <t>L-Methionyl-tRNA</t>
  </si>
  <si>
    <t>C33H44N12O22P3ST2</t>
  </si>
  <si>
    <t>L-Phenylalanyl-tRNA(Phe)</t>
  </si>
  <si>
    <t>C37H44N12O22P3T3</t>
  </si>
  <si>
    <t>L-Prolyl-tRNA(Pro)</t>
  </si>
  <si>
    <t>C33H42N12O22P3T3</t>
  </si>
  <si>
    <t>L-Tyrosyl-tRNA(Tyr)</t>
  </si>
  <si>
    <t>C37H44N12O23P3T2</t>
  </si>
  <si>
    <t>L-Aspartyl-tRNA(Asp)</t>
  </si>
  <si>
    <t>C32H39N12O24P3T3</t>
  </si>
  <si>
    <t>Glycyl-tRNA(Gly)</t>
  </si>
  <si>
    <t>C30H38N12O22P3T3</t>
  </si>
  <si>
    <t>L-Asparaginyl-tRNA(Asn)</t>
  </si>
  <si>
    <t>C32H41N13O23P3T3</t>
  </si>
  <si>
    <t>Glutaminyl-tRNA</t>
  </si>
  <si>
    <t>C33H43N13O23P3T2</t>
  </si>
  <si>
    <t>L-Valyl-tRNA(Val)</t>
  </si>
  <si>
    <t>C33H44N12O22P3T2</t>
  </si>
  <si>
    <t>L-Arginyl-tRNA(Arg)</t>
  </si>
  <si>
    <t>C34H48N15O22P3T2</t>
  </si>
  <si>
    <t>L-Lysyl-tRNA</t>
  </si>
  <si>
    <t>C34H48N13O22P3T3</t>
  </si>
  <si>
    <t>L-Alanyl-tRNA</t>
  </si>
  <si>
    <t>C31H40N12O22P3T3</t>
  </si>
  <si>
    <t>L-Glutamyl-tRNA(Glu)</t>
  </si>
  <si>
    <t>C33H41N12O24P3T2</t>
  </si>
  <si>
    <t>L-Histidyl-tRNA(His)</t>
  </si>
  <si>
    <t>C34H42N14O22P3T3</t>
  </si>
  <si>
    <t>L-Threonyl-tRNA(Thr)</t>
  </si>
  <si>
    <t>C32H42N12O23P3T3</t>
  </si>
  <si>
    <t>L-Seryl-tRNA(Ser)</t>
  </si>
  <si>
    <t>C31H40N12O23P3T3</t>
  </si>
  <si>
    <t>Formula tRNA</t>
  </si>
  <si>
    <t>Formula AA</t>
  </si>
  <si>
    <t>MW (-H2O)</t>
  </si>
  <si>
    <t>g/gDW (normalized)</t>
  </si>
  <si>
    <t>mmol/gDW2</t>
  </si>
  <si>
    <t>C5H10N2O3</t>
  </si>
  <si>
    <t>C2H5NO2</t>
  </si>
  <si>
    <t>C3H7NO2</t>
  </si>
  <si>
    <t>C6H15N4O2</t>
  </si>
  <si>
    <t>C4H8N2O3</t>
  </si>
  <si>
    <t>C4H6NO4</t>
  </si>
  <si>
    <t>C3H7NO2S</t>
  </si>
  <si>
    <t>C5H8NO4</t>
  </si>
  <si>
    <t>C6H9N3O2</t>
  </si>
  <si>
    <t>C6H13NO2</t>
  </si>
  <si>
    <t>C6H15N2O2</t>
  </si>
  <si>
    <t>C5H11NO2S</t>
  </si>
  <si>
    <t>C9H11NO2</t>
  </si>
  <si>
    <t>C5H9NO2</t>
  </si>
  <si>
    <t>C3H7NO3</t>
  </si>
  <si>
    <t>C4H9NO3</t>
  </si>
  <si>
    <t>C11H12N2O2</t>
  </si>
  <si>
    <t>C9H11NO3</t>
  </si>
  <si>
    <t>C5H11NO2</t>
  </si>
  <si>
    <t>MW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</si>
</sst>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2">
    <font>
      <sz val="11"/>
      <color theme="1"/>
      <name val="Calibri"/>
      <family val="2"/>
      <scheme val="minor"/>
    </font>
    <font>
      <b/>
      <sz val="11"/>
      <color theme="1"/>
      <name val="Calibri"/>
      <family val="2"/>
      <scheme val="minor"/>
    </font>
    <font>
      <b/>
      <sz val="10"/>
      <color rgb="FF00000A"/>
      <name val="Times New Roman"/>
      <family val="1"/>
    </font>
    <font>
      <b/>
      <sz val="10"/>
      <color theme="1"/>
      <name val="Times New Roman"/>
      <family val="1"/>
    </font>
    <font>
      <sz val="11"/>
      <color rgb="FFFF0000"/>
      <name val="Calibri"/>
      <family val="2"/>
      <scheme val="minor"/>
    </font>
    <font>
      <sz val="8"/>
      <name val="Calibri"/>
      <family val="2"/>
      <scheme val="minor"/>
    </font>
    <font>
      <sz val="11"/>
      <color theme="1"/>
      <name val="Times New Roman"/>
      <family val="1"/>
    </font>
    <font>
      <sz val="10"/>
      <color theme="1"/>
      <name val="Arial Unicode MS"/>
    </font>
    <font>
      <sz val="11"/>
      <color indexed="8"/>
      <name val="宋体"/>
      <charset val="134"/>
    </font>
    <font>
      <sz val="10"/>
      <color indexed="8"/>
      <name val="Times New Roman"/>
      <family val="1"/>
    </font>
    <font>
      <sz val="11"/>
      <color theme="1"/>
      <name val="宋体"/>
      <charset val="134"/>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rgb="FFFF0000"/>
        <bgColor indexed="64"/>
      </patternFill>
    </fill>
    <fill>
      <patternFill patternType="solid">
        <fgColor rgb="FF00B050"/>
        <bgColor indexed="64"/>
      </patternFill>
    </fill>
  </fills>
  <borders count="10">
    <border>
      <left/>
      <right/>
      <top/>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0" fontId="8" fillId="0" borderId="0"/>
    <xf numFmtId="0" fontId="10" fillId="0" borderId="0"/>
  </cellStyleXfs>
  <cellXfs count="42">
    <xf numFmtId="0" fontId="0" fillId="0" borderId="0" xfId="0"/>
    <xf numFmtId="0" fontId="3" fillId="0" borderId="0" xfId="0" applyFont="1"/>
    <xf numFmtId="0" fontId="2" fillId="0" borderId="0" xfId="0" applyFont="1" applyAlignment="1">
      <alignment vertical="center"/>
    </xf>
    <xf numFmtId="0" fontId="1" fillId="0" borderId="0" xfId="0" applyFont="1"/>
    <xf numFmtId="0" fontId="4" fillId="0" borderId="0" xfId="0" applyFont="1"/>
    <xf numFmtId="0" fontId="6" fillId="0" borderId="0" xfId="0" applyFont="1"/>
    <xf numFmtId="0" fontId="0" fillId="2" borderId="0" xfId="0" applyFill="1"/>
    <xf numFmtId="0" fontId="7" fillId="0" borderId="0" xfId="0" applyFont="1" applyAlignment="1">
      <alignment vertical="center"/>
    </xf>
    <xf numFmtId="2" fontId="0" fillId="0" borderId="0" xfId="0" applyNumberFormat="1"/>
    <xf numFmtId="164" fontId="0" fillId="0" borderId="0" xfId="0" applyNumberFormat="1"/>
    <xf numFmtId="0" fontId="9" fillId="3" borderId="3" xfId="0" applyFont="1" applyFill="1" applyBorder="1"/>
    <xf numFmtId="0" fontId="9" fillId="3" borderId="4" xfId="0" applyFont="1" applyFill="1" applyBorder="1" applyAlignment="1">
      <alignment horizontal="center"/>
    </xf>
    <xf numFmtId="0" fontId="9" fillId="3" borderId="5" xfId="0" applyFont="1" applyFill="1" applyBorder="1" applyAlignment="1">
      <alignment horizontal="center"/>
    </xf>
    <xf numFmtId="0" fontId="9" fillId="0" borderId="6" xfId="0" applyFont="1" applyBorder="1"/>
    <xf numFmtId="0" fontId="9" fillId="0" borderId="1" xfId="0" applyFont="1" applyBorder="1" applyAlignment="1">
      <alignment horizontal="center"/>
    </xf>
    <xf numFmtId="164" fontId="9" fillId="0" borderId="2" xfId="0" applyNumberFormat="1" applyFont="1" applyBorder="1" applyAlignment="1">
      <alignment horizontal="center"/>
    </xf>
    <xf numFmtId="0" fontId="9" fillId="3" borderId="6" xfId="0" applyFont="1" applyFill="1" applyBorder="1"/>
    <xf numFmtId="0" fontId="9" fillId="3" borderId="1" xfId="0" applyFont="1" applyFill="1" applyBorder="1" applyAlignment="1">
      <alignment horizontal="center"/>
    </xf>
    <xf numFmtId="0" fontId="9" fillId="3" borderId="2" xfId="0" applyFont="1" applyFill="1" applyBorder="1" applyAlignment="1">
      <alignment horizontal="center"/>
    </xf>
    <xf numFmtId="0" fontId="9" fillId="0" borderId="7" xfId="0" applyFont="1" applyBorder="1"/>
    <xf numFmtId="0" fontId="9" fillId="0" borderId="8" xfId="0" applyFont="1" applyBorder="1" applyAlignment="1">
      <alignment horizontal="center"/>
    </xf>
    <xf numFmtId="164" fontId="9" fillId="0" borderId="9" xfId="0" applyNumberFormat="1" applyFont="1" applyBorder="1" applyAlignment="1">
      <alignment horizontal="center"/>
    </xf>
    <xf numFmtId="0" fontId="9" fillId="0" borderId="1" xfId="1" applyFont="1" applyBorder="1" applyAlignment="1">
      <alignment horizontal="center"/>
    </xf>
    <xf numFmtId="164" fontId="9" fillId="0" borderId="2" xfId="1" applyNumberFormat="1" applyFont="1" applyBorder="1" applyAlignment="1">
      <alignment horizontal="center"/>
    </xf>
    <xf numFmtId="164" fontId="9" fillId="0" borderId="1" xfId="1" applyNumberFormat="1" applyFont="1" applyBorder="1" applyAlignment="1">
      <alignment horizontal="center"/>
    </xf>
    <xf numFmtId="0" fontId="9" fillId="3" borderId="2" xfId="1" applyFont="1" applyFill="1" applyBorder="1" applyAlignment="1">
      <alignment horizontal="center"/>
    </xf>
    <xf numFmtId="0" fontId="9" fillId="3" borderId="1" xfId="1" applyFont="1" applyFill="1" applyBorder="1" applyAlignment="1">
      <alignment horizontal="center"/>
    </xf>
    <xf numFmtId="0" fontId="9" fillId="3" borderId="3" xfId="1" applyFont="1" applyFill="1" applyBorder="1"/>
    <xf numFmtId="0" fontId="9" fillId="3" borderId="5" xfId="1" applyFont="1" applyFill="1" applyBorder="1" applyAlignment="1">
      <alignment horizontal="center"/>
    </xf>
    <xf numFmtId="0" fontId="9" fillId="3" borderId="4" xfId="1" applyFont="1" applyFill="1" applyBorder="1" applyAlignment="1">
      <alignment horizontal="center"/>
    </xf>
    <xf numFmtId="0" fontId="9" fillId="0" borderId="6" xfId="1" applyFont="1" applyBorder="1"/>
    <xf numFmtId="0" fontId="9" fillId="3" borderId="6" xfId="1" applyFont="1" applyFill="1" applyBorder="1"/>
    <xf numFmtId="0" fontId="0" fillId="0" borderId="0" xfId="0" applyAlignment="1">
      <alignment vertical="center" wrapText="1"/>
    </xf>
    <xf numFmtId="0" fontId="0" fillId="4" borderId="0" xfId="0" applyFill="1"/>
    <xf numFmtId="0" fontId="1" fillId="0" borderId="0" xfId="0" applyFont="1" applyAlignment="1">
      <alignment horizontal="center" vertical="center" wrapText="1"/>
    </xf>
    <xf numFmtId="0" fontId="0" fillId="5" borderId="0" xfId="0" applyFill="1"/>
    <xf numFmtId="165" fontId="0" fillId="0" borderId="0" xfId="0" applyNumberFormat="1"/>
    <xf numFmtId="0" fontId="11" fillId="0" borderId="0" xfId="0" applyFont="1"/>
    <xf numFmtId="165" fontId="11" fillId="5" borderId="0" xfId="0" applyNumberFormat="1" applyFont="1" applyFill="1"/>
    <xf numFmtId="165" fontId="0" fillId="5" borderId="0" xfId="0" applyNumberFormat="1" applyFill="1"/>
    <xf numFmtId="11" fontId="0" fillId="0" borderId="0" xfId="0" applyNumberFormat="1"/>
    <xf numFmtId="0" fontId="0" fillId="0" borderId="0" xfId="0" applyAlignment="1">
      <alignment horizontal="center"/>
    </xf>
  </cellXfs>
  <cellStyles count="3">
    <cellStyle name="Normal" xfId="0" builtinId="0"/>
    <cellStyle name="Normal 2" xfId="1" xr:uid="{E0D6D262-ACF1-4F2D-8A78-1A6F68F3CE4C}"/>
    <cellStyle name="常规 2" xfId="2" xr:uid="{758DAB06-4FFC-4815-A990-BA988D9D6814}"/>
  </cellStyles>
  <dxfs count="18">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A64FBF-0445-427E-A577-D2237F19D530}" name="Table2" displayName="Table2" ref="D4:M25" totalsRowCount="1">
  <autoFilter ref="D4:M24" xr:uid="{0BA64FBF-0445-427E-A577-D2237F19D530}"/>
  <sortState xmlns:xlrd2="http://schemas.microsoft.com/office/spreadsheetml/2017/richdata2" ref="D5:M24">
    <sortCondition ref="D4:D24"/>
  </sortState>
  <tableColumns count="10">
    <tableColumn id="1" xr3:uid="{4D080583-9E19-4AD6-878F-D03697E13BC0}" name="Compound"/>
    <tableColumn id="2" xr3:uid="{AB655B19-B85A-45CD-9773-0D5CCFA4A7D1}" name="Formula tRNA"/>
    <tableColumn id="3" xr3:uid="{02EE0E7E-E210-4869-9B5F-11911934FB89}" name="Formula AA"/>
    <tableColumn id="4" xr3:uid="{110E4159-637C-4E8F-963D-048F54FC6B64}" name="MW"/>
    <tableColumn id="5" xr3:uid="{8E85F25E-9BA9-4E9D-BF6B-55C0644F7107}" name="MW (-H2O)"/>
    <tableColumn id="6" xr3:uid="{605E5F64-EF72-44EE-A586-19F7655FE8D7}" name="mmol/gMM" totalsRowFunction="custom" dataDxfId="17" totalsRowDxfId="16">
      <calculatedColumnFormula>Table2[[#This Row],[MW (-H2O)]]*-1</calculatedColumnFormula>
      <totalsRowFormula>SUM(Table2[mmol/gMM])</totalsRowFormula>
    </tableColumn>
    <tableColumn id="7" xr3:uid="{CBD793B9-E09C-4E10-85C1-CBCF48EAF347}" name="g/gDW" totalsRowFunction="custom" dataDxfId="15" totalsRowDxfId="14">
      <calculatedColumnFormula>I5*H5/1000*'Macromolecular Composition'!$F$5</calculatedColumnFormula>
      <totalsRowFormula>SUM(Table2[g/gDW])</totalsRowFormula>
    </tableColumn>
    <tableColumn id="8" xr3:uid="{B6CC862F-A456-45CF-9A2C-1B8BA46276EA}" name="g/gDW (normalized)" totalsRowFunction="custom" dataDxfId="13" totalsRowDxfId="12">
      <calculatedColumnFormula>Table2[[#This Row],[g/gDW]]/$J$25*'Macromolecular Composition'!$F$5</calculatedColumnFormula>
      <totalsRowFormula>SUM(Table2[g/gDW (normalized)])</totalsRowFormula>
    </tableColumn>
    <tableColumn id="9" xr3:uid="{19EBE85D-B8A7-4898-85B5-9A8CC9D63810}" name="mmol/gDW" totalsRowFunction="custom" dataDxfId="11" totalsRowDxfId="10">
      <calculatedColumnFormula>Table2[[#This Row],[g/gDW (normalized)]]/Table2[[#This Row],[MW (-H2O)]]*1000</calculatedColumnFormula>
      <totalsRowFormula>SUM(Table2[mmol/gDW])</totalsRowFormula>
    </tableColumn>
    <tableColumn id="10" xr3:uid="{F3CD8186-19D9-43E0-84F3-075321954C9A}" name="mmol/gDW2" totalsRowFunction="custom" dataDxfId="9" totalsRowDxfId="8">
      <calculatedColumnFormula>Table2[[#This Row],[mmol/gDW]]/Table2[[#Totals],[g/gDW (normalized)]]</calculatedColumnFormula>
      <totalsRowFormula>SUM(Table2[mmol/gDW2])</totalsRow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9C10F7-545B-4149-A000-7A8316C080F9}" name="Table4" displayName="Table4" ref="C5:L12" totalsRowShown="0" dataDxfId="7">
  <autoFilter ref="C5:L12" xr:uid="{BD9C10F7-545B-4149-A000-7A8316C080F9}"/>
  <tableColumns count="10">
    <tableColumn id="1" xr3:uid="{CF4821AD-EBB8-4AF3-B306-460DF87CC664}" name="Compound" dataDxfId="6"/>
    <tableColumn id="2" xr3:uid="{49D3C91F-DB4A-4527-885B-CD408B2D38BA}" name="Mol.Weight" dataDxfId="5"/>
    <tableColumn id="3" xr3:uid="{3715E213-AA50-4921-AE8A-3C748FE98967}" name="% mol/mol"/>
    <tableColumn id="4" xr3:uid="{387474D0-B582-42DF-954A-498C200FAFD2}" name="g/g 30 days"/>
    <tableColumn id="5" xr3:uid="{84305C50-F2B1-40F4-A296-CBD5496E9918}" name="g/g 180 days"/>
    <tableColumn id="6" xr3:uid="{40B5CEBA-D6B6-4EAA-B019-F0A725A1129E}" name="g/gDW" dataDxfId="4"/>
    <tableColumn id="7" xr3:uid="{3E312588-A344-4C81-804F-85F243F48A02}" name="gM/gDW" dataDxfId="3">
      <calculatedColumnFormula>Table4[[#This Row],[g/gDW]]/$H$12*'Macromolecular Composition'!$E$10</calculatedColumnFormula>
    </tableColumn>
    <tableColumn id="10" xr3:uid="{5BD8EC36-854E-4102-BF10-5B7EA752A658}" name="gM/gMM" dataDxfId="2">
      <calculatedColumnFormula>Table4[[#This Row],[gM/gDW]]/$I$12</calculatedColumnFormula>
    </tableColumn>
    <tableColumn id="8" xr3:uid="{94A3ECCD-FED1-408D-AE18-E37D963767B4}" name="mmol M/gMM" dataDxfId="1">
      <calculatedColumnFormula>Table4[[#This Row],[gM/gMM]]/$I$12</calculatedColumnFormula>
    </tableColumn>
    <tableColumn id="9" xr3:uid="{25418E11-3C27-48EC-BE72-37BC647C2B99}" name="Column3"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49"/>
  <sheetViews>
    <sheetView topLeftCell="A4" workbookViewId="0">
      <selection activeCell="E51" sqref="E51"/>
    </sheetView>
  </sheetViews>
  <sheetFormatPr defaultRowHeight="15"/>
  <cols>
    <col min="3" max="3" width="14.85546875" bestFit="1" customWidth="1"/>
    <col min="4" max="4" width="23" bestFit="1" customWidth="1"/>
    <col min="5" max="5" width="33.85546875" bestFit="1" customWidth="1"/>
    <col min="6" max="6" width="12" bestFit="1" customWidth="1"/>
  </cols>
  <sheetData>
    <row r="4" spans="3:10">
      <c r="C4" t="s">
        <v>0</v>
      </c>
      <c r="D4" t="s">
        <v>7</v>
      </c>
      <c r="E4" t="s">
        <v>8</v>
      </c>
      <c r="F4" t="s">
        <v>9</v>
      </c>
      <c r="H4" t="s">
        <v>11</v>
      </c>
    </row>
    <row r="5" spans="3:10">
      <c r="C5" s="4" t="s">
        <v>1</v>
      </c>
      <c r="D5">
        <f>AVERAGE(D21:H21)</f>
        <v>32.555</v>
      </c>
      <c r="E5">
        <f>D5/$D$14*100</f>
        <v>31.083210006206137</v>
      </c>
      <c r="F5" s="39">
        <f>E5/100</f>
        <v>0.31083210006206136</v>
      </c>
      <c r="H5" t="s">
        <v>12</v>
      </c>
      <c r="J5" s="8">
        <f>F5*100</f>
        <v>31.083210006206137</v>
      </c>
    </row>
    <row r="6" spans="3:10">
      <c r="C6" t="s">
        <v>3</v>
      </c>
      <c r="D6">
        <v>2.02</v>
      </c>
      <c r="E6">
        <f>D6/$D$14*100</f>
        <v>1.9286771375375946</v>
      </c>
      <c r="F6" s="39">
        <f t="shared" ref="F6:F11" si="0">E6/100</f>
        <v>1.9286771375375947E-2</v>
      </c>
      <c r="H6" t="s">
        <v>13</v>
      </c>
      <c r="J6" s="8">
        <f t="shared" ref="J6:J13" si="1">F6*100</f>
        <v>1.9286771375375946</v>
      </c>
    </row>
    <row r="7" spans="3:10">
      <c r="C7" t="s">
        <v>2</v>
      </c>
      <c r="D7">
        <v>0.35</v>
      </c>
      <c r="E7">
        <f>D7/$D$14*100</f>
        <v>0.33417673175156337</v>
      </c>
      <c r="F7" s="39">
        <f t="shared" si="0"/>
        <v>3.3417673175156338E-3</v>
      </c>
      <c r="H7" t="s">
        <v>13</v>
      </c>
      <c r="J7" s="8">
        <f t="shared" si="1"/>
        <v>0.33417673175156337</v>
      </c>
    </row>
    <row r="8" spans="3:10">
      <c r="C8" t="s">
        <v>10</v>
      </c>
      <c r="D8">
        <f>AVERAGE(D24:H24)</f>
        <v>40.18</v>
      </c>
      <c r="E8">
        <f>D8/$D$14*100</f>
        <v>38.363488805079484</v>
      </c>
      <c r="F8" s="39">
        <f t="shared" si="0"/>
        <v>0.38363488805079482</v>
      </c>
      <c r="H8" t="s">
        <v>14</v>
      </c>
      <c r="J8" s="8">
        <f t="shared" si="1"/>
        <v>38.363488805079484</v>
      </c>
    </row>
    <row r="9" spans="3:10">
      <c r="C9" s="4" t="s">
        <v>4</v>
      </c>
      <c r="D9">
        <f>AVERAGE(D25:H25)</f>
        <v>16.945</v>
      </c>
      <c r="E9">
        <f>D9/$D$14*100</f>
        <v>16.178927770086407</v>
      </c>
      <c r="F9" s="39">
        <f t="shared" si="0"/>
        <v>0.16178927770086407</v>
      </c>
      <c r="H9" t="s">
        <v>182</v>
      </c>
      <c r="J9" s="8">
        <f>F9*100</f>
        <v>16.178927770086407</v>
      </c>
    </row>
    <row r="10" spans="3:10">
      <c r="C10" t="s">
        <v>392</v>
      </c>
      <c r="D10">
        <f>Acids!H12</f>
        <v>9.1050000000000004</v>
      </c>
      <c r="E10">
        <f t="shared" ref="E10" si="2">D10/$D$14*100</f>
        <v>8.6933689788513853</v>
      </c>
      <c r="F10" s="39">
        <f t="shared" si="0"/>
        <v>8.6933689788513846E-2</v>
      </c>
      <c r="J10" s="8"/>
    </row>
    <row r="11" spans="3:10">
      <c r="C11" t="s">
        <v>5</v>
      </c>
      <c r="D11">
        <v>1.76</v>
      </c>
      <c r="E11">
        <f>D11/$D$14*100</f>
        <v>1.6804315653792905</v>
      </c>
      <c r="F11" s="39">
        <f t="shared" si="0"/>
        <v>1.6804315653792905E-2</v>
      </c>
      <c r="H11" t="s">
        <v>16</v>
      </c>
      <c r="J11" s="8">
        <f t="shared" si="1"/>
        <v>1.6804315653792905</v>
      </c>
    </row>
    <row r="12" spans="3:10">
      <c r="C12" t="s">
        <v>363</v>
      </c>
      <c r="D12">
        <f>8.2/1000*100</f>
        <v>0.81999999999999984</v>
      </c>
      <c r="E12">
        <f>D12/$D$14*100</f>
        <v>0.78292834296080549</v>
      </c>
      <c r="F12" s="39">
        <f>E12/100</f>
        <v>7.8292834296080551E-3</v>
      </c>
      <c r="J12" s="8">
        <f t="shared" si="1"/>
        <v>0.78292834296080549</v>
      </c>
    </row>
    <row r="13" spans="3:10">
      <c r="C13" t="s">
        <v>6</v>
      </c>
      <c r="D13">
        <v>1</v>
      </c>
      <c r="E13">
        <f>D13/$D$14*100</f>
        <v>0.95479066214732411</v>
      </c>
      <c r="F13" s="39">
        <f>E13/100</f>
        <v>9.547906621473241E-3</v>
      </c>
      <c r="J13" s="8">
        <f t="shared" si="1"/>
        <v>0.95479066214732411</v>
      </c>
    </row>
    <row r="14" spans="3:10">
      <c r="D14">
        <f>SUM(D5:D13)</f>
        <v>104.73500000000001</v>
      </c>
      <c r="E14">
        <f>SUM(E5:E13)</f>
        <v>99.999999999999972</v>
      </c>
      <c r="F14" s="36">
        <f>SUM(F5:F13)</f>
        <v>0.99999999999999978</v>
      </c>
    </row>
    <row r="20" spans="3:8">
      <c r="D20" t="s">
        <v>14</v>
      </c>
      <c r="E20" t="s">
        <v>16</v>
      </c>
      <c r="F20" t="s">
        <v>15</v>
      </c>
      <c r="G20" t="s">
        <v>42</v>
      </c>
      <c r="H20" t="s">
        <v>45</v>
      </c>
    </row>
    <row r="21" spans="3:8">
      <c r="C21" t="s">
        <v>1</v>
      </c>
      <c r="D21">
        <v>33.909999999999997</v>
      </c>
      <c r="F21">
        <v>31.2</v>
      </c>
    </row>
    <row r="22" spans="3:8">
      <c r="C22" t="s">
        <v>3</v>
      </c>
      <c r="E22">
        <v>2.02</v>
      </c>
      <c r="F22" t="s">
        <v>34</v>
      </c>
    </row>
    <row r="23" spans="3:8">
      <c r="C23" t="s">
        <v>2</v>
      </c>
      <c r="E23">
        <v>0.35</v>
      </c>
      <c r="F23" t="s">
        <v>34</v>
      </c>
    </row>
    <row r="24" spans="3:8">
      <c r="C24" t="s">
        <v>10</v>
      </c>
      <c r="D24">
        <v>32.86</v>
      </c>
      <c r="F24">
        <v>47.5</v>
      </c>
    </row>
    <row r="25" spans="3:8">
      <c r="C25" t="s">
        <v>4</v>
      </c>
      <c r="D25">
        <v>16.78</v>
      </c>
      <c r="F25">
        <f>SUM(F26:F27)</f>
        <v>19.3</v>
      </c>
      <c r="G25">
        <v>14.3</v>
      </c>
      <c r="H25">
        <f>AVERAGE(17.3,15,16,21.3)</f>
        <v>17.399999999999999</v>
      </c>
    </row>
    <row r="26" spans="3:8">
      <c r="C26" t="s">
        <v>32</v>
      </c>
      <c r="F26">
        <v>8.5</v>
      </c>
    </row>
    <row r="27" spans="3:8">
      <c r="C27" t="s">
        <v>33</v>
      </c>
      <c r="F27">
        <v>10.8</v>
      </c>
    </row>
    <row r="28" spans="3:8">
      <c r="C28" t="s">
        <v>5</v>
      </c>
      <c r="E28">
        <v>1.76</v>
      </c>
      <c r="F28" t="s">
        <v>34</v>
      </c>
    </row>
    <row r="29" spans="3:8">
      <c r="C29" t="s">
        <v>6</v>
      </c>
      <c r="F29" t="s">
        <v>34</v>
      </c>
    </row>
    <row r="30" spans="3:8">
      <c r="D30">
        <f>SUM(D21:D29)</f>
        <v>83.55</v>
      </c>
      <c r="E30">
        <f>SUM(E21:E29)</f>
        <v>4.13</v>
      </c>
      <c r="F30">
        <f>SUM(F21:F25)</f>
        <v>98</v>
      </c>
      <c r="G30">
        <f t="shared" ref="G30:H30" si="3">SUM(G21:G29)</f>
        <v>14.3</v>
      </c>
      <c r="H30">
        <f t="shared" si="3"/>
        <v>17.399999999999999</v>
      </c>
    </row>
    <row r="33" spans="2:2">
      <c r="B33" s="2" t="s">
        <v>17</v>
      </c>
    </row>
    <row r="34" spans="2:2">
      <c r="B34" s="2" t="s">
        <v>18</v>
      </c>
    </row>
    <row r="35" spans="2:2">
      <c r="B35" s="2" t="s">
        <v>19</v>
      </c>
    </row>
    <row r="36" spans="2:2">
      <c r="B36" s="2" t="s">
        <v>20</v>
      </c>
    </row>
    <row r="37" spans="2:2">
      <c r="B37" s="2" t="s">
        <v>21</v>
      </c>
    </row>
    <row r="38" spans="2:2">
      <c r="B38" s="2" t="s">
        <v>35</v>
      </c>
    </row>
    <row r="39" spans="2:2">
      <c r="B39" s="2" t="s">
        <v>36</v>
      </c>
    </row>
    <row r="40" spans="2:2">
      <c r="B40" s="2" t="s">
        <v>37</v>
      </c>
    </row>
    <row r="41" spans="2:2">
      <c r="B41" s="1" t="s">
        <v>38</v>
      </c>
    </row>
    <row r="42" spans="2:2">
      <c r="B42" s="1" t="s">
        <v>39</v>
      </c>
    </row>
    <row r="43" spans="2:2">
      <c r="B43" s="1" t="s">
        <v>40</v>
      </c>
    </row>
    <row r="44" spans="2:2">
      <c r="B44" s="3" t="s">
        <v>41</v>
      </c>
    </row>
    <row r="45" spans="2:2">
      <c r="B45" s="1" t="s">
        <v>44</v>
      </c>
    </row>
    <row r="46" spans="2:2">
      <c r="B46" s="1" t="s">
        <v>46</v>
      </c>
    </row>
    <row r="47" spans="2:2">
      <c r="B47" s="1" t="s">
        <v>55</v>
      </c>
    </row>
    <row r="48" spans="2:2">
      <c r="B48" s="1" t="s">
        <v>56</v>
      </c>
    </row>
    <row r="49" spans="2:2">
      <c r="B49" s="1" t="s">
        <v>209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ACEE-4180-40AA-90A3-9877406B1F04}">
  <dimension ref="C3:V48"/>
  <sheetViews>
    <sheetView workbookViewId="0">
      <selection activeCell="O20" sqref="O20"/>
    </sheetView>
  </sheetViews>
  <sheetFormatPr defaultRowHeight="15"/>
  <cols>
    <col min="3" max="3" width="23.140625" customWidth="1"/>
    <col min="4" max="4" width="10.140625" customWidth="1"/>
    <col min="5" max="5" width="10.42578125" customWidth="1"/>
    <col min="6" max="6" width="13.5703125" customWidth="1"/>
    <col min="7" max="7" width="10.85546875" customWidth="1"/>
    <col min="8" max="8" width="21.5703125" customWidth="1"/>
    <col min="9" max="10" width="11.140625" customWidth="1"/>
    <col min="11" max="11" width="16" customWidth="1"/>
    <col min="12" max="12" width="15.28515625" customWidth="1"/>
  </cols>
  <sheetData>
    <row r="3" spans="3:22">
      <c r="U3" t="s">
        <v>136</v>
      </c>
      <c r="V3" t="s">
        <v>135</v>
      </c>
    </row>
    <row r="5" spans="3:22">
      <c r="C5" t="s">
        <v>22</v>
      </c>
      <c r="D5" t="s">
        <v>23</v>
      </c>
      <c r="E5" t="s">
        <v>24</v>
      </c>
      <c r="F5" t="s">
        <v>25</v>
      </c>
      <c r="G5" t="s">
        <v>48</v>
      </c>
      <c r="H5" t="s">
        <v>47</v>
      </c>
      <c r="J5" t="s">
        <v>50</v>
      </c>
      <c r="K5" t="s">
        <v>49</v>
      </c>
      <c r="L5" t="s">
        <v>393</v>
      </c>
    </row>
    <row r="6" spans="3:22">
      <c r="C6" t="s">
        <v>68</v>
      </c>
      <c r="D6" t="s">
        <v>185</v>
      </c>
      <c r="E6" t="s">
        <v>73</v>
      </c>
      <c r="F6">
        <v>1621.41</v>
      </c>
      <c r="G6">
        <f>H38</f>
        <v>8.5000000000000006E-2</v>
      </c>
      <c r="H6">
        <f>G6/$G$15</f>
        <v>0.52537474181174393</v>
      </c>
      <c r="K6">
        <f>H6/F6*1000</f>
        <v>0.32402337583445512</v>
      </c>
      <c r="L6">
        <f>K6*F6/1000*'Macromolecular Composition'!$F$9</f>
        <v>8.5000000000000006E-2</v>
      </c>
      <c r="M6">
        <f>L6*1000</f>
        <v>85</v>
      </c>
    </row>
    <row r="7" spans="3:22">
      <c r="C7" t="s">
        <v>134</v>
      </c>
      <c r="D7" t="s">
        <v>195</v>
      </c>
      <c r="E7" t="s">
        <v>198</v>
      </c>
      <c r="F7">
        <v>1297.1300000000001</v>
      </c>
      <c r="G7">
        <f>H39</f>
        <v>6.6038778822743088E-2</v>
      </c>
      <c r="H7">
        <f>G7/$G$15</f>
        <v>0.40817772204190017</v>
      </c>
      <c r="K7">
        <f>H7/F7*1000</f>
        <v>0.31467757436949273</v>
      </c>
      <c r="L7">
        <f>K7*F7/1000*'Macromolecular Composition'!$F$9</f>
        <v>6.6038778822743088E-2</v>
      </c>
      <c r="M7">
        <f t="shared" ref="M7:M14" si="0">L7*1000</f>
        <v>66.038778822743083</v>
      </c>
    </row>
    <row r="8" spans="3:22">
      <c r="C8" t="s">
        <v>183</v>
      </c>
      <c r="D8" t="s">
        <v>184</v>
      </c>
      <c r="F8">
        <v>564.29</v>
      </c>
      <c r="G8">
        <f t="shared" ref="G8:G13" si="1">H40</f>
        <v>4.1466209958466588E-3</v>
      </c>
      <c r="H8">
        <f>G8/$G$15</f>
        <v>2.5629763942165821E-2</v>
      </c>
      <c r="K8">
        <f>H8/(F8-F18)*1000</f>
        <v>0.15806723218314153</v>
      </c>
      <c r="L8">
        <f>K8*F8/1000*'Macromolecular Composition'!$F$9</f>
        <v>1.4430917333383772E-2</v>
      </c>
      <c r="M8">
        <f t="shared" si="0"/>
        <v>14.430917333383771</v>
      </c>
    </row>
    <row r="9" spans="3:22">
      <c r="C9" t="s">
        <v>186</v>
      </c>
      <c r="D9" t="s">
        <v>187</v>
      </c>
      <c r="F9">
        <v>564.29</v>
      </c>
      <c r="G9">
        <f t="shared" si="1"/>
        <v>5.3752494390604832E-4</v>
      </c>
      <c r="H9">
        <f>G9/$G$15</f>
        <v>3.3223768073177913E-3</v>
      </c>
      <c r="K9">
        <f>H9/(F9-F18)*1000</f>
        <v>2.0490196764481307E-2</v>
      </c>
      <c r="L9">
        <f>K9*F9/1000*'Macromolecular Composition'!$F$9</f>
        <v>1.8706744691423403E-3</v>
      </c>
      <c r="M9">
        <f t="shared" si="0"/>
        <v>1.8706744691423403</v>
      </c>
    </row>
    <row r="10" spans="3:22">
      <c r="C10" t="s">
        <v>188</v>
      </c>
      <c r="D10" t="s">
        <v>189</v>
      </c>
      <c r="F10">
        <v>587.33000000000004</v>
      </c>
      <c r="G10">
        <f t="shared" si="1"/>
        <v>1.6893641094190093E-3</v>
      </c>
      <c r="H10">
        <f t="shared" ref="H10:H14" si="2">G10/$G$15</f>
        <v>1.0441755680141633E-2</v>
      </c>
      <c r="K10">
        <f>H10/(F10-F19)*1000</f>
        <v>7.1428854595178892E-2</v>
      </c>
      <c r="L10">
        <f>K10*F10/1000*'Macromolecular Composition'!$F$9</f>
        <v>6.7874337983983655E-3</v>
      </c>
      <c r="M10">
        <f t="shared" si="0"/>
        <v>6.7874337983983652</v>
      </c>
    </row>
    <row r="11" spans="3:22">
      <c r="C11" t="s">
        <v>190</v>
      </c>
      <c r="D11" t="s">
        <v>191</v>
      </c>
      <c r="F11">
        <v>605.34</v>
      </c>
      <c r="G11">
        <f t="shared" si="1"/>
        <v>1.7661533871198732E-3</v>
      </c>
      <c r="H11">
        <f t="shared" si="2"/>
        <v>1.0916380938329888E-2</v>
      </c>
      <c r="K11">
        <f>H11/(F11-F18)*1000</f>
        <v>5.3723748396635775E-2</v>
      </c>
      <c r="L11">
        <f>K11*F11/1000*'Macromolecular Composition'!$F$9</f>
        <v>5.2615707563196485E-3</v>
      </c>
      <c r="M11">
        <f t="shared" si="0"/>
        <v>5.2615707563196485</v>
      </c>
    </row>
    <row r="12" spans="3:22">
      <c r="C12" t="s">
        <v>196</v>
      </c>
      <c r="D12" t="s">
        <v>197</v>
      </c>
      <c r="F12">
        <v>603.33000000000004</v>
      </c>
      <c r="G12">
        <f t="shared" si="1"/>
        <v>1.0750498878120966E-3</v>
      </c>
      <c r="H12">
        <f t="shared" si="2"/>
        <v>6.6447536146355827E-3</v>
      </c>
      <c r="K12">
        <f>H12/(F12-F19)*1000</f>
        <v>4.0970463267866013E-2</v>
      </c>
      <c r="L12">
        <f>K12*F12/1000*'Macromolecular Composition'!$F$9</f>
        <v>3.9992221724317574E-3</v>
      </c>
      <c r="M12">
        <f>L12*1000</f>
        <v>3.9992221724317574</v>
      </c>
    </row>
    <row r="13" spans="3:22">
      <c r="C13" t="s">
        <v>192</v>
      </c>
      <c r="D13" t="s">
        <v>193</v>
      </c>
      <c r="F13">
        <v>548.29</v>
      </c>
      <c r="G13">
        <f t="shared" si="1"/>
        <v>1.305417720914689E-3</v>
      </c>
      <c r="H13">
        <f t="shared" si="2"/>
        <v>8.0686293892003515E-3</v>
      </c>
      <c r="K13">
        <f>H13/(F13-F18)*1000</f>
        <v>5.5209866585653494E-2</v>
      </c>
      <c r="L13">
        <f>K13*F13/1000*'Macromolecular Composition'!$F$9</f>
        <v>4.8975260970826519E-3</v>
      </c>
      <c r="M13">
        <f t="shared" si="0"/>
        <v>4.8975260970826522</v>
      </c>
    </row>
    <row r="14" spans="3:22">
      <c r="C14" t="s">
        <v>194</v>
      </c>
      <c r="D14" t="s">
        <v>396</v>
      </c>
      <c r="F14">
        <v>534.26</v>
      </c>
      <c r="G14">
        <f t="shared" ref="G14" si="3">H47</f>
        <v>2.3036783310259216E-4</v>
      </c>
      <c r="H14">
        <f t="shared" si="2"/>
        <v>1.4238757745647678E-3</v>
      </c>
      <c r="K14">
        <f>H14/(F14-F18)*1000</f>
        <v>1.0777572628668634E-2</v>
      </c>
      <c r="L14">
        <f>K14*F14/1000*'Macromolecular Composition'!$F$9</f>
        <v>9.31586859852771E-4</v>
      </c>
      <c r="M14">
        <f t="shared" si="0"/>
        <v>0.93158685985277101</v>
      </c>
    </row>
    <row r="15" spans="3:22">
      <c r="C15" t="s">
        <v>31</v>
      </c>
      <c r="G15">
        <f>SUM(G6:G14)</f>
        <v>0.16178927770086407</v>
      </c>
      <c r="H15">
        <f>SUM(H6:H14)</f>
        <v>1</v>
      </c>
      <c r="I15">
        <f>SUM(I6:I14)</f>
        <v>0</v>
      </c>
      <c r="K15">
        <f>SUM(K6:K14)</f>
        <v>1.0493688846255735</v>
      </c>
      <c r="L15">
        <f>SUM(L6:L14)</f>
        <v>0.18921771030935441</v>
      </c>
      <c r="M15">
        <f>L15*1000</f>
        <v>189.2177103093544</v>
      </c>
    </row>
    <row r="18" spans="3:13">
      <c r="C18" t="s">
        <v>199</v>
      </c>
      <c r="F18">
        <v>402.14530000000002</v>
      </c>
      <c r="K18">
        <f>SUM(K8:K9,K11,K13,K14)</f>
        <v>0.29826861655858072</v>
      </c>
      <c r="L18">
        <f>K18*F18/1000*'Macromolecular Composition'!$F$9</f>
        <v>1.9406190634891324E-2</v>
      </c>
      <c r="M18">
        <f>L18*1000</f>
        <v>19.406190634891324</v>
      </c>
    </row>
    <row r="19" spans="3:13">
      <c r="C19" t="s">
        <v>200</v>
      </c>
      <c r="F19">
        <v>441.14600000000002</v>
      </c>
      <c r="K19">
        <f>SUM(K10,K12)</f>
        <v>0.11239931786304491</v>
      </c>
      <c r="L19">
        <f>K19*F19/1000*'Macromolecular Composition'!$F$9</f>
        <v>8.0222419735990185E-3</v>
      </c>
      <c r="M19">
        <f>L19*1000</f>
        <v>8.0222419735990194</v>
      </c>
    </row>
    <row r="20" spans="3:13">
      <c r="C20" t="s">
        <v>201</v>
      </c>
      <c r="K20">
        <v>1</v>
      </c>
    </row>
    <row r="22" spans="3:13">
      <c r="M22">
        <f>M15-M18-M19</f>
        <v>161.78927770086406</v>
      </c>
    </row>
    <row r="27" spans="3:13">
      <c r="C27" t="s">
        <v>43</v>
      </c>
    </row>
    <row r="28" spans="3:13">
      <c r="D28" t="s">
        <v>72</v>
      </c>
    </row>
    <row r="31" spans="3:13">
      <c r="C31" s="2" t="s">
        <v>21</v>
      </c>
    </row>
    <row r="32" spans="3:13">
      <c r="C32" s="1" t="s">
        <v>44</v>
      </c>
    </row>
    <row r="37" spans="3:10">
      <c r="C37" t="s">
        <v>22</v>
      </c>
      <c r="D37" t="s">
        <v>25</v>
      </c>
      <c r="E37" s="4" t="s">
        <v>133</v>
      </c>
      <c r="F37" t="s">
        <v>74</v>
      </c>
      <c r="G37" t="s">
        <v>48</v>
      </c>
      <c r="H37" t="s">
        <v>48</v>
      </c>
    </row>
    <row r="38" spans="3:10">
      <c r="C38" t="s">
        <v>68</v>
      </c>
      <c r="D38">
        <v>1621.4</v>
      </c>
      <c r="E38" s="4"/>
      <c r="H38">
        <v>8.5000000000000006E-2</v>
      </c>
      <c r="I38" t="s">
        <v>15</v>
      </c>
    </row>
    <row r="39" spans="3:10">
      <c r="C39" t="s">
        <v>202</v>
      </c>
      <c r="D39">
        <v>1333.15</v>
      </c>
      <c r="E39" s="4"/>
      <c r="F39">
        <f>78.1+7.9</f>
        <v>86</v>
      </c>
      <c r="G39">
        <f>F39/$F$48*('Macromolecular Composition'!F$9-$H$38)</f>
        <v>6.6038778822743088E-2</v>
      </c>
      <c r="H39">
        <f>G39</f>
        <v>6.6038778822743088E-2</v>
      </c>
    </row>
    <row r="40" spans="3:10">
      <c r="C40" t="s">
        <v>26</v>
      </c>
      <c r="D40">
        <v>566.30179999999996</v>
      </c>
      <c r="E40" s="4">
        <v>68.2</v>
      </c>
      <c r="F40">
        <f>3.1+1.2+0.6+0.5</f>
        <v>5.3999999999999995</v>
      </c>
      <c r="G40">
        <f>F40/$F$48*('Macromolecular Composition'!F$9-$H$38)</f>
        <v>4.1466209958466588E-3</v>
      </c>
      <c r="H40">
        <f>G40</f>
        <v>4.1466209958466588E-3</v>
      </c>
    </row>
    <row r="41" spans="3:10">
      <c r="C41" t="s">
        <v>27</v>
      </c>
      <c r="D41">
        <v>566.30179999999996</v>
      </c>
      <c r="E41" s="4">
        <v>3.8</v>
      </c>
      <c r="F41">
        <f>0.6+0.1</f>
        <v>0.7</v>
      </c>
      <c r="G41">
        <f>F41/$F$48*('Macromolecular Composition'!F$9-$H$38)</f>
        <v>5.3752494390604832E-4</v>
      </c>
      <c r="H41">
        <f t="shared" ref="H41:H47" si="4">G41</f>
        <v>5.3752494390604832E-4</v>
      </c>
    </row>
    <row r="42" spans="3:10">
      <c r="C42" t="s">
        <v>28</v>
      </c>
      <c r="D42">
        <v>589.34169999999995</v>
      </c>
      <c r="E42" s="4">
        <v>4.4000000000000004</v>
      </c>
      <c r="F42">
        <f>1.9+0.2+0.1</f>
        <v>2.2000000000000002</v>
      </c>
      <c r="G42">
        <f>F42/$F$48*('Macromolecular Composition'!F$9-$H$38)</f>
        <v>1.6893641094190093E-3</v>
      </c>
      <c r="H42">
        <f t="shared" si="4"/>
        <v>1.6893641094190093E-3</v>
      </c>
    </row>
    <row r="43" spans="3:10">
      <c r="C43" t="s">
        <v>29</v>
      </c>
      <c r="D43">
        <v>607.3537</v>
      </c>
      <c r="E43" s="4" t="s">
        <v>34</v>
      </c>
      <c r="F43">
        <f>1.3+1</f>
        <v>2.2999999999999998</v>
      </c>
      <c r="G43">
        <f>F43/$F$48*('Macromolecular Composition'!F$9-$H$38)</f>
        <v>1.7661533871198732E-3</v>
      </c>
      <c r="H43">
        <f t="shared" si="4"/>
        <v>1.7661533871198732E-3</v>
      </c>
    </row>
    <row r="44" spans="3:10">
      <c r="C44" t="s">
        <v>30</v>
      </c>
      <c r="D44">
        <v>260.13580000000002</v>
      </c>
      <c r="E44" s="4">
        <v>6.1</v>
      </c>
      <c r="F44">
        <f>0.4+0.3+0.7</f>
        <v>1.4</v>
      </c>
      <c r="G44">
        <f>F44/$F$48*('Macromolecular Composition'!F$9-$H$38)</f>
        <v>1.0750498878120966E-3</v>
      </c>
      <c r="H44">
        <f t="shared" si="4"/>
        <v>1.0750498878120966E-3</v>
      </c>
    </row>
    <row r="45" spans="3:10">
      <c r="C45" t="s">
        <v>69</v>
      </c>
      <c r="D45">
        <v>605.34109999999998</v>
      </c>
      <c r="E45" s="4">
        <v>8.3000000000000007</v>
      </c>
      <c r="F45">
        <f>1.5+0.2</f>
        <v>1.7</v>
      </c>
      <c r="G45">
        <f>F45/$F$48*('Macromolecular Composition'!F$9-$H$38)</f>
        <v>1.305417720914689E-3</v>
      </c>
      <c r="H45">
        <f t="shared" si="4"/>
        <v>1.305417720914689E-3</v>
      </c>
    </row>
    <row r="46" spans="3:10">
      <c r="C46" s="4" t="s">
        <v>70</v>
      </c>
      <c r="D46" s="4">
        <v>230.10980000000001</v>
      </c>
      <c r="E46" s="4">
        <v>4.5999999999999996</v>
      </c>
      <c r="F46" s="4"/>
      <c r="G46">
        <f>F46/$F$48*('Macromolecular Composition'!F$9-$H$38)</f>
        <v>0</v>
      </c>
      <c r="H46">
        <f t="shared" si="4"/>
        <v>0</v>
      </c>
      <c r="I46" s="4"/>
      <c r="J46" s="4"/>
    </row>
    <row r="47" spans="3:10">
      <c r="C47" t="s">
        <v>71</v>
      </c>
      <c r="D47">
        <v>536.2758</v>
      </c>
      <c r="E47" s="4">
        <v>4.4000000000000004</v>
      </c>
      <c r="F47">
        <f>0.3</f>
        <v>0.3</v>
      </c>
      <c r="G47">
        <f>F47/$F$48*('Macromolecular Composition'!F$9-$H$38)</f>
        <v>2.3036783310259216E-4</v>
      </c>
      <c r="H47">
        <f t="shared" si="4"/>
        <v>2.3036783310259216E-4</v>
      </c>
    </row>
    <row r="48" spans="3:10">
      <c r="C48" t="s">
        <v>31</v>
      </c>
      <c r="E48">
        <f>SUM(E38:E47)</f>
        <v>99.8</v>
      </c>
      <c r="F48">
        <f t="shared" ref="F48:G48" si="5">SUM(F38:F47)</f>
        <v>100.00000000000001</v>
      </c>
      <c r="G48">
        <f t="shared" si="5"/>
        <v>7.6789277700864064E-2</v>
      </c>
      <c r="H48">
        <f>SUM(H38:H47)</f>
        <v>0.16178927770086407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1A99-6869-4CA8-8AFF-CDE465AFCC99}">
  <dimension ref="B7:X55"/>
  <sheetViews>
    <sheetView topLeftCell="A13" workbookViewId="0">
      <selection activeCell="J37" sqref="J37"/>
    </sheetView>
  </sheetViews>
  <sheetFormatPr defaultRowHeight="15"/>
  <cols>
    <col min="2" max="2" width="19.5703125" bestFit="1" customWidth="1"/>
    <col min="3" max="3" width="11.42578125" bestFit="1" customWidth="1"/>
    <col min="5" max="5" width="14" bestFit="1" customWidth="1"/>
  </cols>
  <sheetData>
    <row r="7" spans="2:24">
      <c r="W7" s="40"/>
      <c r="X7" s="40"/>
    </row>
    <row r="14" spans="2:24">
      <c r="B14" t="s">
        <v>22</v>
      </c>
      <c r="C14" t="s">
        <v>23</v>
      </c>
      <c r="D14" t="s">
        <v>24</v>
      </c>
      <c r="E14" t="s">
        <v>25</v>
      </c>
      <c r="F14" t="s">
        <v>48</v>
      </c>
      <c r="G14" t="s">
        <v>47</v>
      </c>
      <c r="H14" t="s">
        <v>122</v>
      </c>
      <c r="I14" t="s">
        <v>49</v>
      </c>
    </row>
    <row r="15" spans="2:24">
      <c r="B15" t="s">
        <v>51</v>
      </c>
      <c r="E15">
        <v>893.48900000000003</v>
      </c>
      <c r="F15">
        <f>I32</f>
        <v>1.1415866922584772</v>
      </c>
      <c r="G15">
        <f>F15/'Macromolecular Composition'!$E$11</f>
        <v>0.67934137621415691</v>
      </c>
      <c r="H15">
        <f>G15/$G$20</f>
        <v>0.85796440815698494</v>
      </c>
      <c r="I15" s="35">
        <f>H15*1000/E15</f>
        <v>0.96024059407221007</v>
      </c>
      <c r="J15">
        <f>H15*'Macromolecular Composition'!$F$11</f>
        <v>1.4417504734389587E-2</v>
      </c>
      <c r="K15">
        <f>J15*100</f>
        <v>1.4417504734389586</v>
      </c>
      <c r="L15">
        <f>K15*10</f>
        <v>14.417504734389585</v>
      </c>
      <c r="M15" s="9">
        <v>14.417504734389585</v>
      </c>
      <c r="O15">
        <f>I15*'Macromolecular Composition'!F11</f>
        <v>1.613618604637504E-2</v>
      </c>
    </row>
    <row r="16" spans="2:24">
      <c r="B16" t="s">
        <v>52</v>
      </c>
      <c r="E16">
        <v>600.88</v>
      </c>
      <c r="F16">
        <f>I33</f>
        <v>0.13077463211772231</v>
      </c>
      <c r="G16">
        <f>F16/'Macromolecular Composition'!$E$11</f>
        <v>7.7822051675282083E-2</v>
      </c>
      <c r="H16">
        <f>G16/$G$20</f>
        <v>9.8284239477999122E-2</v>
      </c>
      <c r="I16" s="35">
        <f>H16*1000/E16</f>
        <v>0.16356716728464774</v>
      </c>
      <c r="J16">
        <f>H16*'Macromolecular Composition'!$F$11</f>
        <v>1.6515993839812714E-3</v>
      </c>
      <c r="K16">
        <f>J16*100</f>
        <v>0.16515993839812715</v>
      </c>
      <c r="L16">
        <f t="shared" ref="L16:L17" si="0">K16*10</f>
        <v>1.6515993839812715</v>
      </c>
      <c r="M16" s="9">
        <v>1.6515993839812715</v>
      </c>
    </row>
    <row r="17" spans="2:17">
      <c r="B17" t="s">
        <v>53</v>
      </c>
      <c r="E17">
        <v>536.87</v>
      </c>
      <c r="F17">
        <f>I34</f>
        <v>1.3717338451695458E-2</v>
      </c>
      <c r="G17">
        <f>F17/'Macromolecular Composition'!$E$11</f>
        <v>8.162985470104113E-3</v>
      </c>
      <c r="H17">
        <f>G17/$G$20</f>
        <v>1.0309324947468133E-2</v>
      </c>
      <c r="I17" s="35">
        <f>H17*1000/E17</f>
        <v>1.9202646725404907E-2</v>
      </c>
      <c r="J17">
        <f>H17*'Macromolecular Composition'!$F$11</f>
        <v>1.7324115059477648E-4</v>
      </c>
      <c r="K17">
        <f>J17*100</f>
        <v>1.732411505947765E-2</v>
      </c>
      <c r="L17">
        <f t="shared" si="0"/>
        <v>0.17324115059477649</v>
      </c>
      <c r="M17" s="9">
        <v>0.17324115059477649</v>
      </c>
    </row>
    <row r="18" spans="2:17">
      <c r="B18" t="s">
        <v>54</v>
      </c>
      <c r="E18">
        <v>568.88</v>
      </c>
      <c r="F18">
        <f>I35</f>
        <v>1.3786980166346769E-2</v>
      </c>
      <c r="G18">
        <f>F18/'Macromolecular Composition'!$E$11</f>
        <v>8.2044282256950509E-3</v>
      </c>
      <c r="H18">
        <f>G18/$G$20</f>
        <v>1.0361664478840597E-2</v>
      </c>
      <c r="I18" s="35">
        <f>H18*1000/E18</f>
        <v>1.8214147937773515E-2</v>
      </c>
      <c r="J18">
        <f>H18*'Macromolecular Composition'!$F$11</f>
        <v>1.7412068060113095E-4</v>
      </c>
      <c r="K18">
        <f>J18*100</f>
        <v>1.7412068060113094E-2</v>
      </c>
      <c r="L18">
        <f>K18*10</f>
        <v>0.17412068060113095</v>
      </c>
      <c r="M18" s="9">
        <v>0.17412068060113095</v>
      </c>
      <c r="O18">
        <f>10*O15</f>
        <v>0.1613618604637504</v>
      </c>
    </row>
    <row r="19" spans="2:17">
      <c r="B19" t="s">
        <v>125</v>
      </c>
      <c r="E19">
        <v>584.87</v>
      </c>
      <c r="F19">
        <f>I37</f>
        <v>3.0710172744721684E-2</v>
      </c>
      <c r="G19">
        <f>F19/'Macromolecular Composition'!$E$11</f>
        <v>1.8275170127377418E-2</v>
      </c>
      <c r="H19">
        <f>G19/$G$20</f>
        <v>2.3080362938707209E-2</v>
      </c>
      <c r="I19" s="35">
        <f>H19*1000/E19</f>
        <v>3.9462381279099991E-2</v>
      </c>
      <c r="J19">
        <f>H19*'Macromolecular Composition'!$F$11</f>
        <v>3.8784970422613916E-4</v>
      </c>
      <c r="K19">
        <f>J19*100</f>
        <v>3.8784970422613918E-2</v>
      </c>
      <c r="L19">
        <f>K19*10</f>
        <v>0.38784970422613918</v>
      </c>
      <c r="M19" s="9">
        <v>0.38784970422613918</v>
      </c>
    </row>
    <row r="20" spans="2:17">
      <c r="B20" t="s">
        <v>31</v>
      </c>
      <c r="E20">
        <f>SUM(E15:E19)</f>
        <v>3184.989</v>
      </c>
      <c r="F20">
        <f t="shared" ref="F20:K20" si="1">SUM(F15:F19)</f>
        <v>1.3305758157389636</v>
      </c>
      <c r="G20">
        <f t="shared" si="1"/>
        <v>0.79180601171261555</v>
      </c>
      <c r="H20">
        <f t="shared" si="1"/>
        <v>1</v>
      </c>
      <c r="I20">
        <f t="shared" si="1"/>
        <v>1.2006869372991362</v>
      </c>
      <c r="J20">
        <f t="shared" si="1"/>
        <v>1.6804315653792905E-2</v>
      </c>
      <c r="K20">
        <f t="shared" si="1"/>
        <v>1.6804315653792905</v>
      </c>
      <c r="L20">
        <f>SUM(L15:L19)</f>
        <v>16.804315653792901</v>
      </c>
      <c r="M20" s="9">
        <v>16.804315653792901</v>
      </c>
      <c r="O20">
        <f>O18*60*24</f>
        <v>232.36107906780057</v>
      </c>
    </row>
    <row r="24" spans="2:17">
      <c r="M24">
        <v>14.417504734389585</v>
      </c>
      <c r="N24">
        <f>ROUND(M24,3)</f>
        <v>14.417999999999999</v>
      </c>
    </row>
    <row r="25" spans="2:17">
      <c r="M25">
        <v>1.6515993839812715</v>
      </c>
      <c r="N25">
        <f t="shared" ref="N25:N29" si="2">ROUND(M25,3)</f>
        <v>1.6519999999999999</v>
      </c>
      <c r="Q25" s="5"/>
    </row>
    <row r="26" spans="2:17">
      <c r="M26">
        <v>0.17324115059477649</v>
      </c>
      <c r="N26">
        <f t="shared" si="2"/>
        <v>0.17299999999999999</v>
      </c>
    </row>
    <row r="27" spans="2:17">
      <c r="M27">
        <v>0.17412068060113095</v>
      </c>
      <c r="N27">
        <f t="shared" si="2"/>
        <v>0.17399999999999999</v>
      </c>
    </row>
    <row r="28" spans="2:17">
      <c r="M28">
        <v>0.38784970422613918</v>
      </c>
      <c r="N28">
        <f t="shared" si="2"/>
        <v>0.38800000000000001</v>
      </c>
    </row>
    <row r="29" spans="2:17">
      <c r="M29">
        <v>16.804315653792901</v>
      </c>
      <c r="N29">
        <f t="shared" si="2"/>
        <v>16.803999999999998</v>
      </c>
    </row>
    <row r="30" spans="2:17">
      <c r="D30" t="s">
        <v>13</v>
      </c>
      <c r="E30" t="s">
        <v>123</v>
      </c>
    </row>
    <row r="31" spans="2:17">
      <c r="B31" t="s">
        <v>22</v>
      </c>
      <c r="C31" t="s">
        <v>25</v>
      </c>
      <c r="D31" t="s">
        <v>48</v>
      </c>
      <c r="E31" t="s">
        <v>50</v>
      </c>
      <c r="F31" t="s">
        <v>127</v>
      </c>
      <c r="I31" t="s">
        <v>121</v>
      </c>
    </row>
    <row r="32" spans="2:17">
      <c r="B32" t="s">
        <v>51</v>
      </c>
      <c r="C32">
        <v>893.48900000000003</v>
      </c>
      <c r="D32">
        <v>1.7</v>
      </c>
      <c r="E32">
        <f>AVERAGE(92.6,89.7)</f>
        <v>91.15</v>
      </c>
      <c r="F32">
        <f>E32/$E$39</f>
        <v>0.58317338451695455</v>
      </c>
      <c r="I32">
        <f t="shared" ref="I32:I38" si="3">AVERAGE(D32,F32)</f>
        <v>1.1415866922584772</v>
      </c>
    </row>
    <row r="33" spans="2:19">
      <c r="B33" t="s">
        <v>52</v>
      </c>
      <c r="C33">
        <v>600.88</v>
      </c>
      <c r="D33">
        <v>4.0500000000000001E-2</v>
      </c>
      <c r="E33">
        <f>AVERAGE(37.4,31.7)</f>
        <v>34.549999999999997</v>
      </c>
      <c r="F33">
        <f t="shared" ref="F33:F38" si="4">E33/$E$39</f>
        <v>0.22104926423544463</v>
      </c>
      <c r="I33">
        <f>AVERAGE(D33,F33)</f>
        <v>0.13077463211772231</v>
      </c>
    </row>
    <row r="34" spans="2:19">
      <c r="B34" t="s">
        <v>53</v>
      </c>
      <c r="C34">
        <v>536.87</v>
      </c>
      <c r="D34">
        <v>1.0800000000000001E-2</v>
      </c>
      <c r="E34">
        <f>AVERAGE(0,5.2)</f>
        <v>2.6</v>
      </c>
      <c r="F34">
        <f t="shared" si="4"/>
        <v>1.6634676903390915E-2</v>
      </c>
      <c r="I34">
        <f t="shared" si="3"/>
        <v>1.3717338451695458E-2</v>
      </c>
    </row>
    <row r="35" spans="2:19">
      <c r="B35" t="s">
        <v>54</v>
      </c>
      <c r="C35">
        <v>568.88</v>
      </c>
      <c r="D35">
        <v>8.6999999999999994E-3</v>
      </c>
      <c r="E35">
        <f>AVERAGE(1,4.9)</f>
        <v>2.95</v>
      </c>
      <c r="F35">
        <f t="shared" si="4"/>
        <v>1.8873960332693538E-2</v>
      </c>
      <c r="I35">
        <f t="shared" si="3"/>
        <v>1.3786980166346769E-2</v>
      </c>
    </row>
    <row r="36" spans="2:19">
      <c r="B36" t="s">
        <v>124</v>
      </c>
      <c r="E36">
        <f>AVERAGE(6.7,12.4)</f>
        <v>9.5500000000000007</v>
      </c>
      <c r="F36">
        <f t="shared" si="4"/>
        <v>6.1100447856685863E-2</v>
      </c>
      <c r="I36">
        <f t="shared" si="3"/>
        <v>6.1100447856685863E-2</v>
      </c>
    </row>
    <row r="37" spans="2:19">
      <c r="B37" t="s">
        <v>125</v>
      </c>
      <c r="E37">
        <f>AVERAGE(3.5,6.1)</f>
        <v>4.8</v>
      </c>
      <c r="F37">
        <f t="shared" si="4"/>
        <v>3.0710172744721684E-2</v>
      </c>
      <c r="I37">
        <f t="shared" si="3"/>
        <v>3.0710172744721684E-2</v>
      </c>
    </row>
    <row r="38" spans="2:19">
      <c r="B38" t="s">
        <v>126</v>
      </c>
      <c r="E38">
        <f>AVERAGE(4.5,16.9)</f>
        <v>10.7</v>
      </c>
      <c r="F38">
        <f t="shared" si="4"/>
        <v>6.845809341010875E-2</v>
      </c>
      <c r="I38">
        <f t="shared" si="3"/>
        <v>6.845809341010875E-2</v>
      </c>
    </row>
    <row r="39" spans="2:19">
      <c r="B39" t="s">
        <v>31</v>
      </c>
      <c r="D39">
        <f>SUM(D32:D35)</f>
        <v>1.7599999999999998</v>
      </c>
      <c r="E39">
        <f>SUM(E32:E38)</f>
        <v>156.30000000000001</v>
      </c>
    </row>
    <row r="42" spans="2:19">
      <c r="S42" s="2" t="s">
        <v>18</v>
      </c>
    </row>
    <row r="43" spans="2:19">
      <c r="S43" s="1" t="s">
        <v>55</v>
      </c>
    </row>
    <row r="44" spans="2:19">
      <c r="S44" s="1" t="s">
        <v>56</v>
      </c>
    </row>
    <row r="46" spans="2:19">
      <c r="B46" s="1"/>
    </row>
    <row r="55" spans="2:4">
      <c r="B55" s="4"/>
      <c r="C55" s="4"/>
      <c r="D55"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4478-8994-4BD2-A431-D1899E6F02AC}">
  <dimension ref="C7:L32"/>
  <sheetViews>
    <sheetView topLeftCell="A4" workbookViewId="0">
      <selection activeCell="H35" sqref="H35"/>
    </sheetView>
  </sheetViews>
  <sheetFormatPr defaultRowHeight="15"/>
  <cols>
    <col min="3" max="3" width="40.85546875" bestFit="1" customWidth="1"/>
    <col min="4" max="4" width="0" hidden="1" customWidth="1"/>
    <col min="5" max="5" width="11.7109375" bestFit="1" customWidth="1"/>
    <col min="6" max="6" width="12.7109375" bestFit="1" customWidth="1"/>
    <col min="7" max="7" width="18.28515625" bestFit="1" customWidth="1"/>
    <col min="8" max="8" width="23.42578125" bestFit="1" customWidth="1"/>
    <col min="9" max="9" width="27.7109375" bestFit="1" customWidth="1"/>
  </cols>
  <sheetData>
    <row r="7" spans="3:10">
      <c r="C7" t="s">
        <v>138</v>
      </c>
      <c r="D7" t="s">
        <v>139</v>
      </c>
      <c r="E7" t="s">
        <v>140</v>
      </c>
      <c r="F7" t="s">
        <v>141</v>
      </c>
      <c r="G7" t="s">
        <v>176</v>
      </c>
      <c r="H7" t="s">
        <v>177</v>
      </c>
      <c r="I7" t="s">
        <v>178</v>
      </c>
      <c r="J7" t="s">
        <v>142</v>
      </c>
    </row>
    <row r="8" spans="3:10">
      <c r="C8" t="s">
        <v>143</v>
      </c>
      <c r="D8" t="s">
        <v>144</v>
      </c>
      <c r="E8">
        <v>744.41</v>
      </c>
      <c r="F8">
        <v>740.38</v>
      </c>
      <c r="G8">
        <v>1</v>
      </c>
      <c r="H8">
        <f t="shared" ref="H8:H31" si="0">G8/$G$32</f>
        <v>4.1666666666666664E-2</v>
      </c>
      <c r="I8" s="35">
        <f>H8/F8*1000</f>
        <v>5.6277407097256357E-2</v>
      </c>
      <c r="J8">
        <f>I8*F8*'Macromolecular Composition'!$F$13/1000</f>
        <v>3.9782944256138504E-4</v>
      </c>
    </row>
    <row r="9" spans="3:10">
      <c r="C9" t="s">
        <v>145</v>
      </c>
      <c r="D9" t="s">
        <v>146</v>
      </c>
      <c r="E9">
        <v>785.55</v>
      </c>
      <c r="F9">
        <v>783.53</v>
      </c>
      <c r="G9">
        <v>1</v>
      </c>
      <c r="H9">
        <f t="shared" si="0"/>
        <v>4.1666666666666664E-2</v>
      </c>
      <c r="I9" s="35">
        <f t="shared" ref="I9:I30" si="1">H9/F9*1000</f>
        <v>5.317813825465096E-2</v>
      </c>
      <c r="J9">
        <f>I9*F9*'Macromolecular Composition'!$F$13/1000</f>
        <v>3.9782944256138504E-4</v>
      </c>
    </row>
    <row r="10" spans="3:10">
      <c r="C10" t="s">
        <v>147</v>
      </c>
      <c r="D10" t="s">
        <v>148</v>
      </c>
      <c r="E10">
        <v>425.31</v>
      </c>
      <c r="F10">
        <v>423.3</v>
      </c>
      <c r="G10">
        <v>1</v>
      </c>
      <c r="H10">
        <f t="shared" si="0"/>
        <v>4.1666666666666664E-2</v>
      </c>
      <c r="I10" s="35">
        <f t="shared" si="1"/>
        <v>9.8432947476179214E-2</v>
      </c>
      <c r="J10">
        <f>I10*F10*'Macromolecular Composition'!$F$13/1000</f>
        <v>3.9782944256138504E-4</v>
      </c>
    </row>
    <row r="11" spans="3:10">
      <c r="C11" t="s">
        <v>149</v>
      </c>
      <c r="D11" t="s">
        <v>150</v>
      </c>
      <c r="E11">
        <v>767.53</v>
      </c>
      <c r="F11">
        <v>763.5</v>
      </c>
      <c r="G11">
        <v>1</v>
      </c>
      <c r="H11">
        <f t="shared" si="0"/>
        <v>4.1666666666666664E-2</v>
      </c>
      <c r="I11" s="35">
        <f t="shared" si="1"/>
        <v>5.4573237284435715E-2</v>
      </c>
      <c r="J11">
        <f>I11*F11*'Macromolecular Composition'!$F$13/1000</f>
        <v>3.978294425613851E-4</v>
      </c>
    </row>
    <row r="12" spans="3:10">
      <c r="C12" t="s">
        <v>151</v>
      </c>
      <c r="D12" t="s">
        <v>152</v>
      </c>
      <c r="E12">
        <v>247.14</v>
      </c>
      <c r="F12">
        <v>245.13</v>
      </c>
      <c r="G12">
        <v>1</v>
      </c>
      <c r="H12">
        <f t="shared" si="0"/>
        <v>4.1666666666666664E-2</v>
      </c>
      <c r="I12" s="35">
        <f t="shared" si="1"/>
        <v>0.1699778348903303</v>
      </c>
      <c r="J12">
        <f>I12*F12*'Macromolecular Composition'!$F$13/1000</f>
        <v>3.9782944256138504E-4</v>
      </c>
    </row>
    <row r="13" spans="3:10">
      <c r="C13" t="s">
        <v>153</v>
      </c>
      <c r="D13" t="s">
        <v>154</v>
      </c>
      <c r="E13">
        <v>398.44</v>
      </c>
      <c r="F13">
        <v>399.45</v>
      </c>
      <c r="G13">
        <v>1</v>
      </c>
      <c r="H13">
        <f t="shared" si="0"/>
        <v>4.1666666666666664E-2</v>
      </c>
      <c r="I13" s="35">
        <f t="shared" si="1"/>
        <v>0.10431009304460299</v>
      </c>
      <c r="J13">
        <f>I13*F13*'Macromolecular Composition'!$F$13/1000</f>
        <v>3.9782944256138504E-4</v>
      </c>
    </row>
    <row r="14" spans="3:10">
      <c r="C14" t="s">
        <v>155</v>
      </c>
      <c r="D14" t="s">
        <v>156</v>
      </c>
      <c r="E14">
        <v>473.44</v>
      </c>
      <c r="F14">
        <v>471.42</v>
      </c>
      <c r="G14">
        <v>1</v>
      </c>
      <c r="H14">
        <f t="shared" si="0"/>
        <v>4.1666666666666664E-2</v>
      </c>
      <c r="I14" s="35">
        <f t="shared" si="1"/>
        <v>8.8385445391936421E-2</v>
      </c>
      <c r="J14">
        <f>I14*F14*'Macromolecular Composition'!$F$13/1000</f>
        <v>3.978294425613851E-4</v>
      </c>
    </row>
    <row r="15" spans="3:10">
      <c r="C15" t="s">
        <v>157</v>
      </c>
      <c r="D15" t="s">
        <v>158</v>
      </c>
      <c r="E15">
        <v>664.43</v>
      </c>
      <c r="F15">
        <v>662.42</v>
      </c>
      <c r="G15">
        <v>1</v>
      </c>
      <c r="H15">
        <f t="shared" si="0"/>
        <v>4.1666666666666664E-2</v>
      </c>
      <c r="I15" s="35">
        <f t="shared" si="1"/>
        <v>6.2900677314493322E-2</v>
      </c>
      <c r="J15">
        <f>I15*F15*'Macromolecular Composition'!$F$13/1000</f>
        <v>3.9782944256138504E-4</v>
      </c>
    </row>
    <row r="16" spans="3:10">
      <c r="C16" t="s">
        <v>159</v>
      </c>
      <c r="D16" t="s">
        <v>160</v>
      </c>
      <c r="E16">
        <v>456.34</v>
      </c>
      <c r="F16">
        <v>454.33</v>
      </c>
      <c r="G16">
        <v>1</v>
      </c>
      <c r="H16">
        <f t="shared" si="0"/>
        <v>4.1666666666666664E-2</v>
      </c>
      <c r="I16" s="35">
        <f t="shared" si="1"/>
        <v>9.1710137271733466E-2</v>
      </c>
      <c r="J16">
        <f>I16*F16*'Macromolecular Composition'!$F$13/1000</f>
        <v>3.9782944256138504E-4</v>
      </c>
    </row>
    <row r="17" spans="3:12">
      <c r="C17" t="s">
        <v>161</v>
      </c>
      <c r="D17" t="s">
        <v>162</v>
      </c>
      <c r="E17">
        <v>307.32</v>
      </c>
      <c r="F17">
        <v>306.32</v>
      </c>
      <c r="G17">
        <v>1</v>
      </c>
      <c r="H17">
        <f t="shared" si="0"/>
        <v>4.1666666666666664E-2</v>
      </c>
      <c r="I17" s="35">
        <f t="shared" si="1"/>
        <v>0.13602333072168538</v>
      </c>
      <c r="J17">
        <f>I17*F17*'Macromolecular Composition'!$F$13/1000</f>
        <v>3.9782944256138504E-4</v>
      </c>
    </row>
    <row r="18" spans="3:12">
      <c r="C18" t="s">
        <v>163</v>
      </c>
      <c r="D18" t="s">
        <v>164</v>
      </c>
      <c r="E18">
        <v>176.12</v>
      </c>
      <c r="F18">
        <v>175.12</v>
      </c>
      <c r="G18">
        <v>1</v>
      </c>
      <c r="H18">
        <f t="shared" si="0"/>
        <v>4.1666666666666664E-2</v>
      </c>
      <c r="I18" s="35">
        <f t="shared" si="1"/>
        <v>0.23793208466575297</v>
      </c>
      <c r="J18">
        <f>I18*F18*'Macromolecular Composition'!$F$13/1000</f>
        <v>3.9782944256138504E-4</v>
      </c>
    </row>
    <row r="19" spans="3:12">
      <c r="C19" t="s">
        <v>165</v>
      </c>
      <c r="D19" t="s">
        <v>166</v>
      </c>
      <c r="E19">
        <v>376.36</v>
      </c>
      <c r="F19">
        <v>375.36</v>
      </c>
      <c r="G19">
        <v>1</v>
      </c>
      <c r="H19">
        <f t="shared" si="0"/>
        <v>4.1666666666666664E-2</v>
      </c>
      <c r="I19" s="35">
        <f t="shared" si="1"/>
        <v>0.11100454674623472</v>
      </c>
      <c r="J19">
        <f>I19*F19*'Macromolecular Composition'!$F$13/1000</f>
        <v>3.9782944256138504E-4</v>
      </c>
    </row>
    <row r="20" spans="3:12">
      <c r="C20" t="s">
        <v>167</v>
      </c>
      <c r="D20" t="s">
        <v>168</v>
      </c>
      <c r="E20">
        <v>445.43</v>
      </c>
      <c r="F20">
        <v>443.41</v>
      </c>
      <c r="G20">
        <v>1</v>
      </c>
      <c r="H20">
        <f t="shared" si="0"/>
        <v>4.1666666666666664E-2</v>
      </c>
      <c r="I20" s="35">
        <f t="shared" si="1"/>
        <v>9.3968712177593339E-2</v>
      </c>
      <c r="J20">
        <f>I20*F20*'Macromolecular Composition'!$F$13/1000</f>
        <v>3.9782944256138504E-4</v>
      </c>
    </row>
    <row r="21" spans="3:12">
      <c r="C21" t="s">
        <v>169</v>
      </c>
      <c r="D21" t="s">
        <v>170</v>
      </c>
      <c r="E21">
        <v>358.35</v>
      </c>
      <c r="F21">
        <v>356.33</v>
      </c>
      <c r="G21">
        <v>1</v>
      </c>
      <c r="H21">
        <f t="shared" si="0"/>
        <v>4.1666666666666664E-2</v>
      </c>
      <c r="I21" s="35">
        <f t="shared" si="1"/>
        <v>0.11693280573251387</v>
      </c>
      <c r="J21">
        <f>I21*F21*'Macromolecular Composition'!$F$13/1000</f>
        <v>3.9782944256138504E-4</v>
      </c>
    </row>
    <row r="22" spans="3:12">
      <c r="C22" t="s">
        <v>179</v>
      </c>
      <c r="D22" t="s">
        <v>180</v>
      </c>
      <c r="E22">
        <v>797.24</v>
      </c>
      <c r="F22">
        <v>797.24</v>
      </c>
      <c r="G22">
        <v>1</v>
      </c>
      <c r="H22">
        <f t="shared" si="0"/>
        <v>4.1666666666666664E-2</v>
      </c>
      <c r="I22" s="35">
        <f t="shared" si="1"/>
        <v>5.2263642901342965E-2</v>
      </c>
      <c r="J22">
        <f>I22*F22*'Macromolecular Composition'!$F$13/1000</f>
        <v>3.9782944256138504E-4</v>
      </c>
    </row>
    <row r="23" spans="3:12">
      <c r="C23" t="s">
        <v>181</v>
      </c>
      <c r="D23" t="s">
        <v>171</v>
      </c>
      <c r="E23">
        <v>751.21</v>
      </c>
      <c r="F23">
        <v>751.22</v>
      </c>
      <c r="G23">
        <v>1</v>
      </c>
      <c r="H23">
        <f t="shared" si="0"/>
        <v>4.1666666666666664E-2</v>
      </c>
      <c r="I23" s="35">
        <f>H23/F23*1000</f>
        <v>5.5465331948918645E-2</v>
      </c>
      <c r="J23">
        <f>I23*F23*'Macromolecular Composition'!$F$13/1000</f>
        <v>3.9782944256138504E-4</v>
      </c>
    </row>
    <row r="24" spans="3:12">
      <c r="C24" t="s">
        <v>172</v>
      </c>
      <c r="D24" t="s">
        <v>173</v>
      </c>
      <c r="E24">
        <v>616.49</v>
      </c>
      <c r="F24">
        <v>614.47</v>
      </c>
      <c r="G24">
        <v>1</v>
      </c>
      <c r="H24">
        <f t="shared" si="0"/>
        <v>4.1666666666666664E-2</v>
      </c>
      <c r="I24" s="35">
        <f t="shared" si="1"/>
        <v>6.7809114629952094E-2</v>
      </c>
      <c r="J24">
        <f>I24*F24*'Macromolecular Composition'!$F$13/1000</f>
        <v>3.9782944256138504E-4</v>
      </c>
    </row>
    <row r="25" spans="3:12">
      <c r="C25" t="s">
        <v>174</v>
      </c>
      <c r="D25" t="s">
        <v>175</v>
      </c>
      <c r="E25">
        <v>244.31</v>
      </c>
      <c r="F25">
        <v>243.3</v>
      </c>
      <c r="G25">
        <v>1</v>
      </c>
      <c r="H25">
        <f t="shared" si="0"/>
        <v>4.1666666666666664E-2</v>
      </c>
      <c r="I25" s="35">
        <f t="shared" si="1"/>
        <v>0.17125633648444991</v>
      </c>
      <c r="J25">
        <f>I25*F25*'Macromolecular Composition'!$F$13/1000</f>
        <v>3.9782944256138504E-4</v>
      </c>
    </row>
    <row r="26" spans="3:12">
      <c r="C26" t="s">
        <v>352</v>
      </c>
      <c r="D26" t="s">
        <v>353</v>
      </c>
      <c r="E26">
        <v>1579.58</v>
      </c>
      <c r="F26">
        <v>1579.58</v>
      </c>
      <c r="G26">
        <v>1</v>
      </c>
      <c r="H26">
        <f t="shared" si="0"/>
        <v>4.1666666666666664E-2</v>
      </c>
      <c r="I26" s="35">
        <f t="shared" si="1"/>
        <v>2.6378319975352095E-2</v>
      </c>
      <c r="J26">
        <f>I26*F26*'Macromolecular Composition'!$F$13/1000</f>
        <v>3.9782944256138499E-4</v>
      </c>
    </row>
    <row r="27" spans="3:12">
      <c r="C27" t="s">
        <v>354</v>
      </c>
      <c r="D27" t="s">
        <v>355</v>
      </c>
      <c r="E27">
        <v>206.33</v>
      </c>
      <c r="F27">
        <v>205.32</v>
      </c>
      <c r="G27">
        <v>1</v>
      </c>
      <c r="H27">
        <f t="shared" si="0"/>
        <v>4.1666666666666664E-2</v>
      </c>
      <c r="I27" s="35">
        <f t="shared" si="1"/>
        <v>0.20293525553607375</v>
      </c>
      <c r="J27">
        <f>I27*F27*'Macromolecular Composition'!$F$13/1000</f>
        <v>3.9782944256138504E-4</v>
      </c>
    </row>
    <row r="28" spans="3:12">
      <c r="C28" t="s">
        <v>358</v>
      </c>
      <c r="D28" t="s">
        <v>360</v>
      </c>
      <c r="E28">
        <v>452.71159999999998</v>
      </c>
      <c r="F28">
        <v>452.71</v>
      </c>
      <c r="G28">
        <v>1</v>
      </c>
      <c r="H28">
        <f t="shared" si="0"/>
        <v>4.1666666666666664E-2</v>
      </c>
      <c r="I28" s="35">
        <f t="shared" si="1"/>
        <v>9.2038317392296759E-2</v>
      </c>
      <c r="J28">
        <f>I28*F28*'Macromolecular Composition'!$F$13/1000</f>
        <v>3.9782944256138504E-4</v>
      </c>
      <c r="L28" t="s">
        <v>361</v>
      </c>
    </row>
    <row r="29" spans="3:12">
      <c r="C29" t="s">
        <v>356</v>
      </c>
      <c r="D29" t="s">
        <v>357</v>
      </c>
      <c r="E29">
        <v>175.82</v>
      </c>
      <c r="F29">
        <v>175.82</v>
      </c>
      <c r="G29">
        <v>1</v>
      </c>
      <c r="H29">
        <f t="shared" si="0"/>
        <v>4.1666666666666664E-2</v>
      </c>
      <c r="I29" s="35">
        <f t="shared" si="1"/>
        <v>0.23698479505554923</v>
      </c>
      <c r="J29">
        <f>I29*F29*'Macromolecular Composition'!$F$13/1000</f>
        <v>3.9782944256138504E-4</v>
      </c>
    </row>
    <row r="30" spans="3:12">
      <c r="C30" t="s">
        <v>359</v>
      </c>
      <c r="E30">
        <v>519.26</v>
      </c>
      <c r="F30">
        <v>519.26</v>
      </c>
      <c r="G30">
        <v>1</v>
      </c>
      <c r="H30">
        <f t="shared" si="0"/>
        <v>4.1666666666666664E-2</v>
      </c>
      <c r="I30" s="35">
        <f t="shared" si="1"/>
        <v>8.0242396230533183E-2</v>
      </c>
      <c r="J30">
        <f>I30*F30*'Macromolecular Composition'!$F$13/1000</f>
        <v>3.9782944256138499E-4</v>
      </c>
    </row>
    <row r="31" spans="3:12">
      <c r="C31" t="s">
        <v>362</v>
      </c>
      <c r="E31">
        <v>925.24</v>
      </c>
      <c r="F31">
        <v>925.25</v>
      </c>
      <c r="G31">
        <v>1</v>
      </c>
      <c r="H31">
        <f t="shared" si="0"/>
        <v>4.1666666666666664E-2</v>
      </c>
      <c r="I31" s="35">
        <f>H31/F31*1000</f>
        <v>4.5032873998018551E-2</v>
      </c>
      <c r="J31">
        <f>I31*F31*'Macromolecular Composition'!$F$13/1000</f>
        <v>3.9782944256138504E-4</v>
      </c>
    </row>
    <row r="32" spans="3:12">
      <c r="G32">
        <f>SUM(G8:G31)</f>
        <v>24</v>
      </c>
      <c r="H32">
        <f>SUM(H8:H31)</f>
        <v>0.99999999999999956</v>
      </c>
      <c r="I32">
        <f>SUM(I8:I31)</f>
        <v>2.5060137822218858</v>
      </c>
      <c r="J32">
        <f>SUM(J8:J31)</f>
        <v>9.547906621473241E-3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B3EBB-82B3-406E-87AC-46F8EF7A77BA}">
  <dimension ref="D2:M25"/>
  <sheetViews>
    <sheetView workbookViewId="0">
      <selection activeCell="E27" sqref="E27"/>
    </sheetView>
  </sheetViews>
  <sheetFormatPr defaultRowHeight="15"/>
  <cols>
    <col min="4" max="4" width="24.5703125" bestFit="1" customWidth="1"/>
    <col min="5" max="5" width="19.7109375" bestFit="1" customWidth="1"/>
    <col min="6" max="6" width="13.5703125" bestFit="1" customWidth="1"/>
    <col min="7" max="8" width="11" customWidth="1"/>
  </cols>
  <sheetData>
    <row r="2" spans="4:13">
      <c r="H2" t="s">
        <v>461</v>
      </c>
    </row>
    <row r="3" spans="4:13">
      <c r="H3">
        <f>17.02</f>
        <v>17.02</v>
      </c>
    </row>
    <row r="4" spans="4:13">
      <c r="D4" t="s">
        <v>382</v>
      </c>
      <c r="E4" t="s">
        <v>437</v>
      </c>
      <c r="F4" t="s">
        <v>438</v>
      </c>
      <c r="G4" t="s">
        <v>374</v>
      </c>
      <c r="H4" t="s">
        <v>439</v>
      </c>
      <c r="I4" t="s">
        <v>381</v>
      </c>
      <c r="J4" t="s">
        <v>393</v>
      </c>
      <c r="K4" t="s">
        <v>440</v>
      </c>
      <c r="L4" t="s">
        <v>132</v>
      </c>
      <c r="M4" t="s">
        <v>441</v>
      </c>
    </row>
    <row r="5" spans="4:13">
      <c r="D5" t="s">
        <v>419</v>
      </c>
      <c r="E5" t="s">
        <v>420</v>
      </c>
      <c r="F5" t="s">
        <v>442</v>
      </c>
      <c r="G5">
        <v>146.13999999999999</v>
      </c>
      <c r="H5">
        <v>129.11999999999998</v>
      </c>
      <c r="I5">
        <v>0.329378</v>
      </c>
      <c r="J5">
        <f>I5*H5/1000*'Macromolecular Composition'!$F$5</f>
        <v>1.321946770425168E-2</v>
      </c>
      <c r="K5">
        <f>Table2[[#This Row],[g/gDW]]/$J$25*'Macromolecular Composition'!$F$5</f>
        <v>1.3100520095831559E-2</v>
      </c>
      <c r="L5">
        <f>Table2[[#This Row],[g/gDW (normalized)]]/Table2[[#This Row],[MW (-H2O)]]*1000</f>
        <v>0.10146003791691111</v>
      </c>
      <c r="M5" s="35">
        <f>Table2[[#This Row],[mmol/gDW]]/Table2[[#Totals],[g/gDW (normalized)]]</f>
        <v>0.32641428570811515</v>
      </c>
    </row>
    <row r="6" spans="4:13">
      <c r="D6" t="s">
        <v>415</v>
      </c>
      <c r="E6" t="s">
        <v>416</v>
      </c>
      <c r="F6" t="s">
        <v>443</v>
      </c>
      <c r="G6">
        <v>75.069999999999993</v>
      </c>
      <c r="H6">
        <v>58.05</v>
      </c>
      <c r="I6">
        <v>0.81762900000000005</v>
      </c>
      <c r="J6">
        <f>I6*H6/1000*'Macromolecular Composition'!$F$5</f>
        <v>1.4753136937172387E-2</v>
      </c>
      <c r="K6">
        <f>Table2[[#This Row],[g/gDW]]/$J$25*'Macromolecular Composition'!$F$5</f>
        <v>1.4620389507802986E-2</v>
      </c>
      <c r="L6">
        <f>Table2[[#This Row],[g/gDW (normalized)]]/Table2[[#This Row],[MW (-H2O)]]*1000</f>
        <v>0.25185856171925902</v>
      </c>
      <c r="M6" s="35">
        <f>Table2[[#This Row],[mmol/gDW]]/Table2[[#Totals],[g/gDW (normalized)]]</f>
        <v>0.81027204612706505</v>
      </c>
    </row>
    <row r="7" spans="4:13">
      <c r="D7" t="s">
        <v>427</v>
      </c>
      <c r="E7" t="s">
        <v>428</v>
      </c>
      <c r="F7" t="s">
        <v>444</v>
      </c>
      <c r="G7">
        <v>89.09</v>
      </c>
      <c r="H7">
        <v>72.070000000000007</v>
      </c>
      <c r="I7">
        <v>0.86426700000000001</v>
      </c>
      <c r="J7">
        <f>I7*H7/1000*'Macromolecular Composition'!$F$5</f>
        <v>1.9361023651816012E-2</v>
      </c>
      <c r="K7">
        <f>Table2[[#This Row],[g/gDW]]/$J$25*'Macromolecular Composition'!$F$5</f>
        <v>1.9186814862818535E-2</v>
      </c>
      <c r="L7">
        <f>Table2[[#This Row],[g/gDW (normalized)]]/Table2[[#This Row],[MW (-H2O)]]*1000</f>
        <v>0.26622471018202487</v>
      </c>
      <c r="M7" s="35">
        <f>Table2[[#This Row],[mmol/gDW]]/Table2[[#Totals],[g/gDW (normalized)]]</f>
        <v>0.85649040150251521</v>
      </c>
    </row>
    <row r="8" spans="4:13">
      <c r="D8" t="s">
        <v>423</v>
      </c>
      <c r="E8" t="s">
        <v>424</v>
      </c>
      <c r="F8" t="s">
        <v>445</v>
      </c>
      <c r="G8">
        <v>175.21</v>
      </c>
      <c r="H8">
        <v>158.19</v>
      </c>
      <c r="I8">
        <v>0.66344499999999995</v>
      </c>
      <c r="J8">
        <f>I8*H8/1000*'Macromolecular Composition'!$F$5</f>
        <v>3.2621942215355415E-2</v>
      </c>
      <c r="K8">
        <f>Table2[[#This Row],[g/gDW]]/$J$25*'Macromolecular Composition'!$F$5</f>
        <v>3.2328412846749449E-2</v>
      </c>
      <c r="L8">
        <f>Table2[[#This Row],[g/gDW (normalized)]]/Table2[[#This Row],[MW (-H2O)]]*1000</f>
        <v>0.20436445316865448</v>
      </c>
      <c r="M8" s="35">
        <f>Table2[[#This Row],[mmol/gDW]]/Table2[[#Totals],[g/gDW (normalized)]]</f>
        <v>0.65747538020639018</v>
      </c>
    </row>
    <row r="9" spans="4:13">
      <c r="D9" t="s">
        <v>417</v>
      </c>
      <c r="E9" t="s">
        <v>418</v>
      </c>
      <c r="F9" t="s">
        <v>446</v>
      </c>
      <c r="G9">
        <v>132.12</v>
      </c>
      <c r="H9">
        <v>115.10000000000001</v>
      </c>
      <c r="I9">
        <v>0.23236899999999999</v>
      </c>
      <c r="J9">
        <f>I9*H9/1000*'Macromolecular Composition'!$F$5</f>
        <v>8.3134133642478632E-3</v>
      </c>
      <c r="K9">
        <f>Table2[[#This Row],[g/gDW]]/$J$25*'Macromolecular Composition'!$F$5</f>
        <v>8.2386100015400653E-3</v>
      </c>
      <c r="L9">
        <f>Table2[[#This Row],[g/gDW (normalized)]]/Table2[[#This Row],[MW (-H2O)]]*1000</f>
        <v>7.157784536524818E-2</v>
      </c>
      <c r="M9" s="35">
        <f>Table2[[#This Row],[mmol/gDW]]/Table2[[#Totals],[g/gDW (normalized)]]</f>
        <v>0.23027816416308616</v>
      </c>
    </row>
    <row r="10" spans="4:13">
      <c r="D10" t="s">
        <v>413</v>
      </c>
      <c r="E10" t="s">
        <v>414</v>
      </c>
      <c r="F10" t="s">
        <v>447</v>
      </c>
      <c r="G10">
        <v>132.09</v>
      </c>
      <c r="H10">
        <v>115.07000000000001</v>
      </c>
      <c r="I10">
        <v>0.42574499999999998</v>
      </c>
      <c r="J10">
        <f>I10*H10/1000*'Macromolecular Composition'!$F$5</f>
        <v>1.5227812895576931E-2</v>
      </c>
      <c r="K10">
        <f>Table2[[#This Row],[g/gDW]]/$J$25*'Macromolecular Composition'!$F$5</f>
        <v>1.5090794373657518E-2</v>
      </c>
      <c r="L10">
        <f>Table2[[#This Row],[g/gDW (normalized)]]/Table2[[#This Row],[MW (-H2O)]]*1000</f>
        <v>0.1311444718315592</v>
      </c>
      <c r="M10" s="35">
        <f>Table2[[#This Row],[mmol/gDW]]/Table2[[#Totals],[g/gDW (normalized)]]</f>
        <v>0.42191418391271251</v>
      </c>
    </row>
    <row r="11" spans="4:13">
      <c r="D11" t="s">
        <v>403</v>
      </c>
      <c r="E11" t="s">
        <v>404</v>
      </c>
      <c r="F11" t="s">
        <v>448</v>
      </c>
      <c r="G11">
        <v>121.16</v>
      </c>
      <c r="H11">
        <v>104.14</v>
      </c>
      <c r="I11">
        <v>0.140463</v>
      </c>
      <c r="J11">
        <f>I11*H11/1000*'Macromolecular Composition'!$F$5</f>
        <v>4.5467950214837446E-3</v>
      </c>
      <c r="K11">
        <f>Table2[[#This Row],[g/gDW]]/$J$25*'Macromolecular Composition'!$F$5</f>
        <v>4.5058833595408004E-3</v>
      </c>
      <c r="L11">
        <f>Table2[[#This Row],[g/gDW (normalized)]]/Table2[[#This Row],[MW (-H2O)]]*1000</f>
        <v>4.3267556746118686E-2</v>
      </c>
      <c r="M11" s="35">
        <f>Table2[[#This Row],[mmol/gDW]]/Table2[[#Totals],[g/gDW (normalized)]]</f>
        <v>0.13919912627260764</v>
      </c>
    </row>
    <row r="12" spans="4:13">
      <c r="D12" t="s">
        <v>429</v>
      </c>
      <c r="E12" t="s">
        <v>430</v>
      </c>
      <c r="F12" t="s">
        <v>449</v>
      </c>
      <c r="G12">
        <v>146.12</v>
      </c>
      <c r="H12">
        <v>129.1</v>
      </c>
      <c r="I12">
        <v>0.66428699999999996</v>
      </c>
      <c r="J12">
        <f>I12*H12/1000*'Macromolecular Composition'!$F$5</f>
        <v>2.6656790472081915E-2</v>
      </c>
      <c r="K12">
        <f>Table2[[#This Row],[g/gDW]]/$J$25*'Macromolecular Composition'!$F$5</f>
        <v>2.6416935014528912E-2</v>
      </c>
      <c r="L12">
        <f>Table2[[#This Row],[g/gDW (normalized)]]/Table2[[#This Row],[MW (-H2O)]]*1000</f>
        <v>0.20462381885769879</v>
      </c>
      <c r="M12" s="35">
        <f>Table2[[#This Row],[mmol/gDW]]/Table2[[#Totals],[g/gDW (normalized)]]</f>
        <v>0.65830980396440142</v>
      </c>
    </row>
    <row r="13" spans="4:13">
      <c r="D13" t="s">
        <v>431</v>
      </c>
      <c r="E13" t="s">
        <v>432</v>
      </c>
      <c r="F13" t="s">
        <v>450</v>
      </c>
      <c r="G13">
        <v>155.15</v>
      </c>
      <c r="H13">
        <v>138.13</v>
      </c>
      <c r="I13">
        <v>0.22239800000000001</v>
      </c>
      <c r="J13">
        <f>I13*H13/1000*'Macromolecular Composition'!$F$5</f>
        <v>9.548711056625768E-3</v>
      </c>
      <c r="K13">
        <f>Table2[[#This Row],[g/gDW]]/$J$25*'Macromolecular Composition'!$F$5</f>
        <v>9.4627925938638273E-3</v>
      </c>
      <c r="L13">
        <f>Table2[[#This Row],[g/gDW (normalized)]]/Table2[[#This Row],[MW (-H2O)]]*1000</f>
        <v>6.8506425786315994E-2</v>
      </c>
      <c r="M13" s="35">
        <f>Table2[[#This Row],[mmol/gDW]]/Table2[[#Totals],[g/gDW (normalized)]]</f>
        <v>0.22039688234464161</v>
      </c>
    </row>
    <row r="14" spans="4:13">
      <c r="D14" t="s">
        <v>402</v>
      </c>
      <c r="E14" t="s">
        <v>399</v>
      </c>
      <c r="F14" t="s">
        <v>451</v>
      </c>
      <c r="G14">
        <v>131.16999999999999</v>
      </c>
      <c r="H14">
        <v>114.14999999999999</v>
      </c>
      <c r="I14">
        <v>0.31169999999999998</v>
      </c>
      <c r="J14">
        <f>I14*H14/1000*'Macromolecular Composition'!$F$5</f>
        <v>1.1059578632023677E-2</v>
      </c>
      <c r="K14">
        <f>Table2[[#This Row],[g/gDW]]/$J$25*'Macromolecular Composition'!$F$5</f>
        <v>1.0960065515622596E-2</v>
      </c>
      <c r="L14">
        <f>Table2[[#This Row],[g/gDW (normalized)]]/Table2[[#This Row],[MW (-H2O)]]*1000</f>
        <v>9.6014590588021004E-2</v>
      </c>
      <c r="M14" s="35">
        <f>Table2[[#This Row],[mmol/gDW]]/Table2[[#Totals],[g/gDW (normalized)]]</f>
        <v>0.30889535079823016</v>
      </c>
    </row>
    <row r="15" spans="4:13">
      <c r="D15" t="s">
        <v>398</v>
      </c>
      <c r="E15" t="s">
        <v>399</v>
      </c>
      <c r="F15" t="s">
        <v>451</v>
      </c>
      <c r="G15">
        <v>131.16999999999999</v>
      </c>
      <c r="H15">
        <v>114.14999999999999</v>
      </c>
      <c r="I15">
        <v>0.89494200000000002</v>
      </c>
      <c r="J15">
        <f>I15*H15/1000*'Macromolecular Composition'!$F$5</f>
        <v>3.175387045268057E-2</v>
      </c>
      <c r="K15">
        <f>Table2[[#This Row],[g/gDW]]/$J$25*'Macromolecular Composition'!$F$5</f>
        <v>3.14681519174922E-2</v>
      </c>
      <c r="L15">
        <f>Table2[[#This Row],[g/gDW (normalized)]]/Table2[[#This Row],[MW (-H2O)]]*1000</f>
        <v>0.27567369178705392</v>
      </c>
      <c r="M15" s="35">
        <f>Table2[[#This Row],[mmol/gDW]]/Table2[[#Totals],[g/gDW (normalized)]]</f>
        <v>0.8868893905488282</v>
      </c>
    </row>
    <row r="16" spans="4:13">
      <c r="D16" t="s">
        <v>425</v>
      </c>
      <c r="E16" t="s">
        <v>426</v>
      </c>
      <c r="F16" t="s">
        <v>452</v>
      </c>
      <c r="G16">
        <v>147.19</v>
      </c>
      <c r="H16">
        <v>130.16999999999999</v>
      </c>
      <c r="I16">
        <v>0.40031699999999998</v>
      </c>
      <c r="J16">
        <f>I16*H16/1000*'Macromolecular Composition'!$F$5</f>
        <v>1.6197231927616837E-2</v>
      </c>
      <c r="K16">
        <f>Table2[[#This Row],[g/gDW]]/$J$25*'Macromolecular Composition'!$F$5</f>
        <v>1.6051490658458442E-2</v>
      </c>
      <c r="L16">
        <f>Table2[[#This Row],[g/gDW (normalized)]]/Table2[[#This Row],[MW (-H2O)]]*1000</f>
        <v>0.12331175123652489</v>
      </c>
      <c r="M16" s="35">
        <f>Table2[[#This Row],[mmol/gDW]]/Table2[[#Totals],[g/gDW (normalized)]]</f>
        <v>0.39671498282160772</v>
      </c>
    </row>
    <row r="17" spans="4:13">
      <c r="D17" t="s">
        <v>405</v>
      </c>
      <c r="E17" t="s">
        <v>406</v>
      </c>
      <c r="F17" t="s">
        <v>453</v>
      </c>
      <c r="G17">
        <v>149.21</v>
      </c>
      <c r="H17">
        <v>132.19</v>
      </c>
      <c r="I17">
        <v>0.20243800000000001</v>
      </c>
      <c r="J17">
        <f>I17*H17/1000*'Macromolecular Composition'!$F$5</f>
        <v>8.3179537881997428E-3</v>
      </c>
      <c r="K17">
        <f>Table2[[#This Row],[g/gDW]]/$J$25*'Macromolecular Composition'!$F$5</f>
        <v>8.2431095711563256E-3</v>
      </c>
      <c r="L17">
        <f>Table2[[#This Row],[g/gDW (normalized)]]/Table2[[#This Row],[MW (-H2O)]]*1000</f>
        <v>6.2358041993769021E-2</v>
      </c>
      <c r="M17" s="35">
        <f>Table2[[#This Row],[mmol/gDW]]/Table2[[#Totals],[g/gDW (normalized)]]</f>
        <v>0.20061648067017049</v>
      </c>
    </row>
    <row r="18" spans="4:13">
      <c r="D18" t="s">
        <v>407</v>
      </c>
      <c r="E18" t="s">
        <v>408</v>
      </c>
      <c r="F18" t="s">
        <v>454</v>
      </c>
      <c r="G18">
        <v>165.19</v>
      </c>
      <c r="H18">
        <v>148.16999999999999</v>
      </c>
      <c r="I18">
        <v>0.30751299999999998</v>
      </c>
      <c r="J18">
        <f>I18*H18/1000*'Macromolecular Composition'!$F$5</f>
        <v>1.4162816349754616E-2</v>
      </c>
      <c r="K18">
        <f>Table2[[#This Row],[g/gDW]]/$J$25*'Macromolecular Composition'!$F$5</f>
        <v>1.4035380573141999E-2</v>
      </c>
      <c r="L18">
        <f>Table2[[#This Row],[g/gDW (normalized)]]/Table2[[#This Row],[MW (-H2O)]]*1000</f>
        <v>9.4724846953782818E-2</v>
      </c>
      <c r="M18" s="35">
        <f>Table2[[#This Row],[mmol/gDW]]/Table2[[#Totals],[g/gDW (normalized)]]</f>
        <v>0.30474602505619558</v>
      </c>
    </row>
    <row r="19" spans="4:13">
      <c r="D19" t="s">
        <v>409</v>
      </c>
      <c r="E19" t="s">
        <v>410</v>
      </c>
      <c r="F19" t="s">
        <v>455</v>
      </c>
      <c r="G19">
        <v>115.13</v>
      </c>
      <c r="H19">
        <v>98.11</v>
      </c>
      <c r="I19">
        <v>0.56805600000000001</v>
      </c>
      <c r="J19">
        <f>I19*H19/1000*'Macromolecular Composition'!$F$5</f>
        <v>1.732328656875734E-2</v>
      </c>
      <c r="K19">
        <f>Table2[[#This Row],[g/gDW]]/$J$25*'Macromolecular Composition'!$F$5</f>
        <v>1.7167413158917441E-2</v>
      </c>
      <c r="L19">
        <f>Table2[[#This Row],[g/gDW (normalized)]]/Table2[[#This Row],[MW (-H2O)]]*1000</f>
        <v>0.17498127773843075</v>
      </c>
      <c r="M19" s="35">
        <f>Table2[[#This Row],[mmol/gDW]]/Table2[[#Totals],[g/gDW (normalized)]]</f>
        <v>0.56294468204375825</v>
      </c>
    </row>
    <row r="20" spans="4:13">
      <c r="D20" t="s">
        <v>435</v>
      </c>
      <c r="E20" t="s">
        <v>436</v>
      </c>
      <c r="F20" t="s">
        <v>456</v>
      </c>
      <c r="G20">
        <v>105.09</v>
      </c>
      <c r="H20">
        <v>88.070000000000007</v>
      </c>
      <c r="I20">
        <v>0.71424500000000002</v>
      </c>
      <c r="J20">
        <f>I20*H20/1000*'Macromolecular Composition'!$F$5</f>
        <v>1.9552444770308399E-2</v>
      </c>
      <c r="K20">
        <f>Table2[[#This Row],[g/gDW]]/$J$25*'Macromolecular Composition'!$F$5</f>
        <v>1.9376513590912522E-2</v>
      </c>
      <c r="L20">
        <f>Table2[[#This Row],[g/gDW (normalized)]]/Table2[[#This Row],[MW (-H2O)]]*1000</f>
        <v>0.22001264438415488</v>
      </c>
      <c r="M20" s="35">
        <f>Table2[[#This Row],[mmol/gDW]]/Table2[[#Totals],[g/gDW (normalized)]]</f>
        <v>0.70781828627167775</v>
      </c>
    </row>
    <row r="21" spans="4:13">
      <c r="D21" t="s">
        <v>433</v>
      </c>
      <c r="E21" t="s">
        <v>434</v>
      </c>
      <c r="F21" t="s">
        <v>457</v>
      </c>
      <c r="G21">
        <v>119.12</v>
      </c>
      <c r="H21">
        <v>102.10000000000001</v>
      </c>
      <c r="I21">
        <v>0.464395</v>
      </c>
      <c r="J21">
        <f>I21*H21/1000*'Macromolecular Composition'!$F$5</f>
        <v>1.4738019944359575E-2</v>
      </c>
      <c r="K21">
        <f>Table2[[#This Row],[g/gDW]]/$J$25*'Macromolecular Composition'!$F$5</f>
        <v>1.4605408536362731E-2</v>
      </c>
      <c r="L21">
        <f>Table2[[#This Row],[g/gDW (normalized)]]/Table2[[#This Row],[MW (-H2O)]]*1000</f>
        <v>0.1430500346362657</v>
      </c>
      <c r="M21" s="35">
        <f>Table2[[#This Row],[mmol/gDW]]/Table2[[#Totals],[g/gDW (normalized)]]</f>
        <v>0.46021641461002283</v>
      </c>
    </row>
    <row r="22" spans="4:13">
      <c r="D22" t="s">
        <v>400</v>
      </c>
      <c r="E22" t="s">
        <v>401</v>
      </c>
      <c r="F22" t="s">
        <v>458</v>
      </c>
      <c r="G22">
        <v>204.22</v>
      </c>
      <c r="H22">
        <v>187.2</v>
      </c>
      <c r="I22">
        <v>0.11702</v>
      </c>
      <c r="J22">
        <f>I22*H22/1000*'Macromolecular Composition'!$F$5</f>
        <v>6.8091327437819248E-3</v>
      </c>
      <c r="K22">
        <f>Table2[[#This Row],[g/gDW]]/$J$25*'Macromolecular Composition'!$F$5</f>
        <v>6.7478647658717767E-3</v>
      </c>
      <c r="L22">
        <f>Table2[[#This Row],[g/gDW (normalized)]]/Table2[[#This Row],[MW (-H2O)]]*1000</f>
        <v>3.6046286142477443E-2</v>
      </c>
      <c r="M22" s="35">
        <f>Table2[[#This Row],[mmol/gDW]]/Table2[[#Totals],[g/gDW (normalized)]]</f>
        <v>0.11596706432598299</v>
      </c>
    </row>
    <row r="23" spans="4:13">
      <c r="D23" t="s">
        <v>411</v>
      </c>
      <c r="E23" t="s">
        <v>412</v>
      </c>
      <c r="F23" t="s">
        <v>459</v>
      </c>
      <c r="G23">
        <v>181.19</v>
      </c>
      <c r="H23">
        <v>164.17</v>
      </c>
      <c r="I23">
        <v>0.202288</v>
      </c>
      <c r="J23">
        <f>I23*H23/1000*'Macromolecular Composition'!$F$5</f>
        <v>1.0322616225261849E-2</v>
      </c>
      <c r="K23">
        <f>Table2[[#This Row],[g/gDW]]/$J$25*'Macromolecular Composition'!$F$5</f>
        <v>1.0229734231818289E-2</v>
      </c>
      <c r="L23">
        <f>Table2[[#This Row],[g/gDW (normalized)]]/Table2[[#This Row],[MW (-H2O)]]*1000</f>
        <v>6.2311836704746847E-2</v>
      </c>
      <c r="M23" s="35">
        <f>Table2[[#This Row],[mmol/gDW]]/Table2[[#Totals],[g/gDW (normalized)]]</f>
        <v>0.20046783035698551</v>
      </c>
    </row>
    <row r="24" spans="4:13">
      <c r="D24" t="s">
        <v>421</v>
      </c>
      <c r="E24" t="s">
        <v>422</v>
      </c>
      <c r="F24" t="s">
        <v>460</v>
      </c>
      <c r="G24">
        <v>117.15</v>
      </c>
      <c r="H24">
        <v>100.13000000000001</v>
      </c>
      <c r="I24">
        <v>0.61587599999999998</v>
      </c>
      <c r="J24">
        <f>I24*H24/1000*'Macromolecular Composition'!$F$5</f>
        <v>1.916828946974173E-2</v>
      </c>
      <c r="K24">
        <f>Table2[[#This Row],[g/gDW]]/$J$25*'Macromolecular Composition'!$F$5</f>
        <v>1.8995814885973347E-2</v>
      </c>
      <c r="L24">
        <f>Table2[[#This Row],[g/gDW (normalized)]]/Table2[[#This Row],[MW (-H2O)]]*1000</f>
        <v>0.18971152387869114</v>
      </c>
      <c r="M24" s="35">
        <f>Table2[[#This Row],[mmol/gDW]]/Table2[[#Totals],[g/gDW (normalized)]]</f>
        <v>0.61033440188710564</v>
      </c>
    </row>
    <row r="25" spans="4:13">
      <c r="I25">
        <f>SUM(Table2[mmol/gMM])</f>
        <v>9.1587710000000015</v>
      </c>
      <c r="J25">
        <f>SUM(Table2[g/gDW])</f>
        <v>0.31365433419109801</v>
      </c>
      <c r="K25">
        <f>SUM(Table2[g/gDW (normalized)])</f>
        <v>0.3108321000620613</v>
      </c>
      <c r="L25">
        <f>SUM(Table2[mmol/gDW])</f>
        <v>2.8212244076177093</v>
      </c>
      <c r="M25">
        <f>SUM(Table2[mmol/gDW2])</f>
        <v>9.0763611835920983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3C9B-103F-4A06-ABF9-0AF063A9F987}">
  <dimension ref="A1"/>
  <sheetViews>
    <sheetView workbookViewId="0">
      <selection activeCell="A2" sqref="A2"/>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A462-A579-4A4F-98F7-158B3F54C74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7296-151D-4EDE-B860-31B6181EA57E}">
  <dimension ref="B6:AL226"/>
  <sheetViews>
    <sheetView tabSelected="1" topLeftCell="B1" zoomScaleNormal="100" workbookViewId="0">
      <selection activeCell="M15" sqref="M15"/>
    </sheetView>
  </sheetViews>
  <sheetFormatPr defaultRowHeight="15"/>
  <cols>
    <col min="3" max="3" width="13.5703125" customWidth="1"/>
    <col min="4" max="5" width="10.42578125" customWidth="1"/>
    <col min="6" max="6" width="13.85546875" customWidth="1"/>
    <col min="7" max="7" width="13.140625" customWidth="1"/>
    <col min="8" max="8" width="14.140625" customWidth="1"/>
    <col min="9" max="9" width="10.42578125" customWidth="1"/>
    <col min="10" max="10" width="34.28515625" bestFit="1" customWidth="1"/>
    <col min="11" max="11" width="13.7109375" bestFit="1" customWidth="1"/>
    <col min="12" max="12" width="11.42578125" customWidth="1"/>
    <col min="13" max="13" width="12" bestFit="1" customWidth="1"/>
    <col min="14" max="14" width="14.140625" bestFit="1" customWidth="1"/>
    <col min="15" max="15" width="27.85546875" customWidth="1"/>
    <col min="17" max="19" width="12" bestFit="1" customWidth="1"/>
    <col min="21" max="21" width="12" bestFit="1" customWidth="1"/>
    <col min="22" max="24" width="13.42578125" bestFit="1" customWidth="1"/>
    <col min="25" max="26" width="13.5703125" bestFit="1" customWidth="1"/>
    <col min="27" max="27" width="13.42578125" bestFit="1" customWidth="1"/>
  </cols>
  <sheetData>
    <row r="6" spans="3:17">
      <c r="C6" s="2" t="s">
        <v>35</v>
      </c>
    </row>
    <row r="7" spans="3:17">
      <c r="C7" s="1" t="s">
        <v>39</v>
      </c>
    </row>
    <row r="8" spans="3:17">
      <c r="C8" s="3" t="s">
        <v>209</v>
      </c>
    </row>
    <row r="12" spans="3:17">
      <c r="E12" s="41" t="s">
        <v>137</v>
      </c>
      <c r="F12" s="41"/>
      <c r="G12" s="41" t="s">
        <v>76</v>
      </c>
      <c r="H12" s="41"/>
      <c r="I12" t="s">
        <v>77</v>
      </c>
      <c r="K12" t="s">
        <v>204</v>
      </c>
    </row>
    <row r="13" spans="3:17">
      <c r="C13" t="s">
        <v>22</v>
      </c>
      <c r="D13" t="s">
        <v>23</v>
      </c>
      <c r="E13" t="s">
        <v>50</v>
      </c>
      <c r="F13" t="s">
        <v>210</v>
      </c>
      <c r="G13" t="s">
        <v>210</v>
      </c>
      <c r="H13" t="s">
        <v>210</v>
      </c>
      <c r="I13" t="s">
        <v>75</v>
      </c>
      <c r="K13" t="s">
        <v>78</v>
      </c>
      <c r="L13" t="s">
        <v>397</v>
      </c>
      <c r="M13" t="s">
        <v>79</v>
      </c>
      <c r="N13" t="s">
        <v>205</v>
      </c>
      <c r="O13" t="s">
        <v>206</v>
      </c>
      <c r="P13" t="s">
        <v>207</v>
      </c>
      <c r="Q13" t="s">
        <v>233</v>
      </c>
    </row>
    <row r="14" spans="3:17">
      <c r="C14" t="s">
        <v>57</v>
      </c>
      <c r="E14">
        <v>2.25</v>
      </c>
      <c r="F14">
        <f>Lipid!$E14/$E$25</f>
        <v>0.51381593971226314</v>
      </c>
      <c r="G14" t="s">
        <v>34</v>
      </c>
      <c r="H14" t="s">
        <v>34</v>
      </c>
      <c r="I14">
        <f>AVERAGE(H14,F14)</f>
        <v>0.51381593971226314</v>
      </c>
      <c r="J14">
        <f>I14/$I$25</f>
        <v>0.38526025100475869</v>
      </c>
      <c r="K14">
        <f>89.07 + (3*K46)</f>
        <v>859.41453499995055</v>
      </c>
      <c r="L14">
        <v>808.66</v>
      </c>
      <c r="M14">
        <f>L14*J14</f>
        <v>311.54455457750817</v>
      </c>
      <c r="N14">
        <f>M14/$M$25</f>
        <v>0.39716336552605608</v>
      </c>
      <c r="O14">
        <f t="shared" ref="O14:O24" si="0">J14/$M$25*1000</f>
        <v>0.49113764193363851</v>
      </c>
      <c r="P14">
        <f>O14*'Macromolecular Composition'!$F$8</f>
        <v>0.18841753428074276</v>
      </c>
      <c r="Q14">
        <f>N14*'Macromolecular Composition'!$F$8</f>
        <v>0.15236572327146541</v>
      </c>
    </row>
    <row r="15" spans="3:17">
      <c r="C15" t="s">
        <v>58</v>
      </c>
      <c r="E15">
        <v>6.2E-2</v>
      </c>
      <c r="F15">
        <f>Lipid!$E15/$E$25</f>
        <v>1.4158483672071251E-2</v>
      </c>
      <c r="G15" t="s">
        <v>34</v>
      </c>
      <c r="H15" t="s">
        <v>34</v>
      </c>
      <c r="I15">
        <f t="shared" ref="I15:I24" si="1">AVERAGE(H15,F15)</f>
        <v>1.4158483672071251E-2</v>
      </c>
      <c r="J15">
        <f t="shared" ref="J15:J24" si="2">I15/$I$25</f>
        <v>1.0616060249908906E-2</v>
      </c>
      <c r="K15">
        <f>90.08 + (2*L65)</f>
        <v>648.05610178823565</v>
      </c>
      <c r="L15">
        <v>613.86</v>
      </c>
      <c r="M15">
        <f>L15*J15</f>
        <v>6.5167747450090809</v>
      </c>
      <c r="N15">
        <f t="shared" ref="N15:N24" si="3">M15/$M$25</f>
        <v>8.3077176348434513E-3</v>
      </c>
      <c r="O15">
        <f t="shared" si="0"/>
        <v>1.3533570577726925E-2</v>
      </c>
      <c r="P15">
        <f>O15*'Macromolecular Composition'!$F$8</f>
        <v>5.1919498335137992E-3</v>
      </c>
      <c r="Q15">
        <f>N15*'Macromolecular Composition'!$F$8</f>
        <v>3.1871303248007811E-3</v>
      </c>
    </row>
    <row r="16" spans="3:17">
      <c r="C16" t="s">
        <v>59</v>
      </c>
      <c r="E16">
        <v>0.155</v>
      </c>
      <c r="F16">
        <f>Lipid!$E16/$E$25</f>
        <v>3.5396209180178127E-2</v>
      </c>
      <c r="G16" t="s">
        <v>34</v>
      </c>
      <c r="H16" t="s">
        <v>34</v>
      </c>
      <c r="I16">
        <f t="shared" si="1"/>
        <v>3.5396209180178127E-2</v>
      </c>
      <c r="J16">
        <f t="shared" si="2"/>
        <v>2.6540150624772264E-2</v>
      </c>
      <c r="K16">
        <f>K88</f>
        <v>281.65902965086133</v>
      </c>
      <c r="L16">
        <v>280.68</v>
      </c>
      <c r="M16">
        <f t="shared" ref="M16:M24" si="4">L16*J16</f>
        <v>7.4492894773610789</v>
      </c>
      <c r="N16">
        <f t="shared" si="3"/>
        <v>9.4965064743909831E-3</v>
      </c>
      <c r="O16">
        <f t="shared" si="0"/>
        <v>3.3833926444317312E-2</v>
      </c>
      <c r="P16">
        <f>O16*'Macromolecular Composition'!$F$8</f>
        <v>1.2979874583784499E-2</v>
      </c>
      <c r="Q16">
        <f>N16*'Macromolecular Composition'!$F$8</f>
        <v>3.6431911981766331E-3</v>
      </c>
    </row>
    <row r="17" spans="3:26">
      <c r="C17" t="s">
        <v>60</v>
      </c>
      <c r="E17">
        <v>0.312</v>
      </c>
      <c r="F17">
        <f>Lipid!$E17/$E$25</f>
        <v>7.1249143640100487E-2</v>
      </c>
      <c r="G17">
        <v>8.1</v>
      </c>
      <c r="H17">
        <f>Lipid!$G17/$G$25</f>
        <v>8.1000000000000003E-2</v>
      </c>
      <c r="I17">
        <f t="shared" si="1"/>
        <v>7.6124571820050252E-2</v>
      </c>
      <c r="J17">
        <f t="shared" si="2"/>
        <v>5.7078360907693693E-2</v>
      </c>
      <c r="K17">
        <f>372.3+(2*L109)</f>
        <v>898.64549014674571</v>
      </c>
      <c r="L17">
        <v>810.75</v>
      </c>
      <c r="M17">
        <f t="shared" si="4"/>
        <v>46.276281105912659</v>
      </c>
      <c r="N17">
        <f t="shared" si="3"/>
        <v>5.8993948948902586E-2</v>
      </c>
      <c r="O17">
        <f t="shared" si="0"/>
        <v>7.2764661053225516E-2</v>
      </c>
      <c r="P17">
        <f>O17*'Macromolecular Composition'!$F$8</f>
        <v>2.79150625972082E-2</v>
      </c>
      <c r="Q17">
        <f>N17*'Macromolecular Composition'!$F$8</f>
        <v>2.2632137000686548E-2</v>
      </c>
    </row>
    <row r="18" spans="3:26">
      <c r="C18" t="s">
        <v>61</v>
      </c>
      <c r="E18">
        <v>7.1999999999999995E-2</v>
      </c>
      <c r="F18">
        <f>Lipid!$E18/$E$25</f>
        <v>1.644211007079242E-2</v>
      </c>
      <c r="G18">
        <v>10</v>
      </c>
      <c r="H18">
        <f>Lipid!$G18/$G$25</f>
        <v>0.1</v>
      </c>
      <c r="I18">
        <f t="shared" si="1"/>
        <v>5.8221055035396214E-2</v>
      </c>
      <c r="J18">
        <f t="shared" si="2"/>
        <v>4.3654267108294766E-2</v>
      </c>
      <c r="K18">
        <f>300.156+(2*L155)</f>
        <v>844.48284842815588</v>
      </c>
      <c r="L18">
        <v>753.44</v>
      </c>
      <c r="M18">
        <f>L18*J18</f>
        <v>32.89087101007361</v>
      </c>
      <c r="N18">
        <f t="shared" si="3"/>
        <v>4.1929954587584722E-2</v>
      </c>
      <c r="O18">
        <f t="shared" si="0"/>
        <v>5.5651351915991604E-2</v>
      </c>
      <c r="P18">
        <f>O18*'Macromolecular Composition'!$F$8</f>
        <v>2.1349800162166824E-2</v>
      </c>
      <c r="Q18">
        <f>N18*'Macromolecular Composition'!$F$8</f>
        <v>1.6085793434182975E-2</v>
      </c>
    </row>
    <row r="19" spans="3:26">
      <c r="C19" t="s">
        <v>62</v>
      </c>
      <c r="E19">
        <v>0.45200000000000001</v>
      </c>
      <c r="F19">
        <f>Lipid!$E19/$E$25</f>
        <v>0.10321991322219687</v>
      </c>
      <c r="G19">
        <v>17.399999999999999</v>
      </c>
      <c r="H19">
        <f>Lipid!$G19/$G$25</f>
        <v>0.17399999999999999</v>
      </c>
      <c r="I19">
        <f t="shared" si="1"/>
        <v>0.13860995661109843</v>
      </c>
      <c r="J19">
        <f t="shared" si="2"/>
        <v>0.1039300312591606</v>
      </c>
      <c r="K19">
        <f>312+(2*L171)</f>
        <v>840.22611989611721</v>
      </c>
      <c r="L19">
        <v>749.42</v>
      </c>
      <c r="M19">
        <f t="shared" si="4"/>
        <v>77.88724402624014</v>
      </c>
      <c r="N19">
        <f t="shared" si="3"/>
        <v>9.9292250544904911E-2</v>
      </c>
      <c r="O19">
        <f t="shared" si="0"/>
        <v>0.13249212797217169</v>
      </c>
      <c r="P19">
        <f>O19*'Macromolecular Composition'!$F$8</f>
        <v>5.0828602682215666E-2</v>
      </c>
      <c r="Q19">
        <f>N19*'Macromolecular Composition'!$F$8</f>
        <v>3.8091971422106068E-2</v>
      </c>
    </row>
    <row r="20" spans="3:26">
      <c r="C20" t="s">
        <v>63</v>
      </c>
      <c r="E20">
        <v>7.0000000000000007E-2</v>
      </c>
      <c r="F20">
        <f>Lipid!$E20/$E$25</f>
        <v>1.5985384791048187E-2</v>
      </c>
      <c r="G20">
        <v>6.4</v>
      </c>
      <c r="H20">
        <f>Lipid!$G20/$G$25</f>
        <v>6.4000000000000001E-2</v>
      </c>
      <c r="I20">
        <f t="shared" si="1"/>
        <v>3.9992692395524096E-2</v>
      </c>
      <c r="J20">
        <f t="shared" si="2"/>
        <v>2.9986603216871723E-2</v>
      </c>
      <c r="K20">
        <f>296+(2*L186)</f>
        <v>869.42454997270602</v>
      </c>
      <c r="L20">
        <v>752.54</v>
      </c>
      <c r="M20">
        <f t="shared" si="4"/>
        <v>22.566118384824644</v>
      </c>
      <c r="N20">
        <f t="shared" si="3"/>
        <v>2.8767748923522362E-2</v>
      </c>
      <c r="O20">
        <f t="shared" si="0"/>
        <v>3.8227534647357439E-2</v>
      </c>
      <c r="P20">
        <f>O20*'Macromolecular Composition'!$F$8</f>
        <v>1.4665415974896852E-2</v>
      </c>
      <c r="Q20">
        <f>N20*'Macromolecular Composition'!$F$8</f>
        <v>1.1036312137748874E-2</v>
      </c>
    </row>
    <row r="21" spans="3:26">
      <c r="C21" t="s">
        <v>64</v>
      </c>
      <c r="E21">
        <v>6.7000000000000004E-2</v>
      </c>
      <c r="F21">
        <f>Lipid!$E21/$E$25</f>
        <v>1.5300296871431836E-2</v>
      </c>
      <c r="G21">
        <v>5.7</v>
      </c>
      <c r="H21">
        <f>Lipid!$G21/$G$25</f>
        <v>5.7000000000000002E-2</v>
      </c>
      <c r="I21">
        <f t="shared" si="1"/>
        <v>3.6150148435715922E-2</v>
      </c>
      <c r="J21">
        <f t="shared" si="2"/>
        <v>2.7105455833079915E-2</v>
      </c>
      <c r="K21">
        <f>388.22+(2*L186)</f>
        <v>961.64454997270605</v>
      </c>
      <c r="L21">
        <v>826.61</v>
      </c>
      <c r="M21">
        <f t="shared" si="4"/>
        <v>22.405640846182187</v>
      </c>
      <c r="N21">
        <f t="shared" si="3"/>
        <v>2.8563168877419456E-2</v>
      </c>
      <c r="O21">
        <f t="shared" si="0"/>
        <v>3.4554589077581278E-2</v>
      </c>
      <c r="P21">
        <f>O21*'Macromolecular Composition'!$F$8</f>
        <v>1.3256345912419112E-2</v>
      </c>
      <c r="Q21">
        <f>N21*'Macromolecular Composition'!$F$8</f>
        <v>1.095782809466476E-2</v>
      </c>
    </row>
    <row r="22" spans="3:26">
      <c r="C22" t="s">
        <v>65</v>
      </c>
      <c r="E22">
        <v>0.496</v>
      </c>
      <c r="F22">
        <f>Lipid!$E22/$E$25</f>
        <v>0.11326786937657</v>
      </c>
      <c r="G22">
        <v>28</v>
      </c>
      <c r="H22">
        <f>Lipid!$G22/$G$25</f>
        <v>0.28000000000000003</v>
      </c>
      <c r="I22">
        <f t="shared" si="1"/>
        <v>0.19663393468828502</v>
      </c>
      <c r="J22">
        <f t="shared" si="2"/>
        <v>0.14743652965784779</v>
      </c>
      <c r="K22">
        <f>308.24+(2*M127)</f>
        <v>863.47406533390665</v>
      </c>
      <c r="L22">
        <v>774.23</v>
      </c>
      <c r="M22">
        <f t="shared" si="4"/>
        <v>114.1497843569955</v>
      </c>
      <c r="N22">
        <f t="shared" si="3"/>
        <v>0.14552047809270521</v>
      </c>
      <c r="O22">
        <f t="shared" si="0"/>
        <v>0.18795510131705723</v>
      </c>
      <c r="P22">
        <f>O22*'Macromolecular Composition'!$F$8</f>
        <v>7.210613425234505E-2</v>
      </c>
      <c r="Q22">
        <f>N22*'Macromolecular Composition'!$F$8</f>
        <v>5.5826732322193102E-2</v>
      </c>
    </row>
    <row r="23" spans="3:26">
      <c r="C23" t="s">
        <v>66</v>
      </c>
      <c r="E23">
        <v>0.443</v>
      </c>
      <c r="F23">
        <f>Lipid!$E23/$E$25</f>
        <v>0.10116464946334781</v>
      </c>
      <c r="G23">
        <v>14</v>
      </c>
      <c r="H23">
        <f>Lipid!$G23/$G$25</f>
        <v>0.14000000000000001</v>
      </c>
      <c r="I23">
        <f t="shared" si="1"/>
        <v>0.12058232473167391</v>
      </c>
      <c r="J23">
        <f t="shared" si="2"/>
        <v>9.0412875705796758E-2</v>
      </c>
      <c r="K23">
        <f>470.38+(2*L143)</f>
        <v>1009.3856012335895</v>
      </c>
      <c r="L23">
        <v>919.58</v>
      </c>
      <c r="M23">
        <f t="shared" si="4"/>
        <v>83.141872241536589</v>
      </c>
      <c r="N23">
        <f t="shared" si="3"/>
        <v>0.1059909579879076</v>
      </c>
      <c r="O23">
        <f t="shared" si="0"/>
        <v>0.11526018180898626</v>
      </c>
      <c r="P23">
        <f>O23*'Macromolecular Composition'!$F$8</f>
        <v>4.4217826945004701E-2</v>
      </c>
      <c r="Q23">
        <f>N23*'Macromolecular Composition'!$F$8</f>
        <v>4.0661829302087428E-2</v>
      </c>
    </row>
    <row r="24" spans="3:26">
      <c r="C24" t="s">
        <v>67</v>
      </c>
      <c r="E24" t="s">
        <v>34</v>
      </c>
      <c r="F24" t="s">
        <v>34</v>
      </c>
      <c r="G24">
        <v>10.4</v>
      </c>
      <c r="H24">
        <f>Lipid!$G24/$G$25</f>
        <v>0.10400000000000001</v>
      </c>
      <c r="I24">
        <f t="shared" si="1"/>
        <v>0.10400000000000001</v>
      </c>
      <c r="J24">
        <f t="shared" si="2"/>
        <v>7.7979414431814748E-2</v>
      </c>
      <c r="K24">
        <f>289+(2*L217)</f>
        <v>853.92224465932475</v>
      </c>
      <c r="L24">
        <v>764.25</v>
      </c>
      <c r="M24">
        <f t="shared" si="4"/>
        <v>59.595767479514421</v>
      </c>
      <c r="N24">
        <f t="shared" si="3"/>
        <v>7.5973902401762688E-2</v>
      </c>
      <c r="O24">
        <f t="shared" si="0"/>
        <v>9.9409751261711074E-2</v>
      </c>
      <c r="P24">
        <f>O24*'Macromolecular Composition'!$F$8</f>
        <v>3.813704879644389E-2</v>
      </c>
      <c r="Q24">
        <f>N24*'Macromolecular Composition'!$F$8</f>
        <v>2.914623954268224E-2</v>
      </c>
    </row>
    <row r="25" spans="3:26">
      <c r="C25" t="s">
        <v>31</v>
      </c>
      <c r="E25">
        <f t="shared" ref="E25:H25" si="5">SUM(E14:E24)</f>
        <v>4.3789999999999996</v>
      </c>
      <c r="F25">
        <f t="shared" si="5"/>
        <v>1.0000000000000002</v>
      </c>
      <c r="G25">
        <f t="shared" si="5"/>
        <v>100</v>
      </c>
      <c r="H25">
        <f t="shared" si="5"/>
        <v>1</v>
      </c>
      <c r="I25">
        <f t="shared" ref="I25:K25" si="6">SUM(I14:I24)</f>
        <v>1.3336853162822566</v>
      </c>
      <c r="J25">
        <f t="shared" si="6"/>
        <v>0.99999999999999989</v>
      </c>
      <c r="K25">
        <f t="shared" si="6"/>
        <v>8930.335136082298</v>
      </c>
      <c r="M25">
        <f>SUM(M14:M24)</f>
        <v>784.42419825115803</v>
      </c>
      <c r="N25">
        <f>SUM(N14:N24)</f>
        <v>1</v>
      </c>
      <c r="O25">
        <f>SUM(O14:O24)</f>
        <v>1.2748204380097647</v>
      </c>
      <c r="P25">
        <f>SUM(P14:P24)</f>
        <v>0.48906559602074129</v>
      </c>
      <c r="Q25">
        <f>SUM(Q14:Q24)</f>
        <v>0.38363488805079488</v>
      </c>
    </row>
    <row r="29" spans="3:26">
      <c r="O29" t="s">
        <v>211</v>
      </c>
      <c r="P29" t="s">
        <v>212</v>
      </c>
      <c r="Q29" t="s">
        <v>213</v>
      </c>
      <c r="R29" t="s">
        <v>132</v>
      </c>
      <c r="S29" t="s">
        <v>235</v>
      </c>
      <c r="T29" t="s">
        <v>234</v>
      </c>
      <c r="W29">
        <v>140</v>
      </c>
      <c r="X29">
        <f>U35+U36+U38*2+U41</f>
        <v>6.6045750409155071E-2</v>
      </c>
      <c r="Z29" t="s">
        <v>250</v>
      </c>
    </row>
    <row r="30" spans="3:26">
      <c r="C30" t="s">
        <v>57</v>
      </c>
      <c r="G30" t="s">
        <v>137</v>
      </c>
      <c r="H30" t="s">
        <v>76</v>
      </c>
      <c r="O30" t="s">
        <v>214</v>
      </c>
      <c r="P30">
        <v>25</v>
      </c>
      <c r="Q30">
        <v>32.01</v>
      </c>
      <c r="R30">
        <f>AVERAGE(P30:Q30)/1000</f>
        <v>2.8504999999999999E-2</v>
      </c>
      <c r="S30">
        <f t="shared" ref="S30:S47" si="7">R30*$P$14/$R$48</f>
        <v>1.3419891345083448E-2</v>
      </c>
      <c r="T30">
        <f t="shared" ref="T30:T47" si="8">S30/$P$14</f>
        <v>7.1224216983371433E-2</v>
      </c>
      <c r="U30">
        <f>T30-T30*0.5</f>
        <v>3.5612108491685716E-2</v>
      </c>
      <c r="V30">
        <f>T30+T30*0.5</f>
        <v>0.10683632547505714</v>
      </c>
      <c r="W30">
        <v>160</v>
      </c>
    </row>
    <row r="31" spans="3:26">
      <c r="C31" t="s">
        <v>22</v>
      </c>
      <c r="D31" t="s">
        <v>23</v>
      </c>
      <c r="E31" t="s">
        <v>24</v>
      </c>
      <c r="F31" t="s">
        <v>25</v>
      </c>
      <c r="G31" t="s">
        <v>128</v>
      </c>
      <c r="H31" t="s">
        <v>128</v>
      </c>
      <c r="I31" t="s">
        <v>129</v>
      </c>
      <c r="J31" t="s">
        <v>130</v>
      </c>
      <c r="K31" t="s">
        <v>131</v>
      </c>
      <c r="O31" t="s">
        <v>216</v>
      </c>
      <c r="P31">
        <v>137.87</v>
      </c>
      <c r="Q31">
        <v>109.47</v>
      </c>
      <c r="R31">
        <f>AVERAGE(P31:Q31)/1000</f>
        <v>0.12367</v>
      </c>
      <c r="S31">
        <f t="shared" si="7"/>
        <v>5.8222696461900376E-2</v>
      </c>
      <c r="T31">
        <f t="shared" si="8"/>
        <v>0.30900890771210476</v>
      </c>
      <c r="U31">
        <f t="shared" ref="U31:U47" si="9">T31-T31*0.5</f>
        <v>0.15450445385605238</v>
      </c>
      <c r="V31">
        <f t="shared" ref="V31:V47" si="10">T31+T31*0.5</f>
        <v>0.46351336156815715</v>
      </c>
      <c r="W31">
        <v>161</v>
      </c>
    </row>
    <row r="32" spans="3:26">
      <c r="C32" t="s">
        <v>80</v>
      </c>
      <c r="D32" t="s">
        <v>94</v>
      </c>
      <c r="E32" t="s">
        <v>95</v>
      </c>
      <c r="F32">
        <v>228.37090000000001</v>
      </c>
      <c r="G32">
        <v>2.85</v>
      </c>
      <c r="H32">
        <v>10.8</v>
      </c>
      <c r="I32">
        <f>AVERAGE(Lipid!$G32:$H32)</f>
        <v>6.8250000000000002</v>
      </c>
      <c r="J32">
        <f>Lipid!$I32/$I$46</f>
        <v>6.6765796347201686E-2</v>
      </c>
      <c r="K32">
        <f>J32*F32</f>
        <v>15.247365001027163</v>
      </c>
      <c r="O32" t="s">
        <v>217</v>
      </c>
      <c r="P32">
        <v>29.74</v>
      </c>
      <c r="Q32">
        <v>43.46</v>
      </c>
      <c r="R32">
        <f>AVERAGE(P32:Q32)/1000</f>
        <v>3.6600000000000001E-2</v>
      </c>
      <c r="S32">
        <f t="shared" si="7"/>
        <v>1.7230942754957176E-2</v>
      </c>
      <c r="T32">
        <f t="shared" si="8"/>
        <v>9.1450845170720746E-2</v>
      </c>
      <c r="U32">
        <f t="shared" si="9"/>
        <v>4.5725422585360373E-2</v>
      </c>
      <c r="V32">
        <f t="shared" si="10"/>
        <v>0.13717626775608111</v>
      </c>
      <c r="W32">
        <v>180</v>
      </c>
    </row>
    <row r="33" spans="3:23">
      <c r="C33" t="s">
        <v>81</v>
      </c>
      <c r="D33" t="s">
        <v>96</v>
      </c>
      <c r="E33" t="s">
        <v>97</v>
      </c>
      <c r="F33">
        <v>256.42410000000001</v>
      </c>
      <c r="G33">
        <v>40.94</v>
      </c>
      <c r="H33">
        <v>39.6</v>
      </c>
      <c r="I33">
        <f>AVERAGE(Lipid!$G33:$H33)</f>
        <v>40.269999999999996</v>
      </c>
      <c r="J33">
        <f>Lipid!$I33/$I$46</f>
        <v>0.39394265478414825</v>
      </c>
      <c r="K33">
        <f t="shared" ref="K33:K45" si="11">J33*F33</f>
        <v>101.01639070463591</v>
      </c>
      <c r="O33" t="s">
        <v>218</v>
      </c>
      <c r="P33" t="s">
        <v>215</v>
      </c>
      <c r="Q33">
        <v>16.989999999999998</v>
      </c>
      <c r="R33">
        <f>AVERAGE(P33:Q33)/1000</f>
        <v>1.6989999999999998E-2</v>
      </c>
      <c r="S33">
        <f t="shared" si="7"/>
        <v>7.9987354482711024E-3</v>
      </c>
      <c r="T33">
        <f t="shared" si="8"/>
        <v>4.2452181952200692E-2</v>
      </c>
      <c r="U33">
        <f t="shared" si="9"/>
        <v>2.1226090976100346E-2</v>
      </c>
      <c r="V33">
        <f t="shared" si="10"/>
        <v>6.3678272928301041E-2</v>
      </c>
      <c r="W33">
        <v>181</v>
      </c>
    </row>
    <row r="34" spans="3:23">
      <c r="C34" t="s">
        <v>82</v>
      </c>
      <c r="D34" t="s">
        <v>98</v>
      </c>
      <c r="E34" t="s">
        <v>99</v>
      </c>
      <c r="F34">
        <v>254.40819999999999</v>
      </c>
      <c r="G34">
        <v>39.93</v>
      </c>
      <c r="H34">
        <v>45</v>
      </c>
      <c r="I34">
        <f>AVERAGE(Lipid!$G34:$H34)</f>
        <v>42.465000000000003</v>
      </c>
      <c r="J34">
        <f>Lipid!$I34/$I$46</f>
        <v>0.41541531749214944</v>
      </c>
      <c r="K34">
        <f t="shared" si="11"/>
        <v>105.68506317560625</v>
      </c>
      <c r="O34" t="s">
        <v>219</v>
      </c>
      <c r="P34">
        <v>99.81</v>
      </c>
      <c r="Q34">
        <v>79.650000000000006</v>
      </c>
      <c r="R34">
        <f t="shared" ref="R34:R47" si="12">AVERAGE(P34:Q34)/1000</f>
        <v>8.9730000000000004E-2</v>
      </c>
      <c r="S34">
        <f t="shared" si="7"/>
        <v>4.2244057196784347E-2</v>
      </c>
      <c r="T34">
        <f t="shared" si="8"/>
        <v>0.22420449008657847</v>
      </c>
      <c r="U34">
        <f t="shared" si="9"/>
        <v>0.11210224504328924</v>
      </c>
      <c r="V34">
        <f t="shared" si="10"/>
        <v>0.3363067351298677</v>
      </c>
      <c r="W34">
        <v>182</v>
      </c>
    </row>
    <row r="35" spans="3:23">
      <c r="C35" t="s">
        <v>83</v>
      </c>
      <c r="D35" t="s">
        <v>208</v>
      </c>
      <c r="E35" t="s">
        <v>100</v>
      </c>
      <c r="F35">
        <v>252.39230000000001</v>
      </c>
      <c r="G35">
        <v>1.93</v>
      </c>
      <c r="H35" t="s">
        <v>34</v>
      </c>
      <c r="I35">
        <f>AVERAGE(Lipid!$G35:$H35)</f>
        <v>1.93</v>
      </c>
      <c r="J35">
        <f>Lipid!$I35/$I$46</f>
        <v>1.8880291128219671E-2</v>
      </c>
      <c r="K35">
        <f t="shared" si="11"/>
        <v>4.7652401025209583</v>
      </c>
      <c r="O35" t="s">
        <v>220</v>
      </c>
      <c r="P35">
        <v>29.38</v>
      </c>
      <c r="Q35">
        <v>31.38</v>
      </c>
      <c r="R35">
        <f t="shared" si="12"/>
        <v>3.0379999999999997E-2</v>
      </c>
      <c r="S35">
        <f t="shared" si="7"/>
        <v>1.4302624068185762E-2</v>
      </c>
      <c r="T35">
        <f t="shared" si="8"/>
        <v>7.5909198805641967E-2</v>
      </c>
      <c r="U35">
        <f>T35-T35*0.5</f>
        <v>3.7954599402820983E-2</v>
      </c>
      <c r="V35">
        <f t="shared" si="10"/>
        <v>0.11386379820846296</v>
      </c>
      <c r="W35">
        <v>205</v>
      </c>
    </row>
    <row r="36" spans="3:23">
      <c r="C36" t="s">
        <v>84</v>
      </c>
      <c r="D36">
        <v>5282811</v>
      </c>
      <c r="E36" t="s">
        <v>119</v>
      </c>
      <c r="F36">
        <v>250.37639999999999</v>
      </c>
      <c r="G36">
        <v>0.5</v>
      </c>
      <c r="H36" t="s">
        <v>34</v>
      </c>
      <c r="I36">
        <f>AVERAGE(Lipid!$G36:$H36)</f>
        <v>0.5</v>
      </c>
      <c r="J36">
        <f>Lipid!$I36/$I$46</f>
        <v>4.8912671316631269E-3</v>
      </c>
      <c r="K36">
        <f t="shared" si="11"/>
        <v>1.2246578558641397</v>
      </c>
      <c r="O36" t="s">
        <v>221</v>
      </c>
      <c r="P36">
        <v>10.29</v>
      </c>
      <c r="Q36">
        <v>10.38</v>
      </c>
      <c r="R36">
        <f t="shared" si="12"/>
        <v>1.0335E-2</v>
      </c>
      <c r="S36">
        <f t="shared" si="7"/>
        <v>4.8656227697399558E-3</v>
      </c>
      <c r="T36">
        <f t="shared" si="8"/>
        <v>2.5823619804355158E-2</v>
      </c>
      <c r="U36">
        <f t="shared" si="9"/>
        <v>1.2911809902177579E-2</v>
      </c>
      <c r="V36">
        <f t="shared" si="10"/>
        <v>3.8735429706532737E-2</v>
      </c>
    </row>
    <row r="37" spans="3:23">
      <c r="C37" t="s">
        <v>93</v>
      </c>
      <c r="D37" t="s">
        <v>101</v>
      </c>
      <c r="E37" t="s">
        <v>102</v>
      </c>
      <c r="F37">
        <v>284.47719999999998</v>
      </c>
      <c r="G37">
        <v>2.35</v>
      </c>
      <c r="H37">
        <v>1.7</v>
      </c>
      <c r="I37">
        <f>AVERAGE(Lipid!$G37:$H37)</f>
        <v>2.0249999999999999</v>
      </c>
      <c r="J37">
        <f>Lipid!$I37/$I$46</f>
        <v>1.9809631883235666E-2</v>
      </c>
      <c r="K37">
        <f t="shared" si="11"/>
        <v>5.6353886111736093</v>
      </c>
      <c r="O37" t="s">
        <v>222</v>
      </c>
      <c r="P37">
        <v>4.28</v>
      </c>
      <c r="Q37">
        <v>6.92</v>
      </c>
      <c r="R37">
        <f t="shared" si="12"/>
        <v>5.5999999999999999E-3</v>
      </c>
      <c r="S37">
        <f t="shared" si="7"/>
        <v>2.6364283996655785E-3</v>
      </c>
      <c r="T37">
        <f t="shared" si="8"/>
        <v>1.3992479042514648E-2</v>
      </c>
      <c r="U37">
        <f t="shared" si="9"/>
        <v>6.9962395212573242E-3</v>
      </c>
      <c r="V37">
        <f t="shared" si="10"/>
        <v>2.0988718563771974E-2</v>
      </c>
    </row>
    <row r="38" spans="3:23">
      <c r="C38" t="s">
        <v>85</v>
      </c>
      <c r="D38" t="s">
        <v>103</v>
      </c>
      <c r="E38" t="s">
        <v>104</v>
      </c>
      <c r="F38">
        <v>282.46140000000003</v>
      </c>
      <c r="G38">
        <v>7.05</v>
      </c>
      <c r="H38">
        <v>1.6</v>
      </c>
      <c r="I38">
        <f>AVERAGE(Lipid!$G38:$H38)</f>
        <v>4.3250000000000002</v>
      </c>
      <c r="J38">
        <f>Lipid!$I38/$I$46</f>
        <v>4.2309460688886052E-2</v>
      </c>
      <c r="K38">
        <f t="shared" si="11"/>
        <v>11.950789499427719</v>
      </c>
      <c r="O38" t="s">
        <v>223</v>
      </c>
      <c r="P38" t="s">
        <v>215</v>
      </c>
      <c r="Q38">
        <v>5.21</v>
      </c>
      <c r="R38">
        <f t="shared" si="12"/>
        <v>5.2100000000000002E-3</v>
      </c>
      <c r="S38">
        <f t="shared" si="7"/>
        <v>2.4528199932602971E-3</v>
      </c>
      <c r="T38">
        <f t="shared" si="8"/>
        <v>1.3018002823482379E-2</v>
      </c>
      <c r="U38">
        <f t="shared" si="9"/>
        <v>6.5090014117411893E-3</v>
      </c>
      <c r="V38">
        <f t="shared" si="10"/>
        <v>1.9527004235223567E-2</v>
      </c>
    </row>
    <row r="39" spans="3:23">
      <c r="C39" t="s">
        <v>86</v>
      </c>
      <c r="D39" t="s">
        <v>105</v>
      </c>
      <c r="E39" t="s">
        <v>106</v>
      </c>
      <c r="F39">
        <v>280.44549999999998</v>
      </c>
      <c r="G39">
        <v>0.76</v>
      </c>
      <c r="H39">
        <v>0.8</v>
      </c>
      <c r="I39">
        <f>AVERAGE(Lipid!$G39:$H39)</f>
        <v>0.78</v>
      </c>
      <c r="J39">
        <f>Lipid!$I39/$I$46</f>
        <v>7.6303767253944792E-3</v>
      </c>
      <c r="K39">
        <f t="shared" si="11"/>
        <v>2.1399048159416174</v>
      </c>
      <c r="O39" t="s">
        <v>224</v>
      </c>
      <c r="P39">
        <v>16.84</v>
      </c>
      <c r="Q39">
        <v>12.25</v>
      </c>
      <c r="R39">
        <f t="shared" si="12"/>
        <v>1.4545000000000001E-2</v>
      </c>
      <c r="S39">
        <f t="shared" si="7"/>
        <v>6.847651977345685E-3</v>
      </c>
      <c r="T39">
        <f t="shared" si="8"/>
        <v>3.6342965655959923E-2</v>
      </c>
      <c r="U39">
        <f t="shared" si="9"/>
        <v>1.8171482827979962E-2</v>
      </c>
      <c r="V39">
        <f t="shared" si="10"/>
        <v>5.4514448483939881E-2</v>
      </c>
    </row>
    <row r="40" spans="3:23">
      <c r="C40" t="s">
        <v>87</v>
      </c>
      <c r="D40" t="s">
        <v>107</v>
      </c>
      <c r="E40" t="s">
        <v>108</v>
      </c>
      <c r="F40">
        <v>278.42959999999999</v>
      </c>
      <c r="G40">
        <v>0.5</v>
      </c>
      <c r="H40" t="s">
        <v>34</v>
      </c>
      <c r="I40">
        <f>AVERAGE(Lipid!$G40:$H40)</f>
        <v>0.5</v>
      </c>
      <c r="J40">
        <f>Lipid!$I40/$I$46</f>
        <v>4.8912671316631269E-3</v>
      </c>
      <c r="K40">
        <f t="shared" si="11"/>
        <v>1.3618735509621118</v>
      </c>
      <c r="O40" t="s">
        <v>225</v>
      </c>
      <c r="P40" t="s">
        <v>215</v>
      </c>
      <c r="Q40">
        <v>3.26</v>
      </c>
      <c r="R40">
        <f t="shared" si="12"/>
        <v>3.2599999999999999E-3</v>
      </c>
      <c r="S40">
        <f t="shared" si="7"/>
        <v>1.5347779612338902E-3</v>
      </c>
      <c r="T40">
        <f t="shared" si="8"/>
        <v>8.1456217283210272E-3</v>
      </c>
      <c r="U40">
        <f t="shared" si="9"/>
        <v>4.0728108641605136E-3</v>
      </c>
      <c r="V40">
        <f t="shared" si="10"/>
        <v>1.2218432592481541E-2</v>
      </c>
    </row>
    <row r="41" spans="3:23">
      <c r="C41" t="s">
        <v>88</v>
      </c>
      <c r="D41" t="s">
        <v>109</v>
      </c>
      <c r="E41" t="s">
        <v>110</v>
      </c>
      <c r="F41">
        <v>310.5145</v>
      </c>
      <c r="G41">
        <v>0.34</v>
      </c>
      <c r="H41" t="s">
        <v>34</v>
      </c>
      <c r="I41">
        <f>AVERAGE(Lipid!$G41:$H41)</f>
        <v>0.34</v>
      </c>
      <c r="J41">
        <f>Lipid!$I41/$I$46</f>
        <v>3.3260616495309268E-3</v>
      </c>
      <c r="K41">
        <f t="shared" si="11"/>
        <v>1.032790370073271</v>
      </c>
      <c r="O41" t="s">
        <v>226</v>
      </c>
      <c r="P41" t="s">
        <v>215</v>
      </c>
      <c r="Q41">
        <v>1.73</v>
      </c>
      <c r="R41">
        <f t="shared" si="12"/>
        <v>1.73E-3</v>
      </c>
      <c r="S41">
        <f t="shared" si="7"/>
        <v>8.1446805918240198E-4</v>
      </c>
      <c r="T41">
        <f t="shared" si="8"/>
        <v>4.3226765613482761E-3</v>
      </c>
      <c r="U41">
        <f t="shared" si="9"/>
        <v>2.1613382806741381E-3</v>
      </c>
      <c r="V41">
        <f t="shared" si="10"/>
        <v>6.4840148420224142E-3</v>
      </c>
    </row>
    <row r="42" spans="3:23">
      <c r="C42" t="s">
        <v>89</v>
      </c>
      <c r="D42" t="s">
        <v>111</v>
      </c>
      <c r="E42" t="s">
        <v>112</v>
      </c>
      <c r="F42">
        <v>308.49860000000001</v>
      </c>
      <c r="G42">
        <v>8.4000000000000005E-2</v>
      </c>
      <c r="H42" t="s">
        <v>34</v>
      </c>
      <c r="I42">
        <f>AVERAGE(Lipid!$G42:$H42)</f>
        <v>8.4000000000000005E-2</v>
      </c>
      <c r="J42">
        <f>Lipid!$I42/$I$46</f>
        <v>8.2173287811940546E-4</v>
      </c>
      <c r="K42">
        <f t="shared" si="11"/>
        <v>0.25350344247380724</v>
      </c>
      <c r="O42" t="s">
        <v>227</v>
      </c>
      <c r="P42" t="s">
        <v>215</v>
      </c>
      <c r="Q42">
        <v>2.5099999999999998</v>
      </c>
      <c r="R42">
        <f t="shared" si="12"/>
        <v>2.5099999999999996E-3</v>
      </c>
      <c r="S42">
        <f t="shared" si="7"/>
        <v>1.1816848719929645E-3</v>
      </c>
      <c r="T42">
        <f t="shared" si="8"/>
        <v>6.2716289994128151E-3</v>
      </c>
      <c r="U42">
        <f t="shared" si="9"/>
        <v>3.1358144997064076E-3</v>
      </c>
      <c r="V42">
        <f t="shared" si="10"/>
        <v>9.4074434991192231E-3</v>
      </c>
    </row>
    <row r="43" spans="3:23">
      <c r="C43" t="s">
        <v>90</v>
      </c>
      <c r="D43" t="s">
        <v>113</v>
      </c>
      <c r="E43" t="s">
        <v>114</v>
      </c>
      <c r="F43">
        <v>306.4828</v>
      </c>
      <c r="G43">
        <v>8.4000000000000005E-2</v>
      </c>
      <c r="H43" t="s">
        <v>34</v>
      </c>
      <c r="I43">
        <f>AVERAGE(Lipid!$G43:$H43)</f>
        <v>8.4000000000000005E-2</v>
      </c>
      <c r="J43">
        <f>Lipid!$I43/$I$46</f>
        <v>8.2173287811940546E-4</v>
      </c>
      <c r="K43">
        <f t="shared" si="11"/>
        <v>0.25184699333809413</v>
      </c>
      <c r="O43" t="s">
        <v>228</v>
      </c>
      <c r="P43" t="s">
        <v>215</v>
      </c>
      <c r="Q43">
        <v>4.88</v>
      </c>
      <c r="R43">
        <f t="shared" si="12"/>
        <v>4.8799999999999998E-3</v>
      </c>
      <c r="S43">
        <f t="shared" si="7"/>
        <v>2.29745903399429E-3</v>
      </c>
      <c r="T43">
        <f t="shared" si="8"/>
        <v>1.2193446022762766E-2</v>
      </c>
      <c r="U43">
        <f t="shared" si="9"/>
        <v>6.0967230113813829E-3</v>
      </c>
      <c r="V43">
        <f t="shared" si="10"/>
        <v>1.8290169034144148E-2</v>
      </c>
    </row>
    <row r="44" spans="3:23">
      <c r="C44" t="s">
        <v>91</v>
      </c>
      <c r="D44" t="s">
        <v>115</v>
      </c>
      <c r="E44" t="s">
        <v>116</v>
      </c>
      <c r="F44">
        <v>304.46690000000001</v>
      </c>
      <c r="G44">
        <v>0.92</v>
      </c>
      <c r="H44" t="s">
        <v>34</v>
      </c>
      <c r="I44">
        <f>AVERAGE(Lipid!$G44:$H44)</f>
        <v>0.92</v>
      </c>
      <c r="J44">
        <f>Lipid!$I44/$I$46</f>
        <v>8.9999315222601545E-3</v>
      </c>
      <c r="K44">
        <f t="shared" si="11"/>
        <v>2.7401812507948304</v>
      </c>
      <c r="O44" t="s">
        <v>229</v>
      </c>
      <c r="P44" t="s">
        <v>215</v>
      </c>
      <c r="Q44">
        <v>3.61</v>
      </c>
      <c r="R44">
        <f t="shared" si="12"/>
        <v>3.6099999999999999E-3</v>
      </c>
      <c r="S44">
        <f t="shared" si="7"/>
        <v>1.6995547362129888E-3</v>
      </c>
      <c r="T44">
        <f t="shared" si="8"/>
        <v>9.0201516684781918E-3</v>
      </c>
      <c r="U44">
        <f t="shared" si="9"/>
        <v>4.5100758342390959E-3</v>
      </c>
      <c r="V44">
        <f t="shared" si="10"/>
        <v>1.3530227502717287E-2</v>
      </c>
    </row>
    <row r="45" spans="3:23">
      <c r="C45" t="s">
        <v>92</v>
      </c>
      <c r="D45" t="s">
        <v>117</v>
      </c>
      <c r="E45" t="s">
        <v>118</v>
      </c>
      <c r="F45">
        <v>302.45100000000002</v>
      </c>
      <c r="G45">
        <v>1.85</v>
      </c>
      <c r="H45">
        <v>0.5</v>
      </c>
      <c r="I45">
        <f>AVERAGE(Lipid!$G45:$H45)</f>
        <v>1.175</v>
      </c>
      <c r="J45">
        <f>Lipid!$I45/$I$46</f>
        <v>1.149447775940835E-2</v>
      </c>
      <c r="K45">
        <f t="shared" si="11"/>
        <v>3.4765162928108153</v>
      </c>
      <c r="O45" t="s">
        <v>230</v>
      </c>
      <c r="P45" t="s">
        <v>215</v>
      </c>
      <c r="Q45">
        <v>5.4</v>
      </c>
      <c r="R45">
        <f t="shared" si="12"/>
        <v>5.4000000000000003E-3</v>
      </c>
      <c r="S45">
        <f t="shared" si="7"/>
        <v>2.5422702425346648E-3</v>
      </c>
      <c r="T45">
        <f t="shared" si="8"/>
        <v>1.3492747648139125E-2</v>
      </c>
      <c r="U45">
        <f t="shared" si="9"/>
        <v>6.7463738240695625E-3</v>
      </c>
      <c r="V45">
        <f t="shared" si="10"/>
        <v>2.0239121472208688E-2</v>
      </c>
    </row>
    <row r="46" spans="3:23">
      <c r="C46" t="s">
        <v>31</v>
      </c>
      <c r="D46" t="s">
        <v>34</v>
      </c>
      <c r="E46" t="s">
        <v>34</v>
      </c>
      <c r="F46">
        <f t="shared" ref="F46:G46" si="13">SUM(F32:F45)</f>
        <v>3900.1993999999991</v>
      </c>
      <c r="G46">
        <f t="shared" si="13"/>
        <v>100.08800000000001</v>
      </c>
      <c r="H46">
        <f>SUM(H32:H45)</f>
        <v>100</v>
      </c>
      <c r="I46">
        <f>SUM(I32:I45)</f>
        <v>102.22300000000003</v>
      </c>
      <c r="J46">
        <f>SUM(J32:J45)</f>
        <v>0.99999999999999978</v>
      </c>
      <c r="K46">
        <f>SUM(K32:K45)</f>
        <v>256.7815116666502</v>
      </c>
      <c r="O46" t="s">
        <v>231</v>
      </c>
      <c r="P46">
        <v>13.39</v>
      </c>
      <c r="Q46" t="s">
        <v>215</v>
      </c>
      <c r="R46">
        <f t="shared" si="12"/>
        <v>1.3390000000000001E-2</v>
      </c>
      <c r="S46">
        <f t="shared" si="7"/>
        <v>6.3038886199146609E-3</v>
      </c>
      <c r="T46">
        <f t="shared" si="8"/>
        <v>3.3457016853441282E-2</v>
      </c>
      <c r="U46">
        <f t="shared" si="9"/>
        <v>1.6728508426720641E-2</v>
      </c>
      <c r="V46">
        <f t="shared" si="10"/>
        <v>5.0185525280161923E-2</v>
      </c>
    </row>
    <row r="47" spans="3:23">
      <c r="O47" t="s">
        <v>232</v>
      </c>
      <c r="P47">
        <v>3.87</v>
      </c>
      <c r="Q47" t="s">
        <v>215</v>
      </c>
      <c r="R47">
        <f t="shared" si="12"/>
        <v>3.8700000000000002E-3</v>
      </c>
      <c r="S47">
        <f t="shared" si="7"/>
        <v>1.8219603404831767E-3</v>
      </c>
      <c r="T47">
        <f t="shared" si="8"/>
        <v>9.669802481166374E-3</v>
      </c>
      <c r="U47">
        <f t="shared" si="9"/>
        <v>4.834901240583187E-3</v>
      </c>
      <c r="V47">
        <f t="shared" si="10"/>
        <v>1.450470372174956E-2</v>
      </c>
    </row>
    <row r="48" spans="3:23">
      <c r="P48">
        <v>370.47</v>
      </c>
      <c r="Q48">
        <v>380.37</v>
      </c>
      <c r="R48">
        <f>SUM(R30:R47)</f>
        <v>0.40021499999999999</v>
      </c>
      <c r="S48">
        <f>SUM(S30:S47)</f>
        <v>0.18841753428074279</v>
      </c>
      <c r="T48">
        <f>SUM(T30:T47)</f>
        <v>1.0000000000000002</v>
      </c>
      <c r="U48">
        <f t="shared" ref="U48:V48" si="14">SUM(U30:U47)</f>
        <v>0.50000000000000011</v>
      </c>
      <c r="V48">
        <f t="shared" si="14"/>
        <v>1.5000000000000002</v>
      </c>
    </row>
    <row r="51" spans="3:20">
      <c r="C51" t="s">
        <v>58</v>
      </c>
      <c r="G51" t="s">
        <v>137</v>
      </c>
      <c r="H51" t="s">
        <v>76</v>
      </c>
    </row>
    <row r="52" spans="3:20">
      <c r="C52" t="s">
        <v>22</v>
      </c>
      <c r="D52" t="s">
        <v>23</v>
      </c>
      <c r="E52" t="s">
        <v>24</v>
      </c>
      <c r="F52" t="s">
        <v>25</v>
      </c>
      <c r="G52" t="s">
        <v>128</v>
      </c>
      <c r="H52" t="s">
        <v>128</v>
      </c>
      <c r="J52" t="s">
        <v>129</v>
      </c>
      <c r="K52" t="s">
        <v>130</v>
      </c>
      <c r="L52" t="s">
        <v>131</v>
      </c>
      <c r="M52" t="s">
        <v>132</v>
      </c>
    </row>
    <row r="53" spans="3:20">
      <c r="C53" t="s">
        <v>80</v>
      </c>
      <c r="D53" t="s">
        <v>94</v>
      </c>
      <c r="E53" t="s">
        <v>95</v>
      </c>
      <c r="F53">
        <v>228.37090000000001</v>
      </c>
      <c r="G53">
        <v>2.11</v>
      </c>
      <c r="J53">
        <f>AVERAGE(Lipid!$G53:$I53)</f>
        <v>2.11</v>
      </c>
      <c r="K53">
        <f>Lipid!$J53/$J$65</f>
        <v>1.6749355030760069E-2</v>
      </c>
      <c r="L53">
        <f>Lipid!$K53*Lipid!$F53</f>
        <v>3.8250652827942044</v>
      </c>
      <c r="O53" t="s">
        <v>338</v>
      </c>
      <c r="P53">
        <v>0.1443481677993739</v>
      </c>
      <c r="Q53">
        <f>P53*$P$15</f>
        <v>7.4944844577398131E-4</v>
      </c>
      <c r="R53">
        <f>P53*100</f>
        <v>14.434816779937391</v>
      </c>
      <c r="S53">
        <f>P53*0.5</f>
        <v>7.217408389968695E-2</v>
      </c>
      <c r="T53">
        <f>P53*1.5</f>
        <v>0.21652225169906086</v>
      </c>
    </row>
    <row r="54" spans="3:20">
      <c r="C54" t="s">
        <v>81</v>
      </c>
      <c r="D54" t="s">
        <v>96</v>
      </c>
      <c r="E54" t="s">
        <v>97</v>
      </c>
      <c r="F54">
        <v>256.42410000000001</v>
      </c>
      <c r="G54">
        <v>21.9</v>
      </c>
      <c r="I54">
        <v>23.926287873859103</v>
      </c>
      <c r="J54">
        <f>AVERAGE(Lipid!$G54:$I54)</f>
        <v>22.913143936929551</v>
      </c>
      <c r="K54">
        <f>Lipid!$J54/$J$65</f>
        <v>0.1818864372846164</v>
      </c>
      <c r="L54">
        <f>Lipid!$K54*Lipid!$F54</f>
        <v>46.640065982914209</v>
      </c>
      <c r="O54" t="s">
        <v>342</v>
      </c>
      <c r="P54">
        <v>0.10139930991760883</v>
      </c>
      <c r="Q54">
        <f>P54*$P$15</f>
        <v>5.2646013024514331E-4</v>
      </c>
      <c r="R54">
        <f t="shared" ref="R54:R57" si="15">P54*100</f>
        <v>10.139930991760883</v>
      </c>
      <c r="S54">
        <f t="shared" ref="S54:S57" si="16">P54*0.5</f>
        <v>5.0699654958804415E-2</v>
      </c>
      <c r="T54">
        <f t="shared" ref="T54:T57" si="17">P54*1.5</f>
        <v>0.15209896487641325</v>
      </c>
    </row>
    <row r="55" spans="3:20">
      <c r="C55" t="s">
        <v>82</v>
      </c>
      <c r="D55" t="s">
        <v>98</v>
      </c>
      <c r="E55" t="s">
        <v>99</v>
      </c>
      <c r="F55">
        <v>254.40819999999999</v>
      </c>
      <c r="G55">
        <v>17.79</v>
      </c>
      <c r="I55">
        <v>12.878128071820171</v>
      </c>
      <c r="J55">
        <f>AVERAGE(Lipid!$G55:$I55)</f>
        <v>15.334064035910085</v>
      </c>
      <c r="K55">
        <f>Lipid!$J55/$J$65</f>
        <v>0.12172307232316003</v>
      </c>
      <c r="L55">
        <f>Lipid!$K55*Lipid!$F55</f>
        <v>30.96734772820496</v>
      </c>
      <c r="O55" t="s">
        <v>345</v>
      </c>
      <c r="P55">
        <v>0.23277827976019927</v>
      </c>
      <c r="Q55">
        <f>P55*$P$15</f>
        <v>1.2085731508465951E-3</v>
      </c>
      <c r="R55">
        <f t="shared" si="15"/>
        <v>23.277827976019928</v>
      </c>
      <c r="S55">
        <f t="shared" si="16"/>
        <v>0.11638913988009963</v>
      </c>
      <c r="T55">
        <f t="shared" si="17"/>
        <v>0.3491674196402989</v>
      </c>
    </row>
    <row r="56" spans="3:20">
      <c r="C56" t="s">
        <v>83</v>
      </c>
      <c r="D56" t="s">
        <v>208</v>
      </c>
      <c r="E56" t="s">
        <v>100</v>
      </c>
      <c r="F56">
        <v>252.39230000000001</v>
      </c>
      <c r="G56">
        <v>0.95</v>
      </c>
      <c r="J56">
        <f>AVERAGE(Lipid!$G56:$I56)</f>
        <v>0.95</v>
      </c>
      <c r="K56">
        <f>Lipid!$J56/$J$65</f>
        <v>7.5411788053185149E-3</v>
      </c>
      <c r="L56">
        <f>Lipid!$K56*Lipid!$F56</f>
        <v>1.9033354633855923</v>
      </c>
      <c r="O56" t="s">
        <v>347</v>
      </c>
      <c r="P56">
        <v>0.1132143936370295</v>
      </c>
      <c r="Q56">
        <f>P56*$P$15</f>
        <v>5.8780345219514106E-4</v>
      </c>
      <c r="R56">
        <f t="shared" si="15"/>
        <v>11.32143936370295</v>
      </c>
      <c r="S56">
        <f t="shared" si="16"/>
        <v>5.6607196818514748E-2</v>
      </c>
      <c r="T56">
        <f t="shared" si="17"/>
        <v>0.16982159045554424</v>
      </c>
    </row>
    <row r="57" spans="3:20">
      <c r="C57" t="s">
        <v>84</v>
      </c>
      <c r="D57" t="s">
        <v>120</v>
      </c>
      <c r="E57" t="s">
        <v>119</v>
      </c>
      <c r="F57">
        <v>250.37639999999999</v>
      </c>
      <c r="G57">
        <v>5.79</v>
      </c>
      <c r="J57">
        <f>AVERAGE(Lipid!$G57:$I57)</f>
        <v>5.79</v>
      </c>
      <c r="K57">
        <f>Lipid!$J57/$J$65</f>
        <v>4.5961500297678107E-2</v>
      </c>
      <c r="L57">
        <f>Lipid!$K57*Lipid!$F57</f>
        <v>11.507674983131572</v>
      </c>
      <c r="O57" t="s">
        <v>349</v>
      </c>
      <c r="P57">
        <v>0.40825984888578859</v>
      </c>
      <c r="Q57">
        <f>P57*$P$15</f>
        <v>2.1196646544529387E-3</v>
      </c>
      <c r="R57">
        <f t="shared" si="15"/>
        <v>40.825984888578859</v>
      </c>
      <c r="S57">
        <f t="shared" si="16"/>
        <v>0.20412992444289429</v>
      </c>
      <c r="T57">
        <f t="shared" si="17"/>
        <v>0.61238977332868294</v>
      </c>
    </row>
    <row r="58" spans="3:20">
      <c r="C58" t="s">
        <v>93</v>
      </c>
      <c r="D58" t="s">
        <v>101</v>
      </c>
      <c r="E58" t="s">
        <v>102</v>
      </c>
      <c r="F58">
        <v>284.47719999999998</v>
      </c>
      <c r="G58">
        <v>11.11</v>
      </c>
      <c r="J58">
        <f>AVERAGE(Lipid!$G58:$I58)</f>
        <v>11.11</v>
      </c>
      <c r="K58">
        <f>Lipid!$J58/$J$65</f>
        <v>8.8192101607461784E-2</v>
      </c>
      <c r="L58">
        <f>Lipid!$K58*Lipid!$F58</f>
        <v>25.088642127406224</v>
      </c>
      <c r="P58">
        <f>SUM(P53:P57)</f>
        <v>1</v>
      </c>
      <c r="Q58">
        <f t="shared" ref="Q58:T58" si="18">SUM(Q53:Q57)</f>
        <v>5.1919498335137992E-3</v>
      </c>
      <c r="R58">
        <f t="shared" si="18"/>
        <v>100.00000000000001</v>
      </c>
      <c r="S58">
        <f t="shared" si="18"/>
        <v>0.5</v>
      </c>
      <c r="T58">
        <f t="shared" si="18"/>
        <v>1.5000000000000002</v>
      </c>
    </row>
    <row r="59" spans="3:20">
      <c r="C59" t="s">
        <v>85</v>
      </c>
      <c r="D59" t="s">
        <v>103</v>
      </c>
      <c r="E59" t="s">
        <v>104</v>
      </c>
      <c r="F59">
        <v>282.46140000000003</v>
      </c>
      <c r="G59">
        <v>12.37</v>
      </c>
      <c r="J59">
        <f>AVERAGE(Lipid!$G59:$I59)</f>
        <v>12.37</v>
      </c>
      <c r="K59">
        <f>Lipid!$J59/$J$65</f>
        <v>9.819408612820002E-2</v>
      </c>
      <c r="L59">
        <f>Lipid!$K59*Lipid!$F59</f>
        <v>27.73603903949196</v>
      </c>
    </row>
    <row r="60" spans="3:20">
      <c r="C60" t="s">
        <v>86</v>
      </c>
      <c r="D60" t="s">
        <v>105</v>
      </c>
      <c r="E60" t="s">
        <v>106</v>
      </c>
      <c r="F60">
        <v>280.44549999999998</v>
      </c>
      <c r="G60">
        <v>1.1100000000000001</v>
      </c>
      <c r="J60">
        <f>AVERAGE(Lipid!$G60:$I60)</f>
        <v>1.1100000000000001</v>
      </c>
      <c r="K60">
        <f>Lipid!$J60/$J$65</f>
        <v>8.811272077793213E-3</v>
      </c>
      <c r="L60">
        <f>Lipid!$K60*Lipid!$F60</f>
        <v>2.4710816034927565</v>
      </c>
    </row>
    <row r="61" spans="3:20">
      <c r="C61" t="s">
        <v>87</v>
      </c>
      <c r="D61" t="s">
        <v>107</v>
      </c>
      <c r="E61" t="s">
        <v>108</v>
      </c>
      <c r="F61">
        <v>278.42959999999999</v>
      </c>
      <c r="G61">
        <v>10.48</v>
      </c>
      <c r="J61">
        <f>AVERAGE(Lipid!$G61:$I61)</f>
        <v>10.48</v>
      </c>
      <c r="K61">
        <f>Lipid!$J61/$J$65</f>
        <v>8.3191109347092673E-2</v>
      </c>
      <c r="L61">
        <f>Lipid!$K61*Lipid!$F61</f>
        <v>23.162867299067273</v>
      </c>
    </row>
    <row r="62" spans="3:20">
      <c r="C62" t="s">
        <v>88</v>
      </c>
      <c r="D62" t="s">
        <v>109</v>
      </c>
      <c r="E62" t="s">
        <v>110</v>
      </c>
      <c r="F62">
        <v>310.5145</v>
      </c>
      <c r="G62">
        <v>6.47</v>
      </c>
      <c r="J62">
        <f>AVERAGE(Lipid!$G62:$I62)</f>
        <v>6.47</v>
      </c>
      <c r="K62">
        <f>Lipid!$J62/$J$65</f>
        <v>5.1359396705695566E-2</v>
      </c>
      <c r="L62">
        <f>Lipid!$K62*Lipid!$F62</f>
        <v>15.947837388370706</v>
      </c>
    </row>
    <row r="63" spans="3:20">
      <c r="C63" t="s">
        <v>91</v>
      </c>
      <c r="D63" t="s">
        <v>115</v>
      </c>
      <c r="E63" t="s">
        <v>116</v>
      </c>
      <c r="F63">
        <v>304.46690000000001</v>
      </c>
      <c r="G63">
        <v>6.74</v>
      </c>
      <c r="I63">
        <v>5.0699654958804414</v>
      </c>
      <c r="J63">
        <f>AVERAGE(Lipid!$G63:$I63)</f>
        <v>5.9049827479402204</v>
      </c>
      <c r="K63">
        <f>Lipid!$J63/$J$65</f>
        <v>4.6874242888987658E-2</v>
      </c>
      <c r="L63">
        <f>Lipid!$K63*Lipid!$F63</f>
        <v>14.271655422257117</v>
      </c>
    </row>
    <row r="64" spans="3:20">
      <c r="C64" t="s">
        <v>92</v>
      </c>
      <c r="D64" t="s">
        <v>117</v>
      </c>
      <c r="E64" t="s">
        <v>118</v>
      </c>
      <c r="F64">
        <v>302.45100000000002</v>
      </c>
      <c r="G64">
        <v>4.74</v>
      </c>
      <c r="I64">
        <v>58.125618558440294</v>
      </c>
      <c r="J64">
        <f>AVERAGE(Lipid!$G64:$I64)</f>
        <v>31.432809279220148</v>
      </c>
      <c r="K64">
        <f>Lipid!$J64/$J$65</f>
        <v>0.24951624750323592</v>
      </c>
      <c r="L64">
        <f>Lipid!$K64*Lipid!$F64</f>
        <v>75.466438573601209</v>
      </c>
    </row>
    <row r="65" spans="3:12">
      <c r="C65" t="s">
        <v>31</v>
      </c>
      <c r="D65" t="s">
        <v>34</v>
      </c>
      <c r="E65" t="s">
        <v>34</v>
      </c>
      <c r="F65">
        <f t="shared" ref="F65:H65" si="19">SUM(F53:F64)</f>
        <v>3285.2179999999994</v>
      </c>
      <c r="G65">
        <f t="shared" si="19"/>
        <v>101.55999999999999</v>
      </c>
      <c r="H65">
        <f t="shared" si="19"/>
        <v>0</v>
      </c>
      <c r="J65">
        <f>SUM(J53:J64)</f>
        <v>125.97500000000001</v>
      </c>
      <c r="K65">
        <f>SUM(K53:K64)</f>
        <v>1</v>
      </c>
      <c r="L65">
        <f>SUM(L53:L64)</f>
        <v>278.98805089411781</v>
      </c>
    </row>
    <row r="72" spans="3:12">
      <c r="C72" t="s">
        <v>59</v>
      </c>
      <c r="G72" t="s">
        <v>137</v>
      </c>
      <c r="H72" t="s">
        <v>76</v>
      </c>
    </row>
    <row r="73" spans="3:12">
      <c r="C73" t="s">
        <v>22</v>
      </c>
      <c r="D73" t="s">
        <v>23</v>
      </c>
      <c r="E73" t="s">
        <v>24</v>
      </c>
      <c r="F73" t="s">
        <v>25</v>
      </c>
      <c r="G73" t="s">
        <v>128</v>
      </c>
      <c r="H73" t="s">
        <v>128</v>
      </c>
      <c r="I73" t="s">
        <v>129</v>
      </c>
      <c r="J73" t="s">
        <v>130</v>
      </c>
      <c r="K73" t="s">
        <v>131</v>
      </c>
      <c r="L73" t="s">
        <v>203</v>
      </c>
    </row>
    <row r="74" spans="3:12">
      <c r="C74" t="s">
        <v>80</v>
      </c>
      <c r="D74" t="s">
        <v>94</v>
      </c>
      <c r="E74" t="s">
        <v>95</v>
      </c>
      <c r="F74">
        <v>228.37090000000001</v>
      </c>
      <c r="G74">
        <v>1.1599999999999999</v>
      </c>
      <c r="I74">
        <f>AVERAGE(Lipid!$G74:$H74)</f>
        <v>1.1599999999999999</v>
      </c>
      <c r="J74">
        <f>Lipid!$I74/$I$46</f>
        <v>1.1347739745458454E-2</v>
      </c>
      <c r="K74">
        <f>J74*F74</f>
        <v>2.5914935386361182</v>
      </c>
      <c r="L74">
        <f>J74/$K$88*1000</f>
        <v>4.0288925796289496E-2</v>
      </c>
    </row>
    <row r="75" spans="3:12">
      <c r="C75" t="s">
        <v>81</v>
      </c>
      <c r="D75" t="s">
        <v>96</v>
      </c>
      <c r="E75" t="s">
        <v>97</v>
      </c>
      <c r="F75">
        <v>256.42410000000001</v>
      </c>
      <c r="G75">
        <v>16.95</v>
      </c>
      <c r="I75">
        <f>AVERAGE(Lipid!$G75:$H75)</f>
        <v>16.95</v>
      </c>
      <c r="J75">
        <f>Lipid!$I75/$I$46</f>
        <v>0.16581395576338001</v>
      </c>
      <c r="K75">
        <f t="shared" ref="K75:K87" si="20">J75*F75</f>
        <v>42.51869437406453</v>
      </c>
      <c r="L75">
        <f t="shared" ref="L75:L87" si="21">J75/$K$88*1000</f>
        <v>0.58870456228198875</v>
      </c>
    </row>
    <row r="76" spans="3:12">
      <c r="C76" t="s">
        <v>82</v>
      </c>
      <c r="D76" t="s">
        <v>98</v>
      </c>
      <c r="E76" t="s">
        <v>99</v>
      </c>
      <c r="F76">
        <v>254.40819999999999</v>
      </c>
      <c r="G76">
        <v>16.41</v>
      </c>
      <c r="I76">
        <f>AVERAGE(Lipid!$G76:$H76)</f>
        <v>16.41</v>
      </c>
      <c r="J76">
        <f>Lipid!$I76/$I$46</f>
        <v>0.16053138726118385</v>
      </c>
      <c r="K76">
        <f t="shared" si="20"/>
        <v>40.840501276620714</v>
      </c>
      <c r="L76">
        <f t="shared" si="21"/>
        <v>0.56994937268716439</v>
      </c>
    </row>
    <row r="77" spans="3:12">
      <c r="C77" t="s">
        <v>83</v>
      </c>
      <c r="D77" t="s">
        <v>208</v>
      </c>
      <c r="E77" t="s">
        <v>100</v>
      </c>
      <c r="F77">
        <v>252.39230000000001</v>
      </c>
      <c r="G77">
        <v>0.62</v>
      </c>
      <c r="I77">
        <f>AVERAGE(Lipid!$G77:$H77)</f>
        <v>0.62</v>
      </c>
      <c r="J77">
        <f>Lipid!$I77/$I$46</f>
        <v>6.0651712432622778E-3</v>
      </c>
      <c r="K77">
        <f t="shared" si="20"/>
        <v>1.5308025199808257</v>
      </c>
      <c r="L77">
        <f t="shared" si="21"/>
        <v>2.1533736201465078E-2</v>
      </c>
    </row>
    <row r="78" spans="3:12">
      <c r="C78" t="s">
        <v>84</v>
      </c>
      <c r="D78" t="s">
        <v>120</v>
      </c>
      <c r="E78" t="s">
        <v>119</v>
      </c>
      <c r="F78">
        <v>250.37639999999999</v>
      </c>
      <c r="G78">
        <v>3.14</v>
      </c>
      <c r="I78">
        <f>AVERAGE(Lipid!$G78:$H78)</f>
        <v>3.14</v>
      </c>
      <c r="J78">
        <f>Lipid!$I78/$I$46</f>
        <v>3.071715758684444E-2</v>
      </c>
      <c r="K78">
        <f t="shared" si="20"/>
        <v>7.6908513348267977</v>
      </c>
      <c r="L78">
        <f t="shared" si="21"/>
        <v>0.1090579543106457</v>
      </c>
    </row>
    <row r="79" spans="3:12">
      <c r="C79" t="s">
        <v>93</v>
      </c>
      <c r="D79" t="s">
        <v>101</v>
      </c>
      <c r="E79" t="s">
        <v>102</v>
      </c>
      <c r="F79">
        <v>284.47719999999998</v>
      </c>
      <c r="G79">
        <v>9.16</v>
      </c>
      <c r="I79">
        <f>AVERAGE(Lipid!$G79:$H79)</f>
        <v>9.16</v>
      </c>
      <c r="J79">
        <f>Lipid!$I79/$I$46</f>
        <v>8.9608013852068499E-2</v>
      </c>
      <c r="K79">
        <f t="shared" si="20"/>
        <v>25.491436878197661</v>
      </c>
      <c r="L79">
        <f t="shared" si="21"/>
        <v>0.31814358646035501</v>
      </c>
    </row>
    <row r="80" spans="3:12">
      <c r="C80" t="s">
        <v>85</v>
      </c>
      <c r="D80" t="s">
        <v>103</v>
      </c>
      <c r="E80" t="s">
        <v>104</v>
      </c>
      <c r="F80">
        <v>282.46140000000003</v>
      </c>
      <c r="G80">
        <v>8.1300000000000008</v>
      </c>
      <c r="I80">
        <f>AVERAGE(Lipid!$G80:$H80)</f>
        <v>8.1300000000000008</v>
      </c>
      <c r="J80">
        <f>Lipid!$I80/$I$46</f>
        <v>7.953200356084246E-2</v>
      </c>
      <c r="K80">
        <f t="shared" si="20"/>
        <v>22.464721070600547</v>
      </c>
      <c r="L80">
        <f t="shared" si="21"/>
        <v>0.28236979889985664</v>
      </c>
    </row>
    <row r="81" spans="3:23">
      <c r="C81" t="s">
        <v>86</v>
      </c>
      <c r="D81" t="s">
        <v>105</v>
      </c>
      <c r="E81" t="s">
        <v>106</v>
      </c>
      <c r="F81">
        <v>280.44549999999998</v>
      </c>
      <c r="G81">
        <v>1.788</v>
      </c>
      <c r="I81">
        <f>AVERAGE(Lipid!$G81:$H81)</f>
        <v>1.788</v>
      </c>
      <c r="J81">
        <f>Lipid!$I81/$I$46</f>
        <v>1.7491171262827343E-2</v>
      </c>
      <c r="K81">
        <f t="shared" si="20"/>
        <v>4.9053202703892449</v>
      </c>
      <c r="L81">
        <f t="shared" si="21"/>
        <v>6.2100516658418634E-2</v>
      </c>
    </row>
    <row r="82" spans="3:23">
      <c r="C82" t="s">
        <v>87</v>
      </c>
      <c r="D82" t="s">
        <v>107</v>
      </c>
      <c r="E82" t="s">
        <v>108</v>
      </c>
      <c r="F82">
        <v>278.42959999999999</v>
      </c>
      <c r="G82">
        <v>4.6500000000000004</v>
      </c>
      <c r="I82">
        <f>AVERAGE(Lipid!$G82:$H82)</f>
        <v>4.6500000000000004</v>
      </c>
      <c r="J82">
        <f>Lipid!$I82/$I$46</f>
        <v>4.5488784324467089E-2</v>
      </c>
      <c r="K82">
        <f t="shared" si="20"/>
        <v>12.665424023947642</v>
      </c>
      <c r="L82">
        <f t="shared" si="21"/>
        <v>0.16150302151098811</v>
      </c>
    </row>
    <row r="83" spans="3:23">
      <c r="C83" t="s">
        <v>88</v>
      </c>
      <c r="D83" t="s">
        <v>109</v>
      </c>
      <c r="E83" t="s">
        <v>110</v>
      </c>
      <c r="F83">
        <v>310.5145</v>
      </c>
      <c r="G83">
        <v>3.49</v>
      </c>
      <c r="I83">
        <f>AVERAGE(Lipid!$G83:$H83)</f>
        <v>3.49</v>
      </c>
      <c r="J83">
        <f>Lipid!$I83/$I$46</f>
        <v>3.4141044579008628E-2</v>
      </c>
      <c r="K83">
        <f t="shared" si="20"/>
        <v>10.601289386928574</v>
      </c>
      <c r="L83">
        <f t="shared" si="21"/>
        <v>0.12121409571469857</v>
      </c>
    </row>
    <row r="84" spans="3:23">
      <c r="C84" t="s">
        <v>89</v>
      </c>
      <c r="D84" t="s">
        <v>111</v>
      </c>
      <c r="E84" t="s">
        <v>112</v>
      </c>
      <c r="F84">
        <v>308.49860000000001</v>
      </c>
      <c r="G84">
        <v>0</v>
      </c>
      <c r="I84">
        <f>AVERAGE(Lipid!$G84:$H84)</f>
        <v>0</v>
      </c>
      <c r="J84">
        <f>Lipid!$I84/$I$46</f>
        <v>0</v>
      </c>
      <c r="K84">
        <f t="shared" si="20"/>
        <v>0</v>
      </c>
      <c r="L84">
        <f t="shared" si="21"/>
        <v>0</v>
      </c>
    </row>
    <row r="85" spans="3:23">
      <c r="C85" t="s">
        <v>90</v>
      </c>
      <c r="D85" t="s">
        <v>113</v>
      </c>
      <c r="E85" t="s">
        <v>114</v>
      </c>
      <c r="F85">
        <v>306.4828</v>
      </c>
      <c r="G85">
        <v>0</v>
      </c>
      <c r="I85">
        <f>AVERAGE(Lipid!$G85:$H85)</f>
        <v>0</v>
      </c>
      <c r="J85">
        <f>Lipid!$I85/$I$46</f>
        <v>0</v>
      </c>
      <c r="K85">
        <f t="shared" si="20"/>
        <v>0</v>
      </c>
      <c r="L85">
        <f t="shared" si="21"/>
        <v>0</v>
      </c>
    </row>
    <row r="86" spans="3:23">
      <c r="C86" t="s">
        <v>91</v>
      </c>
      <c r="D86" t="s">
        <v>115</v>
      </c>
      <c r="E86" t="s">
        <v>116</v>
      </c>
      <c r="F86">
        <v>304.46690000000001</v>
      </c>
      <c r="G86">
        <v>8.8800000000000008</v>
      </c>
      <c r="I86">
        <f>AVERAGE(Lipid!$G86:$H86)</f>
        <v>8.8800000000000008</v>
      </c>
      <c r="J86">
        <f>Lipid!$I86/$I$46</f>
        <v>8.6868904258337154E-2</v>
      </c>
      <c r="K86">
        <f t="shared" si="20"/>
        <v>26.448705985932712</v>
      </c>
      <c r="L86">
        <f t="shared" si="21"/>
        <v>0.30841867333711276</v>
      </c>
    </row>
    <row r="87" spans="3:23">
      <c r="C87" t="s">
        <v>92</v>
      </c>
      <c r="D87" t="s">
        <v>117</v>
      </c>
      <c r="E87" t="s">
        <v>118</v>
      </c>
      <c r="F87">
        <v>302.45100000000002</v>
      </c>
      <c r="G87">
        <v>28.36</v>
      </c>
      <c r="I87">
        <f>AVERAGE(Lipid!$G87:$H87)</f>
        <v>28.36</v>
      </c>
      <c r="J87">
        <f>Lipid!$I87/$I$46</f>
        <v>0.27743267170793257</v>
      </c>
      <c r="K87">
        <f t="shared" si="20"/>
        <v>83.909788990735919</v>
      </c>
      <c r="L87">
        <f t="shared" si="21"/>
        <v>0.98499477205411212</v>
      </c>
    </row>
    <row r="88" spans="3:23">
      <c r="C88" t="s">
        <v>31</v>
      </c>
      <c r="D88" t="s">
        <v>34</v>
      </c>
      <c r="E88" t="s">
        <v>34</v>
      </c>
      <c r="F88">
        <f t="shared" ref="F88:L88" si="22">SUM(F74:F87)</f>
        <v>3900.1993999999991</v>
      </c>
      <c r="G88">
        <f t="shared" si="22"/>
        <v>102.73799999999999</v>
      </c>
      <c r="H88">
        <f t="shared" si="22"/>
        <v>0</v>
      </c>
      <c r="I88">
        <f t="shared" si="22"/>
        <v>102.73799999999999</v>
      </c>
      <c r="J88">
        <f t="shared" si="22"/>
        <v>1.0050380051456129</v>
      </c>
      <c r="K88">
        <f t="shared" si="22"/>
        <v>281.65902965086133</v>
      </c>
      <c r="L88">
        <f t="shared" si="22"/>
        <v>3.5682790159130953</v>
      </c>
    </row>
    <row r="93" spans="3:23">
      <c r="C93" t="s">
        <v>60</v>
      </c>
      <c r="G93" t="s">
        <v>137</v>
      </c>
      <c r="H93" t="s">
        <v>76</v>
      </c>
      <c r="O93" t="s">
        <v>260</v>
      </c>
      <c r="Q93">
        <v>2.29</v>
      </c>
      <c r="R93">
        <f>AVERAGE(P93:Q93)</f>
        <v>2.29</v>
      </c>
      <c r="S93">
        <f>R93/$R$106*$P$17</f>
        <v>7.040252571322332E-4</v>
      </c>
      <c r="T93">
        <f>S93/$P$17</f>
        <v>2.5220264317180614E-2</v>
      </c>
      <c r="U93">
        <f>T93*100</f>
        <v>2.5220264317180616</v>
      </c>
      <c r="V93">
        <f>T93*0.5</f>
        <v>1.2610132158590307E-2</v>
      </c>
      <c r="W93">
        <f>T93*1.5</f>
        <v>3.7830396475770925E-2</v>
      </c>
    </row>
    <row r="94" spans="3:23">
      <c r="C94" t="s">
        <v>22</v>
      </c>
      <c r="D94" t="s">
        <v>23</v>
      </c>
      <c r="E94" t="s">
        <v>24</v>
      </c>
      <c r="F94" t="s">
        <v>25</v>
      </c>
      <c r="G94" t="s">
        <v>128</v>
      </c>
      <c r="H94" t="s">
        <v>128</v>
      </c>
      <c r="J94" t="s">
        <v>129</v>
      </c>
      <c r="K94" t="s">
        <v>130</v>
      </c>
      <c r="L94" t="s">
        <v>131</v>
      </c>
      <c r="O94" t="s">
        <v>261</v>
      </c>
      <c r="Q94">
        <v>12.47</v>
      </c>
      <c r="R94">
        <f t="shared" ref="R94:R105" si="23">AVERAGE(P94:Q94)</f>
        <v>12.47</v>
      </c>
      <c r="S94">
        <f>R94/$R$106*$P$17</f>
        <v>3.8337095879646056E-3</v>
      </c>
      <c r="T94">
        <f>S94/$P$17</f>
        <v>0.13733480176211452</v>
      </c>
      <c r="U94">
        <f t="shared" ref="U94:U105" si="24">T94*100</f>
        <v>13.733480176211451</v>
      </c>
      <c r="V94">
        <f>T94*0.5</f>
        <v>6.8667400881057258E-2</v>
      </c>
      <c r="W94">
        <f>T94*1.5</f>
        <v>0.20600220264317176</v>
      </c>
    </row>
    <row r="95" spans="3:23">
      <c r="C95" t="s">
        <v>80</v>
      </c>
      <c r="D95" t="s">
        <v>94</v>
      </c>
      <c r="E95" t="s">
        <v>95</v>
      </c>
      <c r="F95">
        <v>228.37090000000001</v>
      </c>
      <c r="G95">
        <v>1.23</v>
      </c>
      <c r="H95">
        <v>5.5</v>
      </c>
      <c r="I95">
        <v>8.1277533039647558</v>
      </c>
      <c r="J95" s="9">
        <f>AVERAGE(Lipid!$G95:$I95)</f>
        <v>4.952584434654919</v>
      </c>
      <c r="K95">
        <f>Lipid!$J95/$J$109</f>
        <v>4.3577257537701662E-2</v>
      </c>
      <c r="L95">
        <f t="shared" ref="L95:L108" si="25">K95*F95</f>
        <v>9.9517775234167125</v>
      </c>
    </row>
    <row r="96" spans="3:23">
      <c r="C96" t="s">
        <v>81</v>
      </c>
      <c r="D96" t="s">
        <v>96</v>
      </c>
      <c r="E96" t="s">
        <v>97</v>
      </c>
      <c r="F96">
        <v>256.42410000000001</v>
      </c>
      <c r="G96">
        <v>24.48</v>
      </c>
      <c r="H96">
        <v>52</v>
      </c>
      <c r="I96">
        <v>50.107378854625537</v>
      </c>
      <c r="J96" s="9">
        <f>AVERAGE(Lipid!$G96:$I96)</f>
        <v>42.195792951541847</v>
      </c>
      <c r="K96">
        <f>Lipid!$J96/$J$109</f>
        <v>0.37127624187289521</v>
      </c>
      <c r="L96">
        <f t="shared" si="25"/>
        <v>95.204176173639468</v>
      </c>
      <c r="O96" t="s">
        <v>262</v>
      </c>
      <c r="Q96">
        <v>0.14000000000000001</v>
      </c>
      <c r="R96">
        <f t="shared" si="23"/>
        <v>0.14000000000000001</v>
      </c>
      <c r="S96">
        <f t="shared" ref="S96:S105" si="26">R96/$R$106*$P$17</f>
        <v>4.3040845414197667E-5</v>
      </c>
      <c r="T96">
        <f t="shared" ref="T96:T105" si="27">S96/$P$17</f>
        <v>1.5418502202643172E-3</v>
      </c>
      <c r="U96">
        <f t="shared" si="24"/>
        <v>0.15418502202643172</v>
      </c>
      <c r="V96">
        <f t="shared" ref="V96:V105" si="28">T96*0.5</f>
        <v>7.709251101321586E-4</v>
      </c>
      <c r="W96">
        <f t="shared" ref="W96:W105" si="29">T96*1.5</f>
        <v>2.3127753303964758E-3</v>
      </c>
    </row>
    <row r="97" spans="3:23">
      <c r="C97" t="s">
        <v>82</v>
      </c>
      <c r="D97" t="s">
        <v>98</v>
      </c>
      <c r="E97" t="s">
        <v>99</v>
      </c>
      <c r="F97">
        <v>254.40819999999999</v>
      </c>
      <c r="G97">
        <v>27.36</v>
      </c>
      <c r="H97">
        <v>41.3</v>
      </c>
      <c r="I97">
        <v>28.840859030837002</v>
      </c>
      <c r="J97" s="9">
        <f>AVERAGE(Lipid!$G97:$I97)</f>
        <v>32.500286343612338</v>
      </c>
      <c r="K97">
        <f>Lipid!$J97/$J$109</f>
        <v>0.28596652247551735</v>
      </c>
      <c r="L97">
        <f t="shared" si="25"/>
        <v>72.752228243255914</v>
      </c>
      <c r="O97" t="s">
        <v>237</v>
      </c>
      <c r="P97">
        <v>1.47</v>
      </c>
      <c r="Q97">
        <v>10.64</v>
      </c>
      <c r="R97">
        <f t="shared" si="23"/>
        <v>6.0550000000000006</v>
      </c>
      <c r="S97">
        <f t="shared" si="26"/>
        <v>1.8615165641640489E-3</v>
      </c>
      <c r="T97">
        <f t="shared" si="27"/>
        <v>6.6685022026431715E-2</v>
      </c>
      <c r="U97">
        <f t="shared" si="24"/>
        <v>6.6685022026431717</v>
      </c>
      <c r="V97">
        <f t="shared" si="28"/>
        <v>3.3342511013215857E-2</v>
      </c>
      <c r="W97">
        <f t="shared" si="29"/>
        <v>0.10002753303964756</v>
      </c>
    </row>
    <row r="98" spans="3:23">
      <c r="C98" t="s">
        <v>83</v>
      </c>
      <c r="D98" t="s">
        <v>208</v>
      </c>
      <c r="E98" t="s">
        <v>100</v>
      </c>
      <c r="F98">
        <v>252.39230000000001</v>
      </c>
      <c r="G98">
        <v>1.47</v>
      </c>
      <c r="I98">
        <v>7.7092511013215861E-2</v>
      </c>
      <c r="J98" s="9">
        <f>AVERAGE(Lipid!$G98:$I98)</f>
        <v>0.77354625550660794</v>
      </c>
      <c r="K98">
        <f>Lipid!$J98/$J$109</f>
        <v>6.806350267884927E-3</v>
      </c>
      <c r="L98">
        <f t="shared" si="25"/>
        <v>1.7178703987170929</v>
      </c>
      <c r="O98" t="s">
        <v>238</v>
      </c>
      <c r="P98">
        <v>15.33</v>
      </c>
      <c r="Q98">
        <v>60.34</v>
      </c>
      <c r="R98">
        <f t="shared" si="23"/>
        <v>37.835000000000001</v>
      </c>
      <c r="S98">
        <f t="shared" si="26"/>
        <v>1.1631788473186917E-2</v>
      </c>
      <c r="T98">
        <f t="shared" si="27"/>
        <v>0.41668502202643165</v>
      </c>
      <c r="U98">
        <f t="shared" si="24"/>
        <v>41.668502202643168</v>
      </c>
      <c r="V98">
        <f t="shared" si="28"/>
        <v>0.20834251101321583</v>
      </c>
      <c r="W98">
        <f t="shared" si="29"/>
        <v>0.62502753303964753</v>
      </c>
    </row>
    <row r="99" spans="3:23">
      <c r="C99" t="s">
        <v>84</v>
      </c>
      <c r="D99" t="s">
        <v>120</v>
      </c>
      <c r="E99" t="s">
        <v>119</v>
      </c>
      <c r="F99">
        <v>250.37639999999999</v>
      </c>
      <c r="G99">
        <v>1.04</v>
      </c>
      <c r="J99" s="9">
        <f>AVERAGE(Lipid!$G99:$I99)</f>
        <v>1.04</v>
      </c>
      <c r="K99">
        <f>Lipid!$J99/$J$109</f>
        <v>9.1508480950042628E-3</v>
      </c>
      <c r="L99">
        <f t="shared" si="25"/>
        <v>2.2911564029740252</v>
      </c>
      <c r="O99" t="s">
        <v>263</v>
      </c>
      <c r="P99">
        <v>2.44</v>
      </c>
      <c r="Q99">
        <v>18.7</v>
      </c>
      <c r="R99">
        <f t="shared" si="23"/>
        <v>10.57</v>
      </c>
      <c r="S99">
        <f t="shared" si="26"/>
        <v>3.2495838287719234E-3</v>
      </c>
      <c r="T99">
        <f t="shared" si="27"/>
        <v>0.11640969162995593</v>
      </c>
      <c r="U99">
        <f t="shared" si="24"/>
        <v>11.640969162995592</v>
      </c>
      <c r="V99">
        <f t="shared" si="28"/>
        <v>5.8204845814977965E-2</v>
      </c>
      <c r="W99">
        <f t="shared" si="29"/>
        <v>0.17461453744493388</v>
      </c>
    </row>
    <row r="100" spans="3:23">
      <c r="C100" t="s">
        <v>93</v>
      </c>
      <c r="D100" t="s">
        <v>101</v>
      </c>
      <c r="E100" t="s">
        <v>102</v>
      </c>
      <c r="F100">
        <v>284.47719999999998</v>
      </c>
      <c r="G100">
        <v>0.61</v>
      </c>
      <c r="H100">
        <v>0.6</v>
      </c>
      <c r="J100" s="9">
        <f>AVERAGE(Lipid!$G100:$I100)</f>
        <v>0.60499999999999998</v>
      </c>
      <c r="K100">
        <f>Lipid!$J100/$J$109</f>
        <v>5.3233299014207496E-3</v>
      </c>
      <c r="L100">
        <f t="shared" si="25"/>
        <v>1.5143659850324507</v>
      </c>
      <c r="O100" t="s">
        <v>264</v>
      </c>
      <c r="Q100">
        <v>13.82</v>
      </c>
      <c r="R100">
        <f t="shared" si="23"/>
        <v>13.82</v>
      </c>
      <c r="S100">
        <f t="shared" si="26"/>
        <v>4.2487463116015122E-3</v>
      </c>
      <c r="T100">
        <f t="shared" si="27"/>
        <v>0.15220264317180615</v>
      </c>
      <c r="U100">
        <f t="shared" si="24"/>
        <v>15.220264317180614</v>
      </c>
      <c r="V100">
        <f t="shared" si="28"/>
        <v>7.6101321585903076E-2</v>
      </c>
      <c r="W100">
        <f t="shared" si="29"/>
        <v>0.22830396475770923</v>
      </c>
    </row>
    <row r="101" spans="3:23">
      <c r="C101" t="s">
        <v>85</v>
      </c>
      <c r="D101" t="s">
        <v>103</v>
      </c>
      <c r="E101" t="s">
        <v>104</v>
      </c>
      <c r="F101">
        <v>282.46140000000003</v>
      </c>
      <c r="G101">
        <v>25.9</v>
      </c>
      <c r="I101">
        <v>1.2004405286343611</v>
      </c>
      <c r="J101" s="9">
        <f>AVERAGE(Lipid!$G101:$I101)</f>
        <v>13.550220264317179</v>
      </c>
      <c r="K101">
        <f>Lipid!$J101/$J$109</f>
        <v>0.11922693008905291</v>
      </c>
      <c r="L101">
        <f t="shared" si="25"/>
        <v>33.677005590656016</v>
      </c>
      <c r="O101" t="s">
        <v>258</v>
      </c>
      <c r="Q101">
        <v>3.33</v>
      </c>
      <c r="R101">
        <f t="shared" si="23"/>
        <v>3.33</v>
      </c>
      <c r="S101">
        <f t="shared" si="26"/>
        <v>1.0237572516377017E-3</v>
      </c>
      <c r="T101">
        <f t="shared" si="27"/>
        <v>3.6674008810572693E-2</v>
      </c>
      <c r="U101">
        <f t="shared" si="24"/>
        <v>3.6674008810572691</v>
      </c>
      <c r="V101">
        <f t="shared" si="28"/>
        <v>1.8337004405286347E-2</v>
      </c>
      <c r="W101">
        <f t="shared" si="29"/>
        <v>5.5011013215859036E-2</v>
      </c>
    </row>
    <row r="102" spans="3:23">
      <c r="C102" t="s">
        <v>86</v>
      </c>
      <c r="D102" t="s">
        <v>105</v>
      </c>
      <c r="E102" t="s">
        <v>106</v>
      </c>
      <c r="F102">
        <v>280.44549999999998</v>
      </c>
      <c r="G102">
        <v>7.42</v>
      </c>
      <c r="I102">
        <v>2.3237885462555066</v>
      </c>
      <c r="J102" s="9">
        <f>AVERAGE(Lipid!$G102:$I102)</f>
        <v>4.8718942731277535</v>
      </c>
      <c r="K102">
        <f>Lipid!$J102/$J$109</f>
        <v>4.2867273488762771E-2</v>
      </c>
      <c r="L102">
        <f t="shared" si="25"/>
        <v>12.021933947192819</v>
      </c>
      <c r="O102" t="s">
        <v>265</v>
      </c>
      <c r="Q102">
        <v>2.1800000000000002</v>
      </c>
      <c r="R102">
        <f t="shared" si="23"/>
        <v>2.1800000000000002</v>
      </c>
      <c r="S102">
        <f t="shared" si="26"/>
        <v>6.7020745002107783E-4</v>
      </c>
      <c r="T102">
        <f t="shared" si="27"/>
        <v>2.4008810572687219E-2</v>
      </c>
      <c r="U102">
        <f t="shared" si="24"/>
        <v>2.4008810572687218</v>
      </c>
      <c r="V102">
        <f t="shared" si="28"/>
        <v>1.200440528634361E-2</v>
      </c>
      <c r="W102">
        <f t="shared" si="29"/>
        <v>3.6013215859030827E-2</v>
      </c>
    </row>
    <row r="103" spans="3:23">
      <c r="C103" t="s">
        <v>87</v>
      </c>
      <c r="D103" t="s">
        <v>107</v>
      </c>
      <c r="E103" t="s">
        <v>108</v>
      </c>
      <c r="F103">
        <v>278.42959999999999</v>
      </c>
      <c r="G103">
        <v>1.04</v>
      </c>
      <c r="I103">
        <v>9.2015418502202628</v>
      </c>
      <c r="J103" s="9">
        <f>AVERAGE(Lipid!$G103:$I103)</f>
        <v>5.120770925110131</v>
      </c>
      <c r="K103">
        <f>Lipid!$J103/$J$109</f>
        <v>4.5057112370189674E-2</v>
      </c>
      <c r="L103">
        <f t="shared" si="25"/>
        <v>12.545233774386963</v>
      </c>
      <c r="O103" t="s">
        <v>266</v>
      </c>
      <c r="Q103">
        <v>1</v>
      </c>
      <c r="R103">
        <f t="shared" si="23"/>
        <v>1</v>
      </c>
      <c r="S103">
        <f t="shared" si="26"/>
        <v>3.0743461010141187E-4</v>
      </c>
      <c r="T103">
        <f t="shared" si="27"/>
        <v>1.1013215859030836E-2</v>
      </c>
      <c r="U103">
        <f t="shared" si="24"/>
        <v>1.1013215859030836</v>
      </c>
      <c r="V103">
        <f t="shared" si="28"/>
        <v>5.5066079295154179E-3</v>
      </c>
      <c r="W103">
        <f t="shared" si="29"/>
        <v>1.6519823788546252E-2</v>
      </c>
    </row>
    <row r="104" spans="3:23">
      <c r="C104" t="s">
        <v>88</v>
      </c>
      <c r="D104" t="s">
        <v>109</v>
      </c>
      <c r="E104" t="s">
        <v>110</v>
      </c>
      <c r="F104">
        <v>310.5145</v>
      </c>
      <c r="G104">
        <v>0.37</v>
      </c>
      <c r="J104" s="9">
        <f>AVERAGE(Lipid!$G104:$I104)</f>
        <v>0.37</v>
      </c>
      <c r="K104">
        <f>Lipid!$J104/$J$109</f>
        <v>3.2555901876457475E-3</v>
      </c>
      <c r="L104">
        <f t="shared" si="25"/>
        <v>1.0109079593217254</v>
      </c>
      <c r="O104" t="s">
        <v>267</v>
      </c>
      <c r="Q104">
        <v>0.89</v>
      </c>
      <c r="R104">
        <f t="shared" si="23"/>
        <v>0.89</v>
      </c>
      <c r="S104">
        <f t="shared" si="26"/>
        <v>2.7361680299025655E-4</v>
      </c>
      <c r="T104">
        <f t="shared" si="27"/>
        <v>9.8017621145374441E-3</v>
      </c>
      <c r="U104">
        <f t="shared" si="24"/>
        <v>0.98017621145374445</v>
      </c>
      <c r="V104">
        <f t="shared" si="28"/>
        <v>4.900881057268722E-3</v>
      </c>
      <c r="W104">
        <f t="shared" si="29"/>
        <v>1.4702643171806166E-2</v>
      </c>
    </row>
    <row r="105" spans="3:23">
      <c r="C105" t="s">
        <v>89</v>
      </c>
      <c r="D105" t="s">
        <v>111</v>
      </c>
      <c r="E105" t="s">
        <v>112</v>
      </c>
      <c r="F105">
        <v>308.49860000000001</v>
      </c>
      <c r="G105">
        <v>0.18</v>
      </c>
      <c r="J105" s="9">
        <f>AVERAGE(Lipid!$G105:$I105)</f>
        <v>0.18</v>
      </c>
      <c r="K105">
        <f>Lipid!$J105/$J$109</f>
        <v>1.5838006318276609E-3</v>
      </c>
      <c r="L105">
        <f t="shared" si="25"/>
        <v>0.48860027759794888</v>
      </c>
      <c r="O105" t="s">
        <v>245</v>
      </c>
      <c r="P105">
        <v>0.22</v>
      </c>
      <c r="R105">
        <f t="shared" si="23"/>
        <v>0.22</v>
      </c>
      <c r="S105">
        <f t="shared" si="26"/>
        <v>6.7635614222310612E-5</v>
      </c>
      <c r="T105">
        <f t="shared" si="27"/>
        <v>2.422907488986784E-3</v>
      </c>
      <c r="U105">
        <f t="shared" si="24"/>
        <v>0.24229074889867841</v>
      </c>
      <c r="V105">
        <f t="shared" si="28"/>
        <v>1.211453744493392E-3</v>
      </c>
      <c r="W105">
        <f t="shared" si="29"/>
        <v>3.6343612334801762E-3</v>
      </c>
    </row>
    <row r="106" spans="3:23">
      <c r="C106" t="s">
        <v>90</v>
      </c>
      <c r="D106" t="s">
        <v>113</v>
      </c>
      <c r="E106" t="s">
        <v>114</v>
      </c>
      <c r="F106">
        <v>306.4828</v>
      </c>
      <c r="G106">
        <v>0.25</v>
      </c>
      <c r="J106" s="9">
        <f>AVERAGE(Lipid!$G106:$I106)</f>
        <v>0.25</v>
      </c>
      <c r="K106">
        <f>Lipid!$J106/$J$109</f>
        <v>2.1997230997606401E-3</v>
      </c>
      <c r="L106">
        <f t="shared" si="25"/>
        <v>0.67417729483932032</v>
      </c>
      <c r="P106">
        <f>SUM(P93:P105)</f>
        <v>19.46</v>
      </c>
      <c r="Q106">
        <f t="shared" ref="Q106:U106" si="30">SUM(Q93:Q105)</f>
        <v>125.80000000000001</v>
      </c>
      <c r="R106">
        <f t="shared" si="30"/>
        <v>90.800000000000011</v>
      </c>
      <c r="S106">
        <f t="shared" si="30"/>
        <v>2.7915062597208197E-2</v>
      </c>
      <c r="T106">
        <f t="shared" si="30"/>
        <v>0.99999999999999989</v>
      </c>
      <c r="U106">
        <f t="shared" si="30"/>
        <v>99.999999999999972</v>
      </c>
      <c r="V106">
        <f>SUM(V93:V105)</f>
        <v>0.49999999999999994</v>
      </c>
      <c r="W106">
        <f>SUM(W93:W105)</f>
        <v>1.4999999999999998</v>
      </c>
    </row>
    <row r="107" spans="3:23">
      <c r="C107" t="s">
        <v>91</v>
      </c>
      <c r="D107" t="s">
        <v>115</v>
      </c>
      <c r="E107" t="s">
        <v>116</v>
      </c>
      <c r="F107">
        <v>304.46690000000001</v>
      </c>
      <c r="G107">
        <v>3.07</v>
      </c>
      <c r="J107" s="9">
        <f>AVERAGE(Lipid!$G107:$I107)</f>
        <v>3.07</v>
      </c>
      <c r="K107">
        <f>Lipid!$J107/$J$109</f>
        <v>2.7012599665060661E-2</v>
      </c>
      <c r="L107">
        <f t="shared" si="25"/>
        <v>8.2244424809620575</v>
      </c>
    </row>
    <row r="108" spans="3:23">
      <c r="C108" t="s">
        <v>92</v>
      </c>
      <c r="D108" t="s">
        <v>117</v>
      </c>
      <c r="E108" t="s">
        <v>118</v>
      </c>
      <c r="F108">
        <v>302.45100000000002</v>
      </c>
      <c r="G108">
        <v>8.2200000000000006</v>
      </c>
      <c r="I108">
        <v>0.1211453744493392</v>
      </c>
      <c r="J108" s="9">
        <f>AVERAGE(Lipid!$G108:$I108)</f>
        <v>4.17057268722467</v>
      </c>
      <c r="K108">
        <f>Lipid!$J108/$J$109</f>
        <v>3.6696420317275658E-2</v>
      </c>
      <c r="L108">
        <f t="shared" si="25"/>
        <v>11.098869021380342</v>
      </c>
    </row>
    <row r="109" spans="3:23">
      <c r="C109" t="s">
        <v>31</v>
      </c>
      <c r="D109" t="s">
        <v>34</v>
      </c>
      <c r="E109" t="s">
        <v>34</v>
      </c>
      <c r="F109">
        <f t="shared" ref="F109:G109" si="31">SUM(F95:F108)</f>
        <v>3900.1993999999991</v>
      </c>
      <c r="G109">
        <f t="shared" si="31"/>
        <v>102.64000000000001</v>
      </c>
      <c r="H109">
        <f>SUM(H95:H108)</f>
        <v>99.399999999999991</v>
      </c>
      <c r="J109" s="9">
        <f>SUM(J95:J108)</f>
        <v>113.65066813509546</v>
      </c>
      <c r="K109">
        <f>SUM(K95:K108)</f>
        <v>0.99999999999999978</v>
      </c>
      <c r="L109">
        <f>SUM(L95:L108)</f>
        <v>263.17274507337282</v>
      </c>
    </row>
    <row r="112" spans="3:23">
      <c r="C112" t="s">
        <v>65</v>
      </c>
      <c r="G112" t="s">
        <v>137</v>
      </c>
      <c r="H112" t="s">
        <v>76</v>
      </c>
    </row>
    <row r="113" spans="3:22">
      <c r="C113" t="s">
        <v>22</v>
      </c>
      <c r="D113" t="s">
        <v>23</v>
      </c>
      <c r="E113" t="s">
        <v>24</v>
      </c>
      <c r="F113" t="s">
        <v>25</v>
      </c>
      <c r="G113" t="s">
        <v>128</v>
      </c>
      <c r="H113" t="s">
        <v>128</v>
      </c>
      <c r="K113" t="s">
        <v>129</v>
      </c>
      <c r="L113" t="s">
        <v>130</v>
      </c>
      <c r="M113" t="s">
        <v>131</v>
      </c>
      <c r="O113" t="s">
        <v>236</v>
      </c>
      <c r="P113">
        <v>0</v>
      </c>
      <c r="Q113">
        <v>13.54</v>
      </c>
      <c r="R113">
        <f>AVERAGE(P113:Q113)/1000</f>
        <v>6.77E-3</v>
      </c>
      <c r="S113">
        <f t="shared" ref="S113:S127" si="32">R113/$R$128*$P$22</f>
        <v>6.4931967130669862E-3</v>
      </c>
      <c r="T113">
        <f t="shared" ref="T113:T119" si="33">S113/$P$22</f>
        <v>9.0050545357807932E-2</v>
      </c>
      <c r="U113">
        <f>T113*0.5</f>
        <v>4.5025272678903966E-2</v>
      </c>
      <c r="V113">
        <f>T113*1.5</f>
        <v>0.1350758180367119</v>
      </c>
    </row>
    <row r="114" spans="3:22">
      <c r="C114" t="s">
        <v>254</v>
      </c>
      <c r="D114" t="s">
        <v>255</v>
      </c>
      <c r="E114" t="s">
        <v>256</v>
      </c>
      <c r="F114">
        <v>200.31780000000001</v>
      </c>
      <c r="I114">
        <v>5.9523809523809503E-3</v>
      </c>
      <c r="J114">
        <f>I114*100</f>
        <v>0.59523809523809501</v>
      </c>
      <c r="K114">
        <f>AVERAGE(G114:H114,J114)</f>
        <v>0.59523809523809501</v>
      </c>
      <c r="L114">
        <f>K114/$K$127</f>
        <v>5.5972268807294142E-3</v>
      </c>
      <c r="M114">
        <f t="shared" ref="M114:M126" si="34">L114*F114</f>
        <v>1.1212241748485787</v>
      </c>
      <c r="O114" t="s">
        <v>253</v>
      </c>
      <c r="P114">
        <v>1.79</v>
      </c>
      <c r="Q114">
        <v>0</v>
      </c>
      <c r="R114">
        <f>AVERAGE(P114:Q114)/1000</f>
        <v>8.9500000000000007E-4</v>
      </c>
      <c r="S114">
        <f t="shared" si="32"/>
        <v>8.5840636014696491E-4</v>
      </c>
      <c r="T114">
        <f t="shared" si="33"/>
        <v>1.1904761904761906E-2</v>
      </c>
      <c r="U114">
        <f t="shared" ref="U114:U127" si="35">T114*0.5</f>
        <v>5.9523809523809529E-3</v>
      </c>
      <c r="V114">
        <f t="shared" ref="V114:V127" si="36">T114*1.5</f>
        <v>1.785714285714286E-2</v>
      </c>
    </row>
    <row r="115" spans="3:22">
      <c r="C115" t="s">
        <v>80</v>
      </c>
      <c r="D115" t="s">
        <v>94</v>
      </c>
      <c r="E115" t="s">
        <v>95</v>
      </c>
      <c r="F115">
        <v>228.37090000000001</v>
      </c>
      <c r="G115">
        <v>8.4600000000000009</v>
      </c>
      <c r="H115">
        <v>20</v>
      </c>
      <c r="I115">
        <v>5.1376695929768554E-2</v>
      </c>
      <c r="J115">
        <f t="shared" ref="J115:J126" si="37">I115*100</f>
        <v>5.137669592976855</v>
      </c>
      <c r="K115">
        <f t="shared" ref="K115:K126" si="38">AVERAGE(G115:H115,J115)</f>
        <v>11.199223197658952</v>
      </c>
      <c r="L115">
        <f t="shared" ref="L115:L126" si="39">K115/$K$127</f>
        <v>0.10531011645037823</v>
      </c>
      <c r="M115">
        <f t="shared" si="34"/>
        <v>24.049766072877681</v>
      </c>
      <c r="O115" t="s">
        <v>237</v>
      </c>
      <c r="P115">
        <v>0</v>
      </c>
      <c r="Q115">
        <v>1.81</v>
      </c>
      <c r="R115">
        <f t="shared" ref="R115:R127" si="40">AVERAGE(P115:Q115)/1000</f>
        <v>9.0499999999999999E-4</v>
      </c>
      <c r="S115">
        <f t="shared" si="32"/>
        <v>8.6799749266257341E-4</v>
      </c>
      <c r="T115">
        <f t="shared" si="33"/>
        <v>1.2037776004256451E-2</v>
      </c>
      <c r="U115">
        <f t="shared" si="35"/>
        <v>6.0188880021282256E-3</v>
      </c>
      <c r="V115">
        <f t="shared" si="36"/>
        <v>1.8056664006384678E-2</v>
      </c>
    </row>
    <row r="116" spans="3:22">
      <c r="C116" t="s">
        <v>81</v>
      </c>
      <c r="D116" t="s">
        <v>96</v>
      </c>
      <c r="E116" t="s">
        <v>97</v>
      </c>
      <c r="F116">
        <v>256.42410000000001</v>
      </c>
      <c r="G116">
        <v>12.01</v>
      </c>
      <c r="H116">
        <v>11.8</v>
      </c>
      <c r="I116">
        <v>0.1052806597499335</v>
      </c>
      <c r="J116">
        <f t="shared" si="37"/>
        <v>10.52806597499335</v>
      </c>
      <c r="K116">
        <f t="shared" si="38"/>
        <v>11.446021991664452</v>
      </c>
      <c r="L116">
        <f t="shared" si="39"/>
        <v>0.10763084970819606</v>
      </c>
      <c r="M116">
        <f t="shared" si="34"/>
        <v>27.599143768659438</v>
      </c>
      <c r="O116" t="s">
        <v>238</v>
      </c>
      <c r="P116">
        <v>3.65</v>
      </c>
      <c r="Q116">
        <v>2.12</v>
      </c>
      <c r="R116">
        <f t="shared" si="40"/>
        <v>2.885E-3</v>
      </c>
      <c r="S116">
        <f t="shared" si="32"/>
        <v>2.7670417307530657E-3</v>
      </c>
      <c r="T116">
        <f t="shared" si="33"/>
        <v>3.8374567704176646E-2</v>
      </c>
      <c r="U116">
        <f t="shared" si="35"/>
        <v>1.9187283852088323E-2</v>
      </c>
      <c r="V116">
        <f t="shared" si="36"/>
        <v>5.7561851556264969E-2</v>
      </c>
    </row>
    <row r="117" spans="3:22">
      <c r="C117" t="s">
        <v>82</v>
      </c>
      <c r="D117" t="s">
        <v>98</v>
      </c>
      <c r="E117" t="s">
        <v>99</v>
      </c>
      <c r="F117">
        <v>254.40819999999999</v>
      </c>
      <c r="G117">
        <v>15.32</v>
      </c>
      <c r="H117">
        <v>13</v>
      </c>
      <c r="I117">
        <v>8.758978451715882E-2</v>
      </c>
      <c r="J117">
        <f t="shared" si="37"/>
        <v>8.7589784517158815</v>
      </c>
      <c r="K117">
        <f t="shared" si="38"/>
        <v>12.359659483905295</v>
      </c>
      <c r="L117">
        <f t="shared" si="39"/>
        <v>0.11622209474396133</v>
      </c>
      <c r="M117">
        <f t="shared" si="34"/>
        <v>29.567853924040662</v>
      </c>
      <c r="O117" t="s">
        <v>239</v>
      </c>
      <c r="P117">
        <v>0</v>
      </c>
      <c r="Q117">
        <v>18.27</v>
      </c>
      <c r="R117">
        <f t="shared" si="40"/>
        <v>9.134999999999999E-3</v>
      </c>
      <c r="S117">
        <f t="shared" si="32"/>
        <v>8.7614995530084071E-3</v>
      </c>
      <c r="T117">
        <f t="shared" si="33"/>
        <v>0.12150837988826815</v>
      </c>
      <c r="U117">
        <f t="shared" si="35"/>
        <v>6.0754189944134077E-2</v>
      </c>
      <c r="V117">
        <f t="shared" si="36"/>
        <v>0.18226256983240224</v>
      </c>
    </row>
    <row r="118" spans="3:22">
      <c r="C118" t="s">
        <v>83</v>
      </c>
      <c r="D118" t="s">
        <v>208</v>
      </c>
      <c r="E118" t="s">
        <v>100</v>
      </c>
      <c r="F118">
        <v>252.39230000000001</v>
      </c>
      <c r="G118">
        <v>0.98</v>
      </c>
      <c r="I118">
        <v>5.1310188880021285E-2</v>
      </c>
      <c r="J118">
        <f t="shared" si="37"/>
        <v>5.1310188880021288</v>
      </c>
      <c r="K118">
        <f t="shared" si="38"/>
        <v>3.0555094440010642</v>
      </c>
      <c r="L118">
        <f t="shared" si="39"/>
        <v>2.8731997718399387E-2</v>
      </c>
      <c r="M118">
        <f t="shared" si="34"/>
        <v>7.2517349877415738</v>
      </c>
      <c r="O118" t="s">
        <v>240</v>
      </c>
      <c r="P118">
        <v>0</v>
      </c>
      <c r="Q118">
        <v>2.5499999999999998</v>
      </c>
      <c r="R118">
        <f>AVERAGE(P118:Q118)/1000</f>
        <v>1.2749999999999999E-3</v>
      </c>
      <c r="S118">
        <f t="shared" si="32"/>
        <v>1.2228693957400895E-3</v>
      </c>
      <c r="T118">
        <f t="shared" si="33"/>
        <v>1.6959297685554667E-2</v>
      </c>
      <c r="U118">
        <f t="shared" si="35"/>
        <v>8.4796488427773334E-3</v>
      </c>
      <c r="V118">
        <f t="shared" si="36"/>
        <v>2.5438946528332E-2</v>
      </c>
    </row>
    <row r="119" spans="3:22">
      <c r="C119" t="s">
        <v>84</v>
      </c>
      <c r="D119" t="s">
        <v>120</v>
      </c>
      <c r="E119" t="s">
        <v>119</v>
      </c>
      <c r="F119">
        <v>250.37639999999999</v>
      </c>
      <c r="G119">
        <v>0.49</v>
      </c>
      <c r="I119">
        <v>0.11425911146581538</v>
      </c>
      <c r="J119">
        <f t="shared" si="37"/>
        <v>11.425911146581539</v>
      </c>
      <c r="K119">
        <f t="shared" si="38"/>
        <v>5.9579555732907696</v>
      </c>
      <c r="L119">
        <f t="shared" si="39"/>
        <v>5.6024688869544759E-2</v>
      </c>
      <c r="M119">
        <f t="shared" si="34"/>
        <v>14.027259910276685</v>
      </c>
      <c r="O119" t="s">
        <v>241</v>
      </c>
      <c r="P119">
        <v>9.64</v>
      </c>
      <c r="Q119">
        <v>5.81</v>
      </c>
      <c r="R119">
        <f t="shared" si="40"/>
        <v>7.7249999999999992E-3</v>
      </c>
      <c r="S119">
        <f t="shared" si="32"/>
        <v>7.4091498683076015E-3</v>
      </c>
      <c r="T119">
        <f t="shared" si="33"/>
        <v>0.10275339185953711</v>
      </c>
      <c r="U119">
        <f t="shared" si="35"/>
        <v>5.1376695929768554E-2</v>
      </c>
      <c r="V119">
        <f t="shared" si="36"/>
        <v>0.15413008778930565</v>
      </c>
    </row>
    <row r="120" spans="3:22">
      <c r="C120" t="s">
        <v>93</v>
      </c>
      <c r="D120" t="s">
        <v>101</v>
      </c>
      <c r="E120" t="s">
        <v>102</v>
      </c>
      <c r="F120">
        <v>284.47719999999998</v>
      </c>
      <c r="G120">
        <v>0.86</v>
      </c>
      <c r="J120">
        <f t="shared" si="37"/>
        <v>0</v>
      </c>
      <c r="K120">
        <f t="shared" si="38"/>
        <v>0.43</v>
      </c>
      <c r="L120">
        <f t="shared" si="39"/>
        <v>4.0434366986389306E-3</v>
      </c>
      <c r="M120">
        <f t="shared" si="34"/>
        <v>1.1502655504060468</v>
      </c>
      <c r="O120" t="s">
        <v>242</v>
      </c>
      <c r="P120">
        <v>0</v>
      </c>
      <c r="Q120">
        <v>1.89</v>
      </c>
      <c r="R120">
        <f t="shared" si="40"/>
        <v>9.4499999999999998E-4</v>
      </c>
      <c r="S120">
        <f t="shared" si="32"/>
        <v>9.0636202272500761E-4</v>
      </c>
      <c r="T120">
        <f>S121/$P$22</f>
        <v>1.8555466879489228E-2</v>
      </c>
      <c r="U120" t="e">
        <f>#REF!*0.5</f>
        <v>#REF!</v>
      </c>
      <c r="V120" t="e">
        <f>#REF!*1.5</f>
        <v>#REF!</v>
      </c>
    </row>
    <row r="121" spans="3:22">
      <c r="C121" t="s">
        <v>85</v>
      </c>
      <c r="D121" t="s">
        <v>103</v>
      </c>
      <c r="E121" t="s">
        <v>104</v>
      </c>
      <c r="F121">
        <v>282.46140000000003</v>
      </c>
      <c r="G121">
        <v>3.68</v>
      </c>
      <c r="I121">
        <v>9.2777334397446138E-3</v>
      </c>
      <c r="J121">
        <f t="shared" si="37"/>
        <v>0.92777334397446143</v>
      </c>
      <c r="K121">
        <f t="shared" si="38"/>
        <v>2.3038866719872306</v>
      </c>
      <c r="L121">
        <f t="shared" si="39"/>
        <v>2.1664232369809956E-2</v>
      </c>
      <c r="M121">
        <f t="shared" si="34"/>
        <v>6.1193094051018386</v>
      </c>
      <c r="O121" t="s">
        <v>243</v>
      </c>
      <c r="P121">
        <v>0</v>
      </c>
      <c r="Q121">
        <v>2.79</v>
      </c>
      <c r="R121">
        <f>AVERAGE(P121:Q121)/1000</f>
        <v>1.395E-3</v>
      </c>
      <c r="S121">
        <f t="shared" si="32"/>
        <v>1.3379629859273923E-3</v>
      </c>
      <c r="U121">
        <f>T120*0.5</f>
        <v>9.2777334397446138E-3</v>
      </c>
      <c r="V121">
        <f>T120*1.5</f>
        <v>2.7833200319233843E-2</v>
      </c>
    </row>
    <row r="122" spans="3:22">
      <c r="C122" t="s">
        <v>86</v>
      </c>
      <c r="D122" t="s">
        <v>105</v>
      </c>
      <c r="E122" t="s">
        <v>106</v>
      </c>
      <c r="F122">
        <v>280.44549999999998</v>
      </c>
      <c r="G122">
        <v>1.96</v>
      </c>
      <c r="H122">
        <v>0.6</v>
      </c>
      <c r="I122">
        <v>1.76243681830274E-2</v>
      </c>
      <c r="J122">
        <f t="shared" si="37"/>
        <v>1.7624368183027399</v>
      </c>
      <c r="K122">
        <f t="shared" si="38"/>
        <v>1.4408122727675801</v>
      </c>
      <c r="L122">
        <f t="shared" si="39"/>
        <v>1.3548449347808833E-2</v>
      </c>
      <c r="M122">
        <f t="shared" si="34"/>
        <v>3.7996016515709217</v>
      </c>
      <c r="O122" t="s">
        <v>244</v>
      </c>
      <c r="P122">
        <v>5.03</v>
      </c>
      <c r="Q122">
        <v>9.1300000000000008</v>
      </c>
      <c r="R122">
        <f t="shared" si="40"/>
        <v>7.0800000000000004E-3</v>
      </c>
      <c r="S122">
        <f t="shared" si="32"/>
        <v>6.7905218210508513E-3</v>
      </c>
      <c r="T122">
        <f t="shared" ref="T122:T127" si="41">S122/$P$22</f>
        <v>9.417398244213887E-2</v>
      </c>
      <c r="U122">
        <f t="shared" si="35"/>
        <v>4.7086991221069435E-2</v>
      </c>
      <c r="V122">
        <f t="shared" si="36"/>
        <v>0.14126097366320831</v>
      </c>
    </row>
    <row r="123" spans="3:22">
      <c r="C123" t="s">
        <v>87</v>
      </c>
      <c r="D123" t="s">
        <v>107</v>
      </c>
      <c r="E123" t="s">
        <v>108</v>
      </c>
      <c r="F123">
        <v>278.42959999999999</v>
      </c>
      <c r="G123">
        <v>1.35</v>
      </c>
      <c r="I123">
        <v>6.0754189944134084E-2</v>
      </c>
      <c r="J123">
        <f>I123*100</f>
        <v>6.0754189944134085</v>
      </c>
      <c r="K123">
        <f>AVERAGE(G123:H123,J123)</f>
        <v>3.7127094972067045</v>
      </c>
      <c r="L123">
        <f t="shared" si="39"/>
        <v>3.4911874028816001E-2</v>
      </c>
      <c r="M123">
        <f t="shared" si="34"/>
        <v>9.7204991210936278</v>
      </c>
      <c r="O123" t="s">
        <v>245</v>
      </c>
      <c r="P123">
        <v>10.6</v>
      </c>
      <c r="Q123">
        <v>15.29</v>
      </c>
      <c r="R123">
        <f t="shared" si="40"/>
        <v>1.2945E-2</v>
      </c>
      <c r="S123">
        <f t="shared" si="32"/>
        <v>1.2415721041455264E-2</v>
      </c>
      <c r="T123">
        <f t="shared" si="41"/>
        <v>0.17218675179569035</v>
      </c>
      <c r="U123">
        <f t="shared" si="35"/>
        <v>8.6093375897845173E-2</v>
      </c>
      <c r="V123">
        <f t="shared" si="36"/>
        <v>0.25828012769353553</v>
      </c>
    </row>
    <row r="124" spans="3:22">
      <c r="C124" t="s">
        <v>88</v>
      </c>
      <c r="D124" t="s">
        <v>109</v>
      </c>
      <c r="E124" t="s">
        <v>110</v>
      </c>
      <c r="F124">
        <v>310.5145</v>
      </c>
      <c r="G124">
        <v>0.25</v>
      </c>
      <c r="J124">
        <f>I124*100</f>
        <v>0</v>
      </c>
      <c r="K124">
        <f>AVERAGE(G124:H124,J124)</f>
        <v>0.125</v>
      </c>
      <c r="L124">
        <f t="shared" si="39"/>
        <v>1.1754176449531775E-3</v>
      </c>
      <c r="M124">
        <f t="shared" si="34"/>
        <v>0.36498422231381344</v>
      </c>
      <c r="O124" t="s">
        <v>246</v>
      </c>
      <c r="P124">
        <v>0.86</v>
      </c>
      <c r="Q124">
        <v>0</v>
      </c>
      <c r="R124">
        <f t="shared" si="40"/>
        <v>4.2999999999999999E-4</v>
      </c>
      <c r="S124">
        <f t="shared" si="32"/>
        <v>4.1241869817116748E-4</v>
      </c>
      <c r="T124">
        <f t="shared" si="41"/>
        <v>5.7196062782654961E-3</v>
      </c>
      <c r="U124">
        <f t="shared" si="35"/>
        <v>2.859803139132748E-3</v>
      </c>
      <c r="V124">
        <f t="shared" si="36"/>
        <v>8.5794094173982441E-3</v>
      </c>
    </row>
    <row r="125" spans="3:22">
      <c r="C125" t="s">
        <v>91</v>
      </c>
      <c r="D125" t="s">
        <v>115</v>
      </c>
      <c r="E125" t="s">
        <v>116</v>
      </c>
      <c r="F125">
        <v>304.46690000000001</v>
      </c>
      <c r="G125">
        <v>3.31</v>
      </c>
      <c r="H125">
        <v>0.7</v>
      </c>
      <c r="I125">
        <v>6.341447193402501E-2</v>
      </c>
      <c r="J125">
        <f t="shared" si="37"/>
        <v>6.3414471934025007</v>
      </c>
      <c r="K125">
        <f t="shared" si="38"/>
        <v>3.4504823978008332</v>
      </c>
      <c r="L125">
        <f t="shared" si="39"/>
        <v>3.2446063151803588E-2</v>
      </c>
      <c r="M125">
        <f t="shared" si="34"/>
        <v>9.8787522650338673</v>
      </c>
      <c r="O125" t="s">
        <v>247</v>
      </c>
      <c r="P125">
        <v>15.21</v>
      </c>
      <c r="Q125">
        <v>13.95</v>
      </c>
      <c r="R125">
        <f t="shared" si="40"/>
        <v>1.4579999999999999E-2</v>
      </c>
      <c r="S125">
        <f t="shared" si="32"/>
        <v>1.3983871207757261E-2</v>
      </c>
      <c r="T125">
        <f t="shared" si="41"/>
        <v>0.19393455706304868</v>
      </c>
      <c r="U125">
        <f t="shared" si="35"/>
        <v>9.6967278531524342E-2</v>
      </c>
      <c r="V125">
        <f t="shared" si="36"/>
        <v>0.29090183559457305</v>
      </c>
    </row>
    <row r="126" spans="3:22">
      <c r="C126" t="s">
        <v>92</v>
      </c>
      <c r="D126" t="s">
        <v>117</v>
      </c>
      <c r="E126" t="s">
        <v>118</v>
      </c>
      <c r="F126">
        <v>302.45100000000002</v>
      </c>
      <c r="G126">
        <v>54.29</v>
      </c>
      <c r="H126">
        <v>53.2</v>
      </c>
      <c r="I126">
        <v>0.43316041500399038</v>
      </c>
      <c r="J126">
        <f t="shared" si="37"/>
        <v>43.316041500399038</v>
      </c>
      <c r="K126">
        <f t="shared" si="38"/>
        <v>50.268680500133009</v>
      </c>
      <c r="L126">
        <f t="shared" si="39"/>
        <v>0.47269355238696048</v>
      </c>
      <c r="M126">
        <f t="shared" si="34"/>
        <v>142.96663761298859</v>
      </c>
      <c r="O126" t="s">
        <v>248</v>
      </c>
      <c r="P126">
        <v>4.57</v>
      </c>
      <c r="Q126">
        <v>9.2200000000000006</v>
      </c>
      <c r="R126">
        <f t="shared" si="40"/>
        <v>6.8950000000000001E-3</v>
      </c>
      <c r="S126">
        <f t="shared" si="32"/>
        <v>6.6130858695120929E-3</v>
      </c>
      <c r="T126">
        <f t="shared" si="41"/>
        <v>9.1713221601489758E-2</v>
      </c>
      <c r="U126">
        <f t="shared" si="35"/>
        <v>4.5856610800744879E-2</v>
      </c>
      <c r="V126">
        <f t="shared" si="36"/>
        <v>0.13756983240223464</v>
      </c>
    </row>
    <row r="127" spans="3:22">
      <c r="C127" t="s">
        <v>31</v>
      </c>
      <c r="D127" t="s">
        <v>34</v>
      </c>
      <c r="E127" t="s">
        <v>34</v>
      </c>
      <c r="F127">
        <f>SUM(F114:F126)</f>
        <v>3485.5358000000001</v>
      </c>
      <c r="G127">
        <f t="shared" ref="G127:J127" si="42">SUM(G114:G126)</f>
        <v>102.96000000000001</v>
      </c>
      <c r="H127">
        <f t="shared" si="42"/>
        <v>99.300000000000011</v>
      </c>
      <c r="I127">
        <f t="shared" si="42"/>
        <v>1</v>
      </c>
      <c r="J127">
        <f t="shared" si="42"/>
        <v>100</v>
      </c>
      <c r="K127">
        <f>SUM(K114:K126)</f>
        <v>106.34517912565397</v>
      </c>
      <c r="L127">
        <f>SUM(L114:L126)</f>
        <v>1.0000000000000002</v>
      </c>
      <c r="M127">
        <f>SUM(M114:M126)</f>
        <v>277.61703266695332</v>
      </c>
      <c r="O127" t="s">
        <v>249</v>
      </c>
      <c r="P127">
        <v>1.84</v>
      </c>
      <c r="Q127">
        <v>0.8</v>
      </c>
      <c r="R127">
        <f t="shared" si="40"/>
        <v>1.32E-3</v>
      </c>
      <c r="S127">
        <f t="shared" si="32"/>
        <v>1.2660294920603281E-3</v>
      </c>
      <c r="T127">
        <f t="shared" si="41"/>
        <v>1.7557861133280128E-2</v>
      </c>
      <c r="U127">
        <f t="shared" si="35"/>
        <v>8.7789305666400638E-3</v>
      </c>
      <c r="V127">
        <f t="shared" si="36"/>
        <v>2.633679169992019E-2</v>
      </c>
    </row>
    <row r="128" spans="3:22">
      <c r="P128">
        <f>SUM(P113:P127)</f>
        <v>53.190000000000005</v>
      </c>
      <c r="Q128">
        <f t="shared" ref="Q128" si="43">SUM(Q113:Q127)</f>
        <v>97.169999999999987</v>
      </c>
      <c r="R128">
        <f>SUM(R113:R127)</f>
        <v>7.5179999999999997E-2</v>
      </c>
      <c r="S128">
        <f>SUM(S113:S127)</f>
        <v>7.2106134252345036E-2</v>
      </c>
      <c r="T128">
        <f>SUM(T113:T127)</f>
        <v>0.98743016759776536</v>
      </c>
      <c r="U128" t="e">
        <f>SUM(U113:U127)</f>
        <v>#REF!</v>
      </c>
      <c r="V128" t="e">
        <f>SUM(V113:V127)</f>
        <v>#REF!</v>
      </c>
    </row>
    <row r="130" spans="3:23">
      <c r="C130" t="s">
        <v>66</v>
      </c>
      <c r="G130" t="s">
        <v>137</v>
      </c>
      <c r="H130" t="s">
        <v>76</v>
      </c>
    </row>
    <row r="131" spans="3:23">
      <c r="C131" t="s">
        <v>22</v>
      </c>
      <c r="D131" t="s">
        <v>23</v>
      </c>
      <c r="E131" t="s">
        <v>24</v>
      </c>
      <c r="F131" t="s">
        <v>25</v>
      </c>
      <c r="G131" t="s">
        <v>128</v>
      </c>
      <c r="H131" t="s">
        <v>128</v>
      </c>
      <c r="J131" t="s">
        <v>129</v>
      </c>
      <c r="K131" t="s">
        <v>130</v>
      </c>
      <c r="L131" t="s">
        <v>131</v>
      </c>
    </row>
    <row r="132" spans="3:23">
      <c r="C132" t="s">
        <v>80</v>
      </c>
      <c r="D132" t="s">
        <v>94</v>
      </c>
      <c r="E132" t="s">
        <v>95</v>
      </c>
      <c r="F132">
        <v>228.37090000000001</v>
      </c>
      <c r="G132">
        <v>2.4</v>
      </c>
      <c r="H132">
        <v>8</v>
      </c>
      <c r="I132">
        <v>8.5264649326991204</v>
      </c>
      <c r="J132" s="9">
        <f>AVERAGE(Lipid!$G132:$I132)</f>
        <v>6.3088216442330394</v>
      </c>
      <c r="K132">
        <f>Lipid!$J132/$J$143</f>
        <v>6.1406026185822325E-2</v>
      </c>
      <c r="L132">
        <f t="shared" ref="L132:L142" si="44">K132*F132</f>
        <v>14.023349465479813</v>
      </c>
      <c r="O132" t="s">
        <v>237</v>
      </c>
      <c r="P132">
        <v>2.2200000000000002</v>
      </c>
      <c r="Q132">
        <v>4.2</v>
      </c>
      <c r="R132">
        <f>AVERAGE(P132:Q132)/1000</f>
        <v>3.2100000000000002E-3</v>
      </c>
      <c r="S132">
        <f t="shared" ref="S132:S140" si="45">R132/$R$141*$P$23</f>
        <v>2.8729728669864407E-3</v>
      </c>
      <c r="T132">
        <f t="shared" ref="T132:T140" si="46">S132/$P$23</f>
        <v>6.4973180852140475E-2</v>
      </c>
      <c r="U132">
        <f>T132*100</f>
        <v>6.4973180852140473</v>
      </c>
      <c r="V132">
        <f>T132*0.5</f>
        <v>3.2486590426070237E-2</v>
      </c>
      <c r="W132">
        <f>T132*1.5</f>
        <v>9.7459771278210705E-2</v>
      </c>
    </row>
    <row r="133" spans="3:23">
      <c r="C133" t="s">
        <v>81</v>
      </c>
      <c r="D133" t="s">
        <v>96</v>
      </c>
      <c r="E133" t="s">
        <v>97</v>
      </c>
      <c r="F133">
        <v>256.42410000000001</v>
      </c>
      <c r="G133">
        <v>20.39</v>
      </c>
      <c r="H133">
        <v>30.7</v>
      </c>
      <c r="I133">
        <v>23.990486792834734</v>
      </c>
      <c r="J133" s="9">
        <f>AVERAGE(Lipid!$G133:$I133)</f>
        <v>25.026828930944912</v>
      </c>
      <c r="K133">
        <f>Lipid!$J133/$J$143</f>
        <v>0.24359511163015718</v>
      </c>
      <c r="L133">
        <f t="shared" si="44"/>
        <v>62.463657264162592</v>
      </c>
      <c r="O133" t="s">
        <v>238</v>
      </c>
      <c r="P133">
        <v>7.88</v>
      </c>
      <c r="Q133">
        <v>5.51</v>
      </c>
      <c r="R133">
        <f t="shared" ref="R133:R140" si="47">AVERAGE(P133:Q133)/1000</f>
        <v>6.6950000000000004E-3</v>
      </c>
      <c r="S133">
        <f t="shared" si="45"/>
        <v>5.9920726929826237E-3</v>
      </c>
      <c r="T133">
        <f t="shared" si="46"/>
        <v>0.13551259993927742</v>
      </c>
      <c r="U133">
        <f t="shared" ref="U133:U140" si="48">T133*100</f>
        <v>13.551259993927742</v>
      </c>
      <c r="V133">
        <f t="shared" ref="V133:V140" si="49">T133*0.5</f>
        <v>6.7756299969638709E-2</v>
      </c>
      <c r="W133">
        <f t="shared" ref="W133:W140" si="50">T133*1.5</f>
        <v>0.20326889990891611</v>
      </c>
    </row>
    <row r="134" spans="3:23">
      <c r="C134" t="s">
        <v>82</v>
      </c>
      <c r="D134" t="s">
        <v>98</v>
      </c>
      <c r="E134" t="s">
        <v>99</v>
      </c>
      <c r="F134">
        <v>254.40819999999999</v>
      </c>
      <c r="G134">
        <v>32.4</v>
      </c>
      <c r="H134">
        <v>40.700000000000003</v>
      </c>
      <c r="I134">
        <v>24.886145127011439</v>
      </c>
      <c r="J134" s="9">
        <f>AVERAGE(Lipid!$G134:$I134)</f>
        <v>32.66204837567048</v>
      </c>
      <c r="K134">
        <f>Lipid!$J134/$J$143</f>
        <v>0.31791144383870795</v>
      </c>
      <c r="L134">
        <f t="shared" si="44"/>
        <v>80.879278186406779</v>
      </c>
      <c r="O134" t="s">
        <v>241</v>
      </c>
      <c r="P134">
        <v>4.2</v>
      </c>
      <c r="Q134">
        <v>12.65</v>
      </c>
      <c r="R134">
        <f t="shared" si="47"/>
        <v>8.4250000000000002E-3</v>
      </c>
      <c r="S134">
        <f t="shared" si="45"/>
        <v>7.5404350169348162E-3</v>
      </c>
      <c r="T134">
        <f t="shared" si="46"/>
        <v>0.17052929865398239</v>
      </c>
      <c r="U134">
        <f t="shared" si="48"/>
        <v>17.052929865398241</v>
      </c>
      <c r="V134">
        <f t="shared" si="49"/>
        <v>8.5264649326991196E-2</v>
      </c>
      <c r="W134">
        <f t="shared" si="50"/>
        <v>0.2557939479809736</v>
      </c>
    </row>
    <row r="135" spans="3:23">
      <c r="C135" t="s">
        <v>83</v>
      </c>
      <c r="D135" t="s">
        <v>208</v>
      </c>
      <c r="E135" t="s">
        <v>100</v>
      </c>
      <c r="F135">
        <v>252.39230000000001</v>
      </c>
      <c r="G135">
        <v>0.62</v>
      </c>
      <c r="H135" t="s">
        <v>34</v>
      </c>
      <c r="I135">
        <v>1.2245724116992207</v>
      </c>
      <c r="J135" s="9">
        <f>AVERAGE(Lipid!$G135:$I135)</f>
        <v>0.92228620584961041</v>
      </c>
      <c r="K135">
        <f>Lipid!$J135/$J$143</f>
        <v>8.9769427796383451E-3</v>
      </c>
      <c r="L135">
        <f t="shared" si="44"/>
        <v>2.2657112351213153</v>
      </c>
      <c r="O135" t="s">
        <v>257</v>
      </c>
      <c r="Q135">
        <v>1.21</v>
      </c>
      <c r="R135">
        <f t="shared" si="47"/>
        <v>1.2099999999999999E-3</v>
      </c>
      <c r="S135">
        <f t="shared" si="45"/>
        <v>1.0829586196428639E-3</v>
      </c>
      <c r="T135">
        <f t="shared" si="46"/>
        <v>2.4491448233984414E-2</v>
      </c>
      <c r="U135">
        <f t="shared" si="48"/>
        <v>2.4491448233984414</v>
      </c>
      <c r="V135">
        <f t="shared" si="49"/>
        <v>1.2245724116992207E-2</v>
      </c>
      <c r="W135">
        <f t="shared" si="50"/>
        <v>3.6737172350976621E-2</v>
      </c>
    </row>
    <row r="136" spans="3:23">
      <c r="C136" t="s">
        <v>84</v>
      </c>
      <c r="D136" t="s">
        <v>120</v>
      </c>
      <c r="E136" t="s">
        <v>119</v>
      </c>
      <c r="F136">
        <v>250.37639999999999</v>
      </c>
      <c r="G136">
        <v>0.53</v>
      </c>
      <c r="H136" t="s">
        <v>34</v>
      </c>
      <c r="J136" s="9">
        <f>AVERAGE(Lipid!$G136:$I136)</f>
        <v>0.53</v>
      </c>
      <c r="K136">
        <f>Lipid!$J136/$J$143</f>
        <v>5.1586802914670663E-3</v>
      </c>
      <c r="L136">
        <f t="shared" si="44"/>
        <v>1.2916118001284747</v>
      </c>
      <c r="O136" t="s">
        <v>258</v>
      </c>
      <c r="Q136">
        <v>3.45</v>
      </c>
      <c r="R136">
        <f t="shared" si="47"/>
        <v>3.4500000000000004E-3</v>
      </c>
      <c r="S136">
        <f t="shared" si="45"/>
        <v>3.0877745766676704E-3</v>
      </c>
      <c r="T136">
        <f t="shared" si="46"/>
        <v>6.9830988766319213E-2</v>
      </c>
      <c r="U136">
        <f t="shared" si="48"/>
        <v>6.9830988766319209</v>
      </c>
      <c r="V136">
        <f t="shared" si="49"/>
        <v>3.4915494383159607E-2</v>
      </c>
      <c r="W136">
        <f t="shared" si="50"/>
        <v>0.10474648314947882</v>
      </c>
    </row>
    <row r="137" spans="3:23">
      <c r="C137" t="s">
        <v>93</v>
      </c>
      <c r="D137" t="s">
        <v>101</v>
      </c>
      <c r="E137" t="s">
        <v>102</v>
      </c>
      <c r="F137">
        <v>284.47719999999998</v>
      </c>
      <c r="G137">
        <v>0.45</v>
      </c>
      <c r="J137" s="9">
        <f>AVERAGE(Lipid!$G137:$I137)</f>
        <v>0.45</v>
      </c>
      <c r="K137">
        <f>Lipid!$J137/$J$143</f>
        <v>4.3800115682267543E-3</v>
      </c>
      <c r="L137">
        <f t="shared" si="44"/>
        <v>1.246013426896756</v>
      </c>
      <c r="O137" t="s">
        <v>259</v>
      </c>
      <c r="Q137">
        <v>1.46</v>
      </c>
      <c r="R137">
        <f t="shared" si="47"/>
        <v>1.4599999999999999E-3</v>
      </c>
      <c r="S137">
        <f t="shared" si="45"/>
        <v>1.3067104005608109E-3</v>
      </c>
      <c r="T137">
        <f t="shared" si="46"/>
        <v>2.955166481125392E-2</v>
      </c>
      <c r="U137">
        <f t="shared" si="48"/>
        <v>2.9551664811253922</v>
      </c>
      <c r="V137">
        <f t="shared" si="49"/>
        <v>1.477583240562696E-2</v>
      </c>
      <c r="W137">
        <f t="shared" si="50"/>
        <v>4.4327497216880882E-2</v>
      </c>
    </row>
    <row r="138" spans="3:23">
      <c r="C138" t="s">
        <v>85</v>
      </c>
      <c r="D138" t="s">
        <v>103</v>
      </c>
      <c r="E138" t="s">
        <v>104</v>
      </c>
      <c r="F138">
        <v>282.46140000000003</v>
      </c>
      <c r="G138">
        <v>2.76</v>
      </c>
      <c r="I138">
        <v>1.4775832405626961</v>
      </c>
      <c r="J138" s="9">
        <f>AVERAGE(Lipid!$G138:$I138)</f>
        <v>2.1187916202813479</v>
      </c>
      <c r="K138">
        <f>Lipid!$J138/$J$143</f>
        <v>2.0622959572209363E-2</v>
      </c>
      <c r="L138">
        <f t="shared" si="44"/>
        <v>5.8251900329096582</v>
      </c>
      <c r="O138" t="s">
        <v>244</v>
      </c>
      <c r="P138">
        <v>11.23</v>
      </c>
      <c r="Q138">
        <v>11.72</v>
      </c>
      <c r="R138">
        <f t="shared" si="47"/>
        <v>1.1475000000000001E-2</v>
      </c>
      <c r="S138">
        <f t="shared" si="45"/>
        <v>1.0270206744133772E-2</v>
      </c>
      <c r="T138">
        <f t="shared" si="46"/>
        <v>0.23226394089667041</v>
      </c>
      <c r="U138">
        <f t="shared" si="48"/>
        <v>23.226394089667039</v>
      </c>
      <c r="V138">
        <f t="shared" si="49"/>
        <v>0.1161319704483352</v>
      </c>
      <c r="W138">
        <f t="shared" si="50"/>
        <v>0.34839591134500558</v>
      </c>
    </row>
    <row r="139" spans="3:23">
      <c r="C139" t="s">
        <v>86</v>
      </c>
      <c r="D139" t="s">
        <v>105</v>
      </c>
      <c r="E139" t="s">
        <v>106</v>
      </c>
      <c r="F139">
        <v>280.44549999999998</v>
      </c>
      <c r="G139">
        <v>2.14</v>
      </c>
      <c r="H139">
        <v>1</v>
      </c>
      <c r="I139">
        <v>3.4915494383159604</v>
      </c>
      <c r="J139" s="9">
        <f>AVERAGE(Lipid!$G139:$I139)</f>
        <v>2.2105164794386538</v>
      </c>
      <c r="K139">
        <f>Lipid!$J139/$J$143</f>
        <v>2.1515750559327071E-2</v>
      </c>
      <c r="L139">
        <f t="shared" si="44"/>
        <v>6.0339954234857593</v>
      </c>
      <c r="O139" t="s">
        <v>245</v>
      </c>
      <c r="P139">
        <v>12.1</v>
      </c>
      <c r="R139">
        <f t="shared" si="47"/>
        <v>1.21E-2</v>
      </c>
      <c r="S139">
        <f t="shared" si="45"/>
        <v>1.0829586196428638E-2</v>
      </c>
      <c r="T139">
        <f t="shared" si="46"/>
        <v>0.24491448233984411</v>
      </c>
      <c r="U139">
        <f t="shared" si="48"/>
        <v>24.491448233984411</v>
      </c>
      <c r="V139">
        <f t="shared" si="49"/>
        <v>0.12245724116992206</v>
      </c>
      <c r="W139">
        <f t="shared" si="50"/>
        <v>0.36737172350976616</v>
      </c>
    </row>
    <row r="140" spans="3:23">
      <c r="C140" t="s">
        <v>87</v>
      </c>
      <c r="D140" t="s">
        <v>107</v>
      </c>
      <c r="E140" t="s">
        <v>108</v>
      </c>
      <c r="F140">
        <v>278.42959999999999</v>
      </c>
      <c r="G140">
        <v>0.89</v>
      </c>
      <c r="H140" t="s">
        <v>34</v>
      </c>
      <c r="I140">
        <v>1.2245724116992207</v>
      </c>
      <c r="J140" s="9">
        <f>AVERAGE(Lipid!$G140:$I140)</f>
        <v>1.0572862058496104</v>
      </c>
      <c r="K140">
        <f>Lipid!$J140/$J$143</f>
        <v>1.0290946250106372E-2</v>
      </c>
      <c r="L140">
        <f t="shared" si="44"/>
        <v>2.8653040480386172</v>
      </c>
      <c r="O140" t="s">
        <v>247</v>
      </c>
      <c r="P140">
        <v>1.38</v>
      </c>
      <c r="R140">
        <f t="shared" si="47"/>
        <v>1.3799999999999999E-3</v>
      </c>
      <c r="S140">
        <f t="shared" si="45"/>
        <v>1.235109830667068E-3</v>
      </c>
      <c r="T140">
        <f t="shared" si="46"/>
        <v>2.7932395506527683E-2</v>
      </c>
      <c r="U140">
        <f t="shared" si="48"/>
        <v>2.7932395506527685</v>
      </c>
      <c r="V140">
        <f t="shared" si="49"/>
        <v>1.3966197753263842E-2</v>
      </c>
      <c r="W140">
        <f t="shared" si="50"/>
        <v>4.1898593259791526E-2</v>
      </c>
    </row>
    <row r="141" spans="3:23">
      <c r="C141" t="s">
        <v>91</v>
      </c>
      <c r="D141" t="s">
        <v>115</v>
      </c>
      <c r="E141" t="s">
        <v>116</v>
      </c>
      <c r="F141">
        <v>304.46690000000001</v>
      </c>
      <c r="G141">
        <v>0.8</v>
      </c>
      <c r="H141" t="s">
        <v>34</v>
      </c>
      <c r="J141" s="9">
        <f>AVERAGE(Lipid!$G141:$I141)</f>
        <v>0.8</v>
      </c>
      <c r="K141">
        <f>Lipid!$J141/$J$143</f>
        <v>7.7866872324031198E-3</v>
      </c>
      <c r="L141">
        <f t="shared" si="44"/>
        <v>2.3707885229193577</v>
      </c>
      <c r="P141">
        <f>SUM(P132:P140)</f>
        <v>39.010000000000005</v>
      </c>
      <c r="Q141">
        <f>SUM(Q132:Q140)</f>
        <v>40.200000000000003</v>
      </c>
      <c r="R141">
        <f t="shared" ref="R141:T141" si="51">SUM(R132:R140)</f>
        <v>4.9404999999999998E-2</v>
      </c>
      <c r="S141">
        <f t="shared" si="51"/>
        <v>4.4217826945004701E-2</v>
      </c>
      <c r="T141">
        <f t="shared" si="51"/>
        <v>1</v>
      </c>
      <c r="U141">
        <f>SUM(U132:U140)</f>
        <v>100.00000000000001</v>
      </c>
      <c r="V141">
        <f>SUM(V132:V140)</f>
        <v>0.5</v>
      </c>
      <c r="W141">
        <f>SUM(W132:W140)</f>
        <v>1.5</v>
      </c>
    </row>
    <row r="142" spans="3:23">
      <c r="C142" t="s">
        <v>92</v>
      </c>
      <c r="D142" t="s">
        <v>117</v>
      </c>
      <c r="E142" t="s">
        <v>118</v>
      </c>
      <c r="F142">
        <v>302.45100000000002</v>
      </c>
      <c r="G142">
        <v>38.28</v>
      </c>
      <c r="H142">
        <v>18.5</v>
      </c>
      <c r="I142">
        <v>35.178625645177618</v>
      </c>
      <c r="J142" s="9">
        <f>AVERAGE(Lipid!$G142:$I142)</f>
        <v>30.652875215059208</v>
      </c>
      <c r="K142">
        <f>Lipid!$J142/$J$143</f>
        <v>0.29835544009193443</v>
      </c>
      <c r="L142">
        <f t="shared" si="44"/>
        <v>90.237901211245671</v>
      </c>
    </row>
    <row r="143" spans="3:23">
      <c r="C143" t="s">
        <v>31</v>
      </c>
      <c r="D143" t="s">
        <v>34</v>
      </c>
      <c r="E143" t="s">
        <v>34</v>
      </c>
      <c r="F143">
        <f t="shared" ref="F143:I143" si="52">SUM(F132:F142)</f>
        <v>2974.7034999999996</v>
      </c>
      <c r="G143">
        <f t="shared" si="52"/>
        <v>101.66</v>
      </c>
      <c r="H143">
        <f t="shared" si="52"/>
        <v>98.9</v>
      </c>
      <c r="I143">
        <f t="shared" si="52"/>
        <v>100</v>
      </c>
      <c r="J143" s="8">
        <f>SUM(J132:J142)</f>
        <v>102.73945467732686</v>
      </c>
      <c r="K143">
        <f>SUM(K132:K142)</f>
        <v>1</v>
      </c>
      <c r="L143">
        <f>SUM(L132:L142)</f>
        <v>269.50280061679473</v>
      </c>
    </row>
    <row r="146" spans="3:38">
      <c r="C146" t="s">
        <v>61</v>
      </c>
      <c r="G146" t="s">
        <v>137</v>
      </c>
      <c r="H146" t="s">
        <v>76</v>
      </c>
    </row>
    <row r="147" spans="3:38">
      <c r="C147" t="s">
        <v>22</v>
      </c>
      <c r="D147" t="s">
        <v>23</v>
      </c>
      <c r="E147" t="s">
        <v>24</v>
      </c>
      <c r="F147" t="s">
        <v>25</v>
      </c>
      <c r="G147" t="s">
        <v>128</v>
      </c>
      <c r="H147" t="s">
        <v>128</v>
      </c>
      <c r="J147" t="s">
        <v>129</v>
      </c>
      <c r="K147" t="s">
        <v>130</v>
      </c>
      <c r="L147" t="s">
        <v>131</v>
      </c>
      <c r="M147" t="s">
        <v>132</v>
      </c>
      <c r="P147" t="s">
        <v>211</v>
      </c>
      <c r="Q147" t="s">
        <v>212</v>
      </c>
      <c r="R147" t="s">
        <v>213</v>
      </c>
      <c r="S147" t="s">
        <v>132</v>
      </c>
      <c r="T147" t="s">
        <v>235</v>
      </c>
      <c r="U147" t="s">
        <v>234</v>
      </c>
    </row>
    <row r="148" spans="3:38">
      <c r="C148" t="s">
        <v>80</v>
      </c>
      <c r="D148" t="s">
        <v>94</v>
      </c>
      <c r="E148" t="s">
        <v>95</v>
      </c>
      <c r="F148">
        <v>228.37090000000001</v>
      </c>
      <c r="H148">
        <v>1.7</v>
      </c>
      <c r="J148">
        <f>AVERAGE(Lipid!$G148:$I148)</f>
        <v>1.7</v>
      </c>
      <c r="K148">
        <f>Lipid!$J148/$J$155</f>
        <v>1.6172212279794065E-2</v>
      </c>
      <c r="L148">
        <f>K148*F148</f>
        <v>3.6932626733276224</v>
      </c>
      <c r="P148" t="s">
        <v>251</v>
      </c>
      <c r="Q148" t="s">
        <v>215</v>
      </c>
      <c r="R148">
        <v>15.42</v>
      </c>
      <c r="S148">
        <f>AVERAGE(Q148:R148)/1000</f>
        <v>1.542E-2</v>
      </c>
      <c r="T148">
        <f>S148/$S$152*$P$18</f>
        <v>5.8704336394545713E-3</v>
      </c>
      <c r="U148" s="8">
        <f>T148/$P$18</f>
        <v>0.2749643366619115</v>
      </c>
      <c r="V148">
        <f>U148*0.5</f>
        <v>0.13748216833095575</v>
      </c>
      <c r="W148">
        <f>U148*1.5</f>
        <v>0.41244650499286728</v>
      </c>
      <c r="AL148" s="7"/>
    </row>
    <row r="149" spans="3:38">
      <c r="C149" t="s">
        <v>81</v>
      </c>
      <c r="D149" t="s">
        <v>96</v>
      </c>
      <c r="E149" t="s">
        <v>97</v>
      </c>
      <c r="F149">
        <v>256.42410000000001</v>
      </c>
      <c r="H149">
        <v>51.8</v>
      </c>
      <c r="I149">
        <v>30.661554921540656</v>
      </c>
      <c r="J149">
        <f>AVERAGE(Lipid!$G149:$I149)</f>
        <v>41.230777460770327</v>
      </c>
      <c r="K149">
        <f>Lipid!$J149/$J$155</f>
        <v>0.39223110915089776</v>
      </c>
      <c r="L149">
        <f t="shared" ref="L149:L154" si="53">K149*F149</f>
        <v>100.57750915602072</v>
      </c>
      <c r="P149" t="s">
        <v>252</v>
      </c>
      <c r="Q149" t="s">
        <v>215</v>
      </c>
      <c r="R149">
        <v>0.27</v>
      </c>
      <c r="S149">
        <f t="shared" ref="S149:S151" si="54">AVERAGE(Q149:R149)/1000</f>
        <v>2.7E-4</v>
      </c>
      <c r="T149">
        <f>S149/$S$152*$P$18</f>
        <v>1.0278969407605281E-4</v>
      </c>
      <c r="U149" s="8">
        <f>T149/$P$18</f>
        <v>4.8145506419400852E-3</v>
      </c>
      <c r="V149">
        <f t="shared" ref="V149:V151" si="55">U149*0.5</f>
        <v>2.4072753209700426E-3</v>
      </c>
      <c r="W149">
        <f t="shared" ref="W149:W151" si="56">U149*1.5</f>
        <v>7.2218259629101278E-3</v>
      </c>
      <c r="AL149" s="7"/>
    </row>
    <row r="150" spans="3:38">
      <c r="C150" t="s">
        <v>82</v>
      </c>
      <c r="D150" t="s">
        <v>98</v>
      </c>
      <c r="E150" t="s">
        <v>99</v>
      </c>
      <c r="F150">
        <v>254.40819999999999</v>
      </c>
      <c r="H150">
        <v>14.3</v>
      </c>
      <c r="I150">
        <v>19.338445078459344</v>
      </c>
      <c r="J150">
        <f>AVERAGE(Lipid!$G150:$I150)</f>
        <v>16.819222539229671</v>
      </c>
      <c r="K150">
        <f>Lipid!$J150/$J$155</f>
        <v>0.16000237487383481</v>
      </c>
      <c r="L150">
        <f t="shared" si="53"/>
        <v>40.705916187377539</v>
      </c>
      <c r="P150" t="s">
        <v>244</v>
      </c>
      <c r="Q150">
        <v>6</v>
      </c>
      <c r="R150" t="s">
        <v>215</v>
      </c>
      <c r="S150">
        <f t="shared" si="54"/>
        <v>6.0000000000000001E-3</v>
      </c>
      <c r="T150">
        <f>S150/$S$152*$P$18</f>
        <v>2.2842154239122851E-3</v>
      </c>
      <c r="U150" s="8">
        <f>T150/$P$18</f>
        <v>0.10699001426533523</v>
      </c>
      <c r="V150">
        <f t="shared" si="55"/>
        <v>5.3495007132667617E-2</v>
      </c>
      <c r="W150">
        <f t="shared" si="56"/>
        <v>0.16048502139800286</v>
      </c>
      <c r="AL150" s="7"/>
    </row>
    <row r="151" spans="3:38">
      <c r="C151" t="s">
        <v>93</v>
      </c>
      <c r="D151" t="s">
        <v>101</v>
      </c>
      <c r="E151" t="s">
        <v>102</v>
      </c>
      <c r="F151">
        <v>284.47719999999998</v>
      </c>
      <c r="H151">
        <v>0.7</v>
      </c>
      <c r="J151">
        <f>AVERAGE(Lipid!$G151:$I151)</f>
        <v>0.7</v>
      </c>
      <c r="K151">
        <f>Lipid!$J151/$J$155</f>
        <v>6.6591462328563786E-3</v>
      </c>
      <c r="L151">
        <f>K151*F151</f>
        <v>1.8943752747135305</v>
      </c>
      <c r="P151" t="s">
        <v>245</v>
      </c>
      <c r="Q151" t="s">
        <v>215</v>
      </c>
      <c r="R151">
        <v>34.39</v>
      </c>
      <c r="S151">
        <f t="shared" si="54"/>
        <v>3.4390000000000004E-2</v>
      </c>
      <c r="T151">
        <f>S151/$S$152*$P$18</f>
        <v>1.3092361404723914E-2</v>
      </c>
      <c r="U151" s="8">
        <f>T151/$P$18</f>
        <v>0.61323109843081314</v>
      </c>
      <c r="V151">
        <f t="shared" si="55"/>
        <v>0.30661554921540657</v>
      </c>
      <c r="W151">
        <f t="shared" si="56"/>
        <v>0.91984664764621971</v>
      </c>
      <c r="AL151" s="7"/>
    </row>
    <row r="152" spans="3:38">
      <c r="C152" t="s">
        <v>86</v>
      </c>
      <c r="D152" t="s">
        <v>105</v>
      </c>
      <c r="E152" t="s">
        <v>106</v>
      </c>
      <c r="F152">
        <v>280.44549999999998</v>
      </c>
      <c r="H152">
        <v>0.6</v>
      </c>
      <c r="I152">
        <v>0.24072753209700426</v>
      </c>
      <c r="J152">
        <f>AVERAGE(Lipid!$G152:$I152)</f>
        <v>0.42036376604850212</v>
      </c>
      <c r="K152">
        <f>Lipid!$J152/$J$155</f>
        <v>3.9989482701588619E-3</v>
      </c>
      <c r="L152">
        <f t="shared" si="53"/>
        <v>1.121487047098837</v>
      </c>
      <c r="S152">
        <f>SUM(S148:S151)</f>
        <v>5.6080000000000005E-2</v>
      </c>
      <c r="T152">
        <f>SUM(T148:T151)</f>
        <v>2.1349800162166824E-2</v>
      </c>
      <c r="U152">
        <f t="shared" ref="U152:W152" si="57">SUM(U148:U151)</f>
        <v>1</v>
      </c>
      <c r="V152">
        <f t="shared" si="57"/>
        <v>0.5</v>
      </c>
      <c r="W152">
        <f t="shared" si="57"/>
        <v>1.5</v>
      </c>
      <c r="AL152" s="7"/>
    </row>
    <row r="153" spans="3:38">
      <c r="C153" t="s">
        <v>87</v>
      </c>
      <c r="D153" t="s">
        <v>107</v>
      </c>
      <c r="E153" t="s">
        <v>108</v>
      </c>
      <c r="F153">
        <v>278.42959999999999</v>
      </c>
      <c r="I153">
        <v>13.748216833095576</v>
      </c>
      <c r="J153">
        <f>AVERAGE(Lipid!$G153:$I153)</f>
        <v>13.748216833095576</v>
      </c>
      <c r="K153">
        <f>Lipid!$J153/$J$155</f>
        <v>0.13078769476085866</v>
      </c>
      <c r="L153">
        <f t="shared" si="53"/>
        <v>36.415165537187974</v>
      </c>
      <c r="AL153" s="7"/>
    </row>
    <row r="154" spans="3:38">
      <c r="C154" t="s">
        <v>92</v>
      </c>
      <c r="D154" t="s">
        <v>117</v>
      </c>
      <c r="E154" t="s">
        <v>118</v>
      </c>
      <c r="F154">
        <v>302.45100000000002</v>
      </c>
      <c r="H154">
        <v>30.5</v>
      </c>
      <c r="J154">
        <f>AVERAGE(Lipid!$G154:$I154)</f>
        <v>30.5</v>
      </c>
      <c r="K154">
        <f>Lipid!$J154/$J$155</f>
        <v>0.29014851443159939</v>
      </c>
      <c r="L154">
        <f t="shared" si="53"/>
        <v>87.755708338351667</v>
      </c>
      <c r="AL154" s="7"/>
    </row>
    <row r="155" spans="3:38">
      <c r="C155" t="s">
        <v>31</v>
      </c>
      <c r="D155" t="s">
        <v>34</v>
      </c>
      <c r="E155" t="s">
        <v>34</v>
      </c>
      <c r="F155">
        <f t="shared" ref="F155:L155" si="58">SUM(F148:F154)</f>
        <v>1885.0065</v>
      </c>
      <c r="G155">
        <f t="shared" si="58"/>
        <v>0</v>
      </c>
      <c r="H155">
        <f t="shared" si="58"/>
        <v>99.6</v>
      </c>
      <c r="I155">
        <f t="shared" si="58"/>
        <v>63.98894436519258</v>
      </c>
      <c r="J155">
        <f t="shared" si="58"/>
        <v>105.11858059914408</v>
      </c>
      <c r="K155">
        <f t="shared" si="58"/>
        <v>1</v>
      </c>
      <c r="L155">
        <f t="shared" si="58"/>
        <v>272.16342421407791</v>
      </c>
      <c r="AL155" s="7"/>
    </row>
    <row r="156" spans="3:38">
      <c r="AL156" s="7"/>
    </row>
    <row r="157" spans="3:38">
      <c r="C157" t="s">
        <v>62</v>
      </c>
      <c r="G157" t="s">
        <v>137</v>
      </c>
      <c r="H157" t="s">
        <v>76</v>
      </c>
      <c r="O157" t="s">
        <v>295</v>
      </c>
      <c r="AL157" s="7"/>
    </row>
    <row r="158" spans="3:38">
      <c r="C158" t="s">
        <v>22</v>
      </c>
      <c r="D158" t="s">
        <v>23</v>
      </c>
      <c r="E158" t="s">
        <v>24</v>
      </c>
      <c r="F158" t="s">
        <v>25</v>
      </c>
      <c r="G158" t="s">
        <v>128</v>
      </c>
      <c r="H158" t="s">
        <v>128</v>
      </c>
      <c r="K158" t="s">
        <v>130</v>
      </c>
      <c r="L158" t="s">
        <v>131</v>
      </c>
      <c r="M158" t="s">
        <v>132</v>
      </c>
      <c r="P158" t="s">
        <v>296</v>
      </c>
      <c r="S158" t="s">
        <v>297</v>
      </c>
      <c r="V158" t="s">
        <v>298</v>
      </c>
      <c r="W158" t="s">
        <v>299</v>
      </c>
      <c r="AL158" s="7"/>
    </row>
    <row r="159" spans="3:38">
      <c r="C159" t="s">
        <v>80</v>
      </c>
      <c r="D159" t="s">
        <v>94</v>
      </c>
      <c r="E159" t="s">
        <v>95</v>
      </c>
      <c r="F159">
        <v>228.37090000000001</v>
      </c>
      <c r="G159">
        <v>2.83</v>
      </c>
      <c r="H159">
        <v>2.6</v>
      </c>
      <c r="J159">
        <f>AVERAGE(G159:I159)</f>
        <v>2.7149999999999999</v>
      </c>
      <c r="K159">
        <f>J159/$J$171</f>
        <v>2.5498544282002319E-2</v>
      </c>
      <c r="L159">
        <f>K159*F159</f>
        <v>5.8231255063707232</v>
      </c>
      <c r="O159" t="s">
        <v>300</v>
      </c>
      <c r="P159" t="s">
        <v>301</v>
      </c>
      <c r="Q159" t="s">
        <v>302</v>
      </c>
      <c r="R159" t="s">
        <v>303</v>
      </c>
      <c r="S159" t="s">
        <v>301</v>
      </c>
      <c r="T159" t="s">
        <v>302</v>
      </c>
      <c r="U159" t="s">
        <v>303</v>
      </c>
      <c r="V159" t="s">
        <v>303</v>
      </c>
      <c r="W159" t="s">
        <v>304</v>
      </c>
      <c r="AL159" s="7"/>
    </row>
    <row r="160" spans="3:38">
      <c r="C160" t="s">
        <v>81</v>
      </c>
      <c r="D160" t="s">
        <v>96</v>
      </c>
      <c r="E160" t="s">
        <v>97</v>
      </c>
      <c r="F160">
        <v>256.42410000000001</v>
      </c>
      <c r="G160">
        <v>46.66</v>
      </c>
      <c r="H160">
        <v>14.1</v>
      </c>
      <c r="I160">
        <f>X162/2+X163/2+X164/2+X165/2+X166/2+X172/2</f>
        <v>32.685416666666669</v>
      </c>
      <c r="J160">
        <f t="shared" ref="J160:J170" si="59">AVERAGE(G160:I160)</f>
        <v>31.148472222222221</v>
      </c>
      <c r="K160">
        <f t="shared" ref="K160:K170" si="60">J160/$J$171</f>
        <v>0.29253801041438399</v>
      </c>
      <c r="L160">
        <f t="shared" ref="L160:L170" si="61">K160*F160</f>
        <v>75.013796036299041</v>
      </c>
      <c r="AL160" s="7"/>
    </row>
    <row r="161" spans="2:29">
      <c r="C161" t="s">
        <v>82</v>
      </c>
      <c r="D161" t="s">
        <v>98</v>
      </c>
      <c r="E161" t="s">
        <v>99</v>
      </c>
      <c r="F161">
        <v>254.40819999999999</v>
      </c>
      <c r="G161">
        <v>42</v>
      </c>
      <c r="H161">
        <v>46.7</v>
      </c>
      <c r="I161">
        <f>X162/2+X167+X168/2+X169/2+X171/2</f>
        <v>36.331250000000004</v>
      </c>
      <c r="J161">
        <f t="shared" si="59"/>
        <v>41.677083333333336</v>
      </c>
      <c r="K161">
        <f t="shared" si="60"/>
        <v>0.39141987289860075</v>
      </c>
      <c r="L161">
        <f t="shared" si="61"/>
        <v>99.580425308361797</v>
      </c>
    </row>
    <row r="162" spans="2:29">
      <c r="C162" t="s">
        <v>83</v>
      </c>
      <c r="D162" t="s">
        <v>208</v>
      </c>
      <c r="E162" t="s">
        <v>100</v>
      </c>
      <c r="F162">
        <v>252.39230000000001</v>
      </c>
      <c r="G162">
        <v>0.41</v>
      </c>
      <c r="H162" t="s">
        <v>34</v>
      </c>
      <c r="I162">
        <f>X170/2</f>
        <v>1.9166666666666667</v>
      </c>
      <c r="J162">
        <f t="shared" si="59"/>
        <v>1.1633333333333333</v>
      </c>
      <c r="K162">
        <f t="shared" si="60"/>
        <v>1.0925711423473063E-2</v>
      </c>
      <c r="L162">
        <f t="shared" si="61"/>
        <v>2.7575654353066406</v>
      </c>
      <c r="O162" t="s">
        <v>305</v>
      </c>
      <c r="P162">
        <v>24.6</v>
      </c>
      <c r="Q162">
        <v>25.7</v>
      </c>
      <c r="R162">
        <v>26.7</v>
      </c>
      <c r="S162">
        <v>34</v>
      </c>
      <c r="T162">
        <v>17.7</v>
      </c>
      <c r="U162">
        <v>12.9</v>
      </c>
      <c r="V162">
        <v>18.899999999999999</v>
      </c>
      <c r="W162">
        <v>27.3</v>
      </c>
      <c r="X162">
        <f>AVERAGE(P162:W162)</f>
        <v>23.475000000000001</v>
      </c>
      <c r="Y162">
        <f>X162/$X$173</f>
        <v>0.22414959220210864</v>
      </c>
      <c r="Z162">
        <f>Y162*0.5</f>
        <v>0.11207479610105432</v>
      </c>
      <c r="AA162">
        <f>Y162*1.5</f>
        <v>0.33622438830316298</v>
      </c>
      <c r="AB162" t="s">
        <v>316</v>
      </c>
    </row>
    <row r="163" spans="2:29">
      <c r="C163" t="s">
        <v>84</v>
      </c>
      <c r="D163" t="s">
        <v>120</v>
      </c>
      <c r="E163" t="s">
        <v>119</v>
      </c>
      <c r="F163">
        <v>250.37639999999999</v>
      </c>
      <c r="G163">
        <v>0.3</v>
      </c>
      <c r="H163" t="s">
        <v>34</v>
      </c>
      <c r="J163">
        <f t="shared" si="59"/>
        <v>0.3</v>
      </c>
      <c r="K163">
        <f t="shared" si="60"/>
        <v>2.8175187051936268E-3</v>
      </c>
      <c r="L163">
        <f t="shared" si="61"/>
        <v>0.7054401903390416</v>
      </c>
      <c r="O163" t="s">
        <v>306</v>
      </c>
      <c r="P163">
        <v>19</v>
      </c>
      <c r="Q163">
        <v>15.3</v>
      </c>
      <c r="R163">
        <v>19</v>
      </c>
      <c r="S163">
        <v>4.2</v>
      </c>
      <c r="T163">
        <v>9</v>
      </c>
      <c r="U163">
        <v>5.5</v>
      </c>
      <c r="V163">
        <v>10.6</v>
      </c>
      <c r="W163">
        <v>17.600000000000001</v>
      </c>
      <c r="X163">
        <f t="shared" ref="X163:X172" si="62">AVERAGE(P163:W163)</f>
        <v>12.524999999999999</v>
      </c>
      <c r="Y163">
        <f t="shared" ref="Y163:Y172" si="63">X163/$X$173</f>
        <v>0.11959419136662025</v>
      </c>
      <c r="Z163">
        <f t="shared" ref="Z163:Z172" si="64">Y163*0.5</f>
        <v>5.9797095683310125E-2</v>
      </c>
      <c r="AA163">
        <f t="shared" ref="AA163:AA172" si="65">Y163*1.5</f>
        <v>0.17939128704993038</v>
      </c>
      <c r="AB163" t="s">
        <v>316</v>
      </c>
    </row>
    <row r="164" spans="2:29">
      <c r="C164" t="s">
        <v>93</v>
      </c>
      <c r="D164" t="s">
        <v>101</v>
      </c>
      <c r="E164" t="s">
        <v>102</v>
      </c>
      <c r="F164">
        <v>284.47719999999998</v>
      </c>
      <c r="G164">
        <v>0.31</v>
      </c>
      <c r="H164">
        <v>0.6</v>
      </c>
      <c r="I164">
        <f>X168/2</f>
        <v>1.25</v>
      </c>
      <c r="J164">
        <f t="shared" si="59"/>
        <v>0.72000000000000008</v>
      </c>
      <c r="K164">
        <f t="shared" si="60"/>
        <v>6.7620448924647046E-3</v>
      </c>
      <c r="L164">
        <f t="shared" si="61"/>
        <v>1.9236475972826601</v>
      </c>
      <c r="O164" t="s">
        <v>307</v>
      </c>
      <c r="S164">
        <v>1.5</v>
      </c>
      <c r="T164">
        <v>0.5</v>
      </c>
      <c r="U164">
        <v>1.4</v>
      </c>
      <c r="X164">
        <f t="shared" si="62"/>
        <v>1.1333333333333333</v>
      </c>
      <c r="Y164">
        <f t="shared" si="63"/>
        <v>1.0821563556793317E-2</v>
      </c>
      <c r="Z164">
        <f t="shared" si="64"/>
        <v>5.4107817783966587E-3</v>
      </c>
      <c r="AA164">
        <f t="shared" si="65"/>
        <v>1.6232345335189975E-2</v>
      </c>
      <c r="AB164" t="s">
        <v>316</v>
      </c>
    </row>
    <row r="165" spans="2:29">
      <c r="C165" t="s">
        <v>85</v>
      </c>
      <c r="D165" t="s">
        <v>103</v>
      </c>
      <c r="E165" t="s">
        <v>104</v>
      </c>
      <c r="F165">
        <v>282.46140000000003</v>
      </c>
      <c r="G165">
        <v>2.5299999999999998</v>
      </c>
      <c r="H165">
        <v>6.6</v>
      </c>
      <c r="I165">
        <f>X163/2+X171/2</f>
        <v>11.393750000000001</v>
      </c>
      <c r="J165">
        <f t="shared" si="59"/>
        <v>6.8412499999999996</v>
      </c>
      <c r="K165">
        <f t="shared" si="60"/>
        <v>6.425116613968633E-2</v>
      </c>
      <c r="L165">
        <f t="shared" si="61"/>
        <v>18.148474339448398</v>
      </c>
      <c r="O165" t="s">
        <v>308</v>
      </c>
      <c r="P165">
        <v>16.899999999999999</v>
      </c>
      <c r="Q165">
        <v>20.9</v>
      </c>
      <c r="R165">
        <v>15.7</v>
      </c>
      <c r="S165">
        <v>3.5</v>
      </c>
      <c r="T165">
        <v>8.4</v>
      </c>
      <c r="U165">
        <v>11.3</v>
      </c>
      <c r="V165">
        <v>6.4</v>
      </c>
      <c r="W165">
        <v>23.7</v>
      </c>
      <c r="X165">
        <f t="shared" si="62"/>
        <v>13.350000000000001</v>
      </c>
      <c r="Y165">
        <f t="shared" si="63"/>
        <v>0.12747165307340363</v>
      </c>
      <c r="Z165">
        <f t="shared" si="64"/>
        <v>6.3735826536701817E-2</v>
      </c>
      <c r="AA165">
        <f t="shared" si="65"/>
        <v>0.19120747961010545</v>
      </c>
      <c r="AB165" t="s">
        <v>316</v>
      </c>
      <c r="AC165">
        <f>Z165/2</f>
        <v>3.1867913268350909E-2</v>
      </c>
    </row>
    <row r="166" spans="2:29">
      <c r="C166" t="s">
        <v>86</v>
      </c>
      <c r="D166" t="s">
        <v>105</v>
      </c>
      <c r="E166" t="s">
        <v>106</v>
      </c>
      <c r="F166">
        <v>280.44549999999998</v>
      </c>
      <c r="G166">
        <v>1.01</v>
      </c>
      <c r="H166">
        <v>17.399999999999999</v>
      </c>
      <c r="I166">
        <f>X164/2+X170/2</f>
        <v>2.4833333333333334</v>
      </c>
      <c r="J166">
        <f t="shared" si="59"/>
        <v>6.9644444444444451</v>
      </c>
      <c r="K166">
        <f t="shared" si="60"/>
        <v>6.5408174978346861E-2</v>
      </c>
      <c r="L166">
        <f t="shared" si="61"/>
        <v>18.343428335889975</v>
      </c>
      <c r="O166" t="s">
        <v>309</v>
      </c>
      <c r="P166">
        <v>6.6</v>
      </c>
      <c r="Q166">
        <v>8.3000000000000007</v>
      </c>
      <c r="R166">
        <v>7.2</v>
      </c>
      <c r="S166">
        <v>9.1</v>
      </c>
      <c r="T166">
        <v>7.8</v>
      </c>
      <c r="U166">
        <v>6.8</v>
      </c>
      <c r="V166">
        <v>11.1</v>
      </c>
      <c r="W166">
        <v>8.6999999999999993</v>
      </c>
      <c r="X166">
        <f t="shared" si="62"/>
        <v>8.1999999999999993</v>
      </c>
      <c r="Y166">
        <f t="shared" si="63"/>
        <v>7.829719514621046E-2</v>
      </c>
      <c r="Z166">
        <f t="shared" si="64"/>
        <v>3.914859757310523E-2</v>
      </c>
      <c r="AA166">
        <f t="shared" si="65"/>
        <v>0.11744579271931568</v>
      </c>
      <c r="AB166" t="s">
        <v>316</v>
      </c>
      <c r="AC166">
        <f>AA165/2</f>
        <v>9.5603739805052726E-2</v>
      </c>
    </row>
    <row r="167" spans="2:29">
      <c r="C167" t="s">
        <v>87</v>
      </c>
      <c r="D167" t="s">
        <v>107</v>
      </c>
      <c r="E167" t="s">
        <v>108</v>
      </c>
      <c r="F167">
        <v>278.42959999999999</v>
      </c>
      <c r="G167">
        <v>0.71</v>
      </c>
      <c r="H167">
        <v>3.4</v>
      </c>
      <c r="I167">
        <f>X165/2</f>
        <v>6.6750000000000007</v>
      </c>
      <c r="J167">
        <f t="shared" si="59"/>
        <v>3.5950000000000002</v>
      </c>
      <c r="K167">
        <f t="shared" si="60"/>
        <v>3.3763265817236959E-2</v>
      </c>
      <c r="L167">
        <f t="shared" si="61"/>
        <v>9.4006925961869587</v>
      </c>
      <c r="O167" t="s">
        <v>310</v>
      </c>
      <c r="P167">
        <v>7.8</v>
      </c>
      <c r="Q167">
        <v>11.9</v>
      </c>
      <c r="R167">
        <v>8.9</v>
      </c>
      <c r="S167">
        <v>14.1</v>
      </c>
      <c r="T167">
        <v>20.3</v>
      </c>
      <c r="U167">
        <v>26.2</v>
      </c>
      <c r="V167">
        <v>15.9</v>
      </c>
      <c r="W167">
        <v>4.2</v>
      </c>
      <c r="X167">
        <f t="shared" si="62"/>
        <v>13.662500000000001</v>
      </c>
      <c r="Y167">
        <f t="shared" si="63"/>
        <v>0.13045554008354887</v>
      </c>
      <c r="Z167">
        <f t="shared" si="64"/>
        <v>6.5227770041774435E-2</v>
      </c>
      <c r="AA167">
        <f t="shared" si="65"/>
        <v>0.19568331012532331</v>
      </c>
      <c r="AB167" t="s">
        <v>316</v>
      </c>
    </row>
    <row r="168" spans="2:29">
      <c r="C168" t="s">
        <v>90</v>
      </c>
      <c r="D168" t="s">
        <v>113</v>
      </c>
      <c r="E168" t="s">
        <v>114</v>
      </c>
      <c r="F168">
        <v>306.4828</v>
      </c>
      <c r="I168">
        <f>X172/2</f>
        <v>3.34375</v>
      </c>
      <c r="J168">
        <f t="shared" si="59"/>
        <v>3.34375</v>
      </c>
      <c r="K168">
        <f t="shared" si="60"/>
        <v>3.14035939016373E-2</v>
      </c>
      <c r="L168">
        <f>K168*F168</f>
        <v>9.6246613890367243</v>
      </c>
      <c r="O168" t="s">
        <v>311</v>
      </c>
      <c r="S168">
        <v>1.2</v>
      </c>
      <c r="T168">
        <v>1.6</v>
      </c>
      <c r="U168">
        <v>4.7</v>
      </c>
      <c r="X168">
        <f t="shared" si="62"/>
        <v>2.5</v>
      </c>
      <c r="Y168">
        <f t="shared" si="63"/>
        <v>2.3871096081161728E-2</v>
      </c>
      <c r="Z168">
        <f t="shared" si="64"/>
        <v>1.1935548040580864E-2</v>
      </c>
      <c r="AA168">
        <f t="shared" si="65"/>
        <v>3.5806644121742594E-2</v>
      </c>
      <c r="AB168" t="s">
        <v>316</v>
      </c>
    </row>
    <row r="169" spans="2:29">
      <c r="B169" t="s">
        <v>316</v>
      </c>
      <c r="C169" t="s">
        <v>91</v>
      </c>
      <c r="D169" t="s">
        <v>115</v>
      </c>
      <c r="E169" t="s">
        <v>116</v>
      </c>
      <c r="F169">
        <v>304.46690000000001</v>
      </c>
      <c r="G169">
        <v>2.5299999999999998</v>
      </c>
      <c r="H169">
        <v>2.1</v>
      </c>
      <c r="J169">
        <f t="shared" si="59"/>
        <v>2.3149999999999999</v>
      </c>
      <c r="K169">
        <f t="shared" si="60"/>
        <v>2.1741852675077486E-2</v>
      </c>
      <c r="L169">
        <f t="shared" si="61"/>
        <v>6.6196744842375494</v>
      </c>
      <c r="O169" t="s">
        <v>312</v>
      </c>
      <c r="P169">
        <v>5.6</v>
      </c>
      <c r="Q169">
        <v>5.7</v>
      </c>
      <c r="R169">
        <v>4.5</v>
      </c>
      <c r="S169">
        <v>8.1999999999999993</v>
      </c>
      <c r="T169">
        <v>14.8</v>
      </c>
      <c r="U169">
        <v>10.8</v>
      </c>
      <c r="V169">
        <v>15.9</v>
      </c>
      <c r="W169">
        <v>7.3</v>
      </c>
      <c r="X169">
        <f t="shared" si="62"/>
        <v>9.1</v>
      </c>
      <c r="Y169">
        <f t="shared" si="63"/>
        <v>8.6890789735428686E-2</v>
      </c>
      <c r="Z169">
        <f t="shared" si="64"/>
        <v>4.3445394867714343E-2</v>
      </c>
      <c r="AA169">
        <f t="shared" si="65"/>
        <v>0.13033618460314303</v>
      </c>
    </row>
    <row r="170" spans="2:29">
      <c r="B170" t="s">
        <v>316</v>
      </c>
      <c r="C170" t="s">
        <v>92</v>
      </c>
      <c r="D170" t="s">
        <v>117</v>
      </c>
      <c r="E170" t="s">
        <v>118</v>
      </c>
      <c r="F170">
        <v>302.45100000000002</v>
      </c>
      <c r="G170">
        <v>2.33</v>
      </c>
      <c r="H170">
        <v>6.1</v>
      </c>
      <c r="I170">
        <f>X166/2+X169/2</f>
        <v>8.6499999999999986</v>
      </c>
      <c r="J170">
        <f t="shared" si="59"/>
        <v>5.6933333333333325</v>
      </c>
      <c r="K170">
        <f t="shared" si="60"/>
        <v>5.3470243871896819E-2</v>
      </c>
      <c r="L170">
        <f t="shared" si="61"/>
        <v>16.172128729299065</v>
      </c>
      <c r="O170" t="s">
        <v>313</v>
      </c>
      <c r="S170">
        <v>2.7</v>
      </c>
      <c r="T170">
        <v>2.2999999999999998</v>
      </c>
      <c r="U170">
        <v>6.5</v>
      </c>
      <c r="X170">
        <f t="shared" si="62"/>
        <v>3.8333333333333335</v>
      </c>
      <c r="Y170">
        <f t="shared" si="63"/>
        <v>3.6602347324447983E-2</v>
      </c>
      <c r="Z170">
        <f t="shared" si="64"/>
        <v>1.8301173662223991E-2</v>
      </c>
      <c r="AA170">
        <f t="shared" si="65"/>
        <v>5.4903520986671978E-2</v>
      </c>
    </row>
    <row r="171" spans="2:29">
      <c r="C171" t="s">
        <v>31</v>
      </c>
      <c r="D171" t="s">
        <v>34</v>
      </c>
      <c r="E171" t="s">
        <v>34</v>
      </c>
      <c r="F171">
        <f t="shared" ref="F171:H171" si="66">SUM(F159:F170)</f>
        <v>3281.1862999999998</v>
      </c>
      <c r="G171">
        <f t="shared" si="66"/>
        <v>101.61999999999999</v>
      </c>
      <c r="H171">
        <f t="shared" si="66"/>
        <v>99.6</v>
      </c>
      <c r="I171">
        <f>SUM(I159:I170)</f>
        <v>104.72916666666669</v>
      </c>
      <c r="J171">
        <f>SUM(J159:J170)</f>
        <v>106.47666666666665</v>
      </c>
      <c r="K171">
        <f t="shared" ref="K171:L171" si="67">SUM(K159:K170)</f>
        <v>1.0000000000000002</v>
      </c>
      <c r="L171">
        <f t="shared" si="67"/>
        <v>264.11305994805861</v>
      </c>
      <c r="O171" t="s">
        <v>314</v>
      </c>
      <c r="P171">
        <v>15.3</v>
      </c>
      <c r="Q171">
        <v>7.5</v>
      </c>
      <c r="R171">
        <v>14.4</v>
      </c>
      <c r="S171">
        <v>13.3</v>
      </c>
      <c r="T171">
        <v>8.6999999999999993</v>
      </c>
      <c r="U171">
        <v>6.4</v>
      </c>
      <c r="V171">
        <v>9.8000000000000007</v>
      </c>
      <c r="W171">
        <v>6.7</v>
      </c>
      <c r="X171">
        <f t="shared" si="62"/>
        <v>10.262500000000001</v>
      </c>
      <c r="Y171">
        <f t="shared" si="63"/>
        <v>9.7990849413168907E-2</v>
      </c>
      <c r="Z171">
        <f t="shared" si="64"/>
        <v>4.8995424706584453E-2</v>
      </c>
      <c r="AA171">
        <f t="shared" si="65"/>
        <v>0.14698627411975335</v>
      </c>
    </row>
    <row r="172" spans="2:29">
      <c r="O172" t="s">
        <v>315</v>
      </c>
      <c r="P172">
        <v>4.0999999999999996</v>
      </c>
      <c r="Q172">
        <v>4.8</v>
      </c>
      <c r="R172">
        <v>3.7</v>
      </c>
      <c r="S172">
        <v>8.3000000000000007</v>
      </c>
      <c r="T172">
        <v>8.9</v>
      </c>
      <c r="U172">
        <v>7.6</v>
      </c>
      <c r="V172">
        <v>11.5</v>
      </c>
      <c r="W172">
        <v>4.5999999999999996</v>
      </c>
      <c r="X172">
        <f t="shared" si="62"/>
        <v>6.6875</v>
      </c>
      <c r="Y172">
        <f t="shared" si="63"/>
        <v>6.3855182017107631E-2</v>
      </c>
      <c r="Z172">
        <f t="shared" si="64"/>
        <v>3.1927591008553816E-2</v>
      </c>
      <c r="AA172">
        <f t="shared" si="65"/>
        <v>9.5782773025661447E-2</v>
      </c>
    </row>
    <row r="173" spans="2:29">
      <c r="X173">
        <f>SUM(X162:X172)</f>
        <v>104.72916666666666</v>
      </c>
      <c r="Y173">
        <f>SUM(Y162:Y172)</f>
        <v>1.0000000000000002</v>
      </c>
      <c r="Z173">
        <f t="shared" ref="Z173:AA173" si="68">SUM(Z162:Z172)</f>
        <v>0.50000000000000011</v>
      </c>
      <c r="AA173">
        <f t="shared" si="68"/>
        <v>1.5000000000000002</v>
      </c>
    </row>
    <row r="174" spans="2:29">
      <c r="C174" t="s">
        <v>63</v>
      </c>
      <c r="G174" t="s">
        <v>137</v>
      </c>
      <c r="H174" t="s">
        <v>76</v>
      </c>
    </row>
    <row r="175" spans="2:29">
      <c r="C175" t="s">
        <v>22</v>
      </c>
      <c r="D175" t="s">
        <v>23</v>
      </c>
      <c r="E175" t="s">
        <v>24</v>
      </c>
      <c r="F175" t="s">
        <v>25</v>
      </c>
      <c r="G175" t="s">
        <v>128</v>
      </c>
      <c r="H175" t="s">
        <v>128</v>
      </c>
      <c r="J175" t="s">
        <v>129</v>
      </c>
      <c r="K175" t="s">
        <v>130</v>
      </c>
      <c r="L175" t="s">
        <v>131</v>
      </c>
      <c r="M175" t="s">
        <v>132</v>
      </c>
      <c r="P175" t="s">
        <v>327</v>
      </c>
      <c r="R175" t="s">
        <v>328</v>
      </c>
    </row>
    <row r="176" spans="2:29">
      <c r="C176" t="s">
        <v>80</v>
      </c>
      <c r="D176" t="s">
        <v>94</v>
      </c>
      <c r="E176" t="s">
        <v>95</v>
      </c>
      <c r="F176">
        <v>228.37090000000001</v>
      </c>
      <c r="H176">
        <v>2.7</v>
      </c>
      <c r="J176">
        <f>AVERAGE(Lipid!$G176:$I176)</f>
        <v>2.7</v>
      </c>
      <c r="K176">
        <f>Lipid!$J176/$J$186</f>
        <v>2.5292740046838409E-2</v>
      </c>
      <c r="L176">
        <f t="shared" ref="L176:L185" si="69">K176*F176</f>
        <v>5.7761258079625302</v>
      </c>
      <c r="O176" t="s">
        <v>317</v>
      </c>
      <c r="P176">
        <f>AVERAGE(Sheet2!C2:C9)</f>
        <v>0.53251130902822286</v>
      </c>
      <c r="Q176">
        <f>P176/1000</f>
        <v>5.3251130902822288E-4</v>
      </c>
      <c r="R176">
        <f t="shared" ref="R176:R183" si="70">Q176*$P$20/$Q$184</f>
        <v>1.8360109666009838E-3</v>
      </c>
      <c r="S176">
        <v>12.519324168804543</v>
      </c>
      <c r="T176">
        <f>S176/100</f>
        <v>0.12519324168804544</v>
      </c>
      <c r="U176">
        <f t="shared" ref="U176:U183" si="71">S176*0.5/100</f>
        <v>6.2596620844022718E-2</v>
      </c>
      <c r="V176">
        <f t="shared" ref="V176:V183" si="72">S176*1.5/100</f>
        <v>0.18778986253206814</v>
      </c>
    </row>
    <row r="177" spans="3:22">
      <c r="C177" t="s">
        <v>81</v>
      </c>
      <c r="D177" t="s">
        <v>96</v>
      </c>
      <c r="E177" t="s">
        <v>97</v>
      </c>
      <c r="F177">
        <v>256.42410000000001</v>
      </c>
      <c r="H177">
        <v>8.6</v>
      </c>
      <c r="J177">
        <f>AVERAGE(Lipid!$G177:$I177)</f>
        <v>8.6</v>
      </c>
      <c r="K177">
        <f>Lipid!$J177/$J$186</f>
        <v>8.0562060889929746E-2</v>
      </c>
      <c r="L177">
        <f t="shared" si="69"/>
        <v>20.658053957845436</v>
      </c>
      <c r="O177" t="s">
        <v>320</v>
      </c>
      <c r="P177">
        <f>AVERAGE(Sheet2!C12:C19)</f>
        <v>0.41763457902169093</v>
      </c>
      <c r="Q177">
        <f>P177/1000</f>
        <v>4.1763457902169095E-4</v>
      </c>
      <c r="R177">
        <f t="shared" si="70"/>
        <v>1.4399349912678958E-3</v>
      </c>
      <c r="S177">
        <v>9.8185758503725182</v>
      </c>
      <c r="T177">
        <f t="shared" ref="T177:T183" si="73">S177/100</f>
        <v>9.8185758503725185E-2</v>
      </c>
      <c r="U177">
        <f t="shared" si="71"/>
        <v>4.9092879251862592E-2</v>
      </c>
      <c r="V177">
        <f t="shared" si="72"/>
        <v>0.14727863775558778</v>
      </c>
    </row>
    <row r="178" spans="3:22">
      <c r="C178" t="s">
        <v>82</v>
      </c>
      <c r="D178" t="s">
        <v>98</v>
      </c>
      <c r="E178" t="s">
        <v>99</v>
      </c>
      <c r="F178">
        <v>254.40819999999999</v>
      </c>
      <c r="H178">
        <v>28.3</v>
      </c>
      <c r="I178">
        <f>S176/2</f>
        <v>6.2596620844022715</v>
      </c>
      <c r="J178">
        <f>AVERAGE(Lipid!$G178:$I178)</f>
        <v>17.279831042201135</v>
      </c>
      <c r="K178">
        <f>Lipid!$J178/$J$186</f>
        <v>0.1618719535569193</v>
      </c>
      <c r="L178">
        <f t="shared" si="69"/>
        <v>41.181552334899436</v>
      </c>
      <c r="O178" t="s">
        <v>321</v>
      </c>
      <c r="P178">
        <f>AVERAGE(Sheet2!C22:C29)</f>
        <v>0.46780388918562527</v>
      </c>
      <c r="Q178">
        <f t="shared" ref="Q178:Q183" si="74">P178/1000</f>
        <v>4.6780388918562528E-4</v>
      </c>
      <c r="R178">
        <f t="shared" si="70"/>
        <v>1.6129104794615329E-3</v>
      </c>
      <c r="S178">
        <v>10.998054758367514</v>
      </c>
      <c r="T178">
        <f t="shared" si="73"/>
        <v>0.10998054758367515</v>
      </c>
      <c r="U178">
        <f t="shared" si="71"/>
        <v>5.4990273791837574E-2</v>
      </c>
      <c r="V178">
        <f t="shared" si="72"/>
        <v>0.16497082137551269</v>
      </c>
    </row>
    <row r="179" spans="3:22">
      <c r="C179" t="s">
        <v>93</v>
      </c>
      <c r="D179" t="s">
        <v>101</v>
      </c>
      <c r="E179" t="s">
        <v>102</v>
      </c>
      <c r="F179">
        <v>284.47719999999998</v>
      </c>
      <c r="H179">
        <v>0.7</v>
      </c>
      <c r="I179">
        <f>S180/2+S177/2</f>
        <v>9.9717572897287088</v>
      </c>
      <c r="J179">
        <f>AVERAGE(Lipid!$G179:$I179)</f>
        <v>5.335878644864354</v>
      </c>
      <c r="K179">
        <f>Lipid!$J179/$J$186</f>
        <v>4.9984811661492781E-2</v>
      </c>
      <c r="L179">
        <f t="shared" si="69"/>
        <v>14.219539263988814</v>
      </c>
      <c r="O179" t="s">
        <v>322</v>
      </c>
      <c r="P179">
        <f>AVERAGE(Sheet2!C32:C39)</f>
        <v>0.45980735514648841</v>
      </c>
      <c r="Q179">
        <f t="shared" si="74"/>
        <v>4.598073551464884E-4</v>
      </c>
      <c r="R179">
        <f t="shared" si="70"/>
        <v>1.5853397519638467E-3</v>
      </c>
      <c r="S179">
        <v>10.810056493982243</v>
      </c>
      <c r="T179">
        <f t="shared" si="73"/>
        <v>0.10810056493982242</v>
      </c>
      <c r="U179">
        <f t="shared" si="71"/>
        <v>5.4050282469911212E-2</v>
      </c>
      <c r="V179">
        <f t="shared" si="72"/>
        <v>0.16215084740973362</v>
      </c>
    </row>
    <row r="180" spans="3:22">
      <c r="C180" t="s">
        <v>85</v>
      </c>
      <c r="D180" t="s">
        <v>103</v>
      </c>
      <c r="E180" t="s">
        <v>104</v>
      </c>
      <c r="F180">
        <v>282.46140000000003</v>
      </c>
      <c r="H180">
        <v>1.7</v>
      </c>
      <c r="I180">
        <f>S177/2+S179/2</f>
        <v>10.314316172177382</v>
      </c>
      <c r="J180">
        <f>AVERAGE(Lipid!$G180:$I180)</f>
        <v>6.0071580860886904</v>
      </c>
      <c r="K180">
        <f>Lipid!$J180/$J$186</f>
        <v>5.6273143663594288E-2</v>
      </c>
      <c r="L180">
        <f t="shared" si="69"/>
        <v>15.894990941619973</v>
      </c>
      <c r="O180" t="s">
        <v>323</v>
      </c>
      <c r="P180">
        <f>AVERAGE(Sheet2!C42:C49)</f>
        <v>0.43066576947423141</v>
      </c>
      <c r="Q180">
        <f t="shared" si="74"/>
        <v>4.306657694742314E-4</v>
      </c>
      <c r="R180">
        <f t="shared" si="70"/>
        <v>1.4848643818237352E-3</v>
      </c>
      <c r="S180">
        <v>10.124938729084899</v>
      </c>
      <c r="T180">
        <f t="shared" si="73"/>
        <v>0.10124938729084899</v>
      </c>
      <c r="U180">
        <f t="shared" si="71"/>
        <v>5.0624693645424497E-2</v>
      </c>
      <c r="V180">
        <f t="shared" si="72"/>
        <v>0.1518740809362735</v>
      </c>
    </row>
    <row r="181" spans="3:22">
      <c r="C181" t="s">
        <v>86</v>
      </c>
      <c r="D181" t="s">
        <v>105</v>
      </c>
      <c r="E181" t="s">
        <v>106</v>
      </c>
      <c r="F181">
        <v>280.44549999999998</v>
      </c>
      <c r="H181">
        <v>2.4</v>
      </c>
      <c r="I181">
        <f>S178/4</f>
        <v>2.7495136895918786</v>
      </c>
      <c r="J181">
        <f>AVERAGE(Lipid!$G181:$I181)</f>
        <v>2.5747568447959392</v>
      </c>
      <c r="K181">
        <f>Lipid!$J181/$J$186</f>
        <v>2.4119502058978354E-2</v>
      </c>
      <c r="L181">
        <f t="shared" si="69"/>
        <v>6.7642058146812136</v>
      </c>
      <c r="O181" t="s">
        <v>324</v>
      </c>
      <c r="P181">
        <f>AVERAGE(Sheet2!C52:C59)</f>
        <v>0.51035124957151845</v>
      </c>
      <c r="Q181">
        <f t="shared" si="74"/>
        <v>5.1035124957151843E-4</v>
      </c>
      <c r="R181">
        <f t="shared" si="70"/>
        <v>1.7596067447689875E-3</v>
      </c>
      <c r="S181">
        <v>11.99834186620379</v>
      </c>
      <c r="T181">
        <f>S181/100</f>
        <v>0.11998341866203789</v>
      </c>
      <c r="U181">
        <f t="shared" si="71"/>
        <v>5.9991709331018946E-2</v>
      </c>
      <c r="V181">
        <f t="shared" si="72"/>
        <v>0.17997512799305684</v>
      </c>
    </row>
    <row r="182" spans="3:22">
      <c r="C182" t="s">
        <v>87</v>
      </c>
      <c r="D182" t="s">
        <v>107</v>
      </c>
      <c r="E182" t="s">
        <v>108</v>
      </c>
      <c r="F182">
        <v>278.42959999999999</v>
      </c>
      <c r="H182">
        <v>1</v>
      </c>
      <c r="I182">
        <f>S178/4</f>
        <v>2.7495136895918786</v>
      </c>
      <c r="J182">
        <f>AVERAGE(Lipid!$G182:$I182)</f>
        <v>1.8747568447959393</v>
      </c>
      <c r="K182">
        <f>Lipid!$J182/$J$186</f>
        <v>1.7562125009798025E-2</v>
      </c>
      <c r="L182">
        <f t="shared" si="69"/>
        <v>4.8898154416280599</v>
      </c>
      <c r="O182" t="s">
        <v>325</v>
      </c>
      <c r="P182">
        <f>AVERAGE(Sheet2!C62:C69)</f>
        <v>0.68837136076598837</v>
      </c>
      <c r="Q182">
        <f t="shared" si="74"/>
        <v>6.8837136076598839E-4</v>
      </c>
      <c r="R182">
        <f t="shared" si="70"/>
        <v>2.3733906605041006E-3</v>
      </c>
      <c r="S182">
        <v>16.183589095370294</v>
      </c>
      <c r="T182">
        <f t="shared" si="73"/>
        <v>0.16183589095370293</v>
      </c>
      <c r="U182">
        <f t="shared" si="71"/>
        <v>8.0917945476851466E-2</v>
      </c>
      <c r="V182">
        <f t="shared" si="72"/>
        <v>0.24275383643055443</v>
      </c>
    </row>
    <row r="183" spans="3:22">
      <c r="C183" t="s">
        <v>90</v>
      </c>
      <c r="D183" t="s">
        <v>113</v>
      </c>
      <c r="E183" t="s">
        <v>114</v>
      </c>
      <c r="F183">
        <v>306.4828</v>
      </c>
      <c r="H183">
        <v>2.2000000000000002</v>
      </c>
      <c r="J183">
        <f>AVERAGE(Lipid!$G183:$I183)</f>
        <v>2.2000000000000002</v>
      </c>
      <c r="K183">
        <f>Lipid!$J183/$J$186</f>
        <v>2.0608899297423888E-2</v>
      </c>
      <c r="L183">
        <f t="shared" si="69"/>
        <v>6.3162731615925054</v>
      </c>
      <c r="O183" t="s">
        <v>326</v>
      </c>
      <c r="P183">
        <f>AVERAGE(Sheet2!C72:C79)</f>
        <v>0.74636930895869058</v>
      </c>
      <c r="Q183">
        <f t="shared" si="74"/>
        <v>7.4636930895869054E-4</v>
      </c>
      <c r="R183">
        <f t="shared" si="70"/>
        <v>2.5733579985057677E-3</v>
      </c>
      <c r="S183">
        <v>17.547119037814181</v>
      </c>
      <c r="T183">
        <f t="shared" si="73"/>
        <v>0.17547119037814179</v>
      </c>
      <c r="U183">
        <f t="shared" si="71"/>
        <v>8.7735595189070897E-2</v>
      </c>
      <c r="V183">
        <f t="shared" si="72"/>
        <v>0.26320678556721266</v>
      </c>
    </row>
    <row r="184" spans="3:22">
      <c r="C184" t="s">
        <v>91</v>
      </c>
      <c r="D184" t="s">
        <v>115</v>
      </c>
      <c r="E184" t="s">
        <v>116</v>
      </c>
      <c r="F184">
        <v>304.46690000000001</v>
      </c>
      <c r="H184">
        <v>25.9</v>
      </c>
      <c r="I184">
        <f>S178/4+S182/2+S183</f>
        <v>28.388427275091207</v>
      </c>
      <c r="J184">
        <f>AVERAGE(Lipid!$G184:$I184)</f>
        <v>27.144213637545604</v>
      </c>
      <c r="K184">
        <f>Lipid!$J184/$J$186</f>
        <v>0.25427834789269887</v>
      </c>
      <c r="L184">
        <f t="shared" si="69"/>
        <v>77.419340320011557</v>
      </c>
      <c r="P184">
        <f>SUM(P176:P183)</f>
        <v>4.2535148211524563</v>
      </c>
      <c r="Q184">
        <f>SUM(Q176:Q183)</f>
        <v>4.2535148211524567E-3</v>
      </c>
      <c r="R184">
        <f t="shared" ref="R184:T184" si="75">SUM(R176:R183)</f>
        <v>1.466541597489685E-2</v>
      </c>
      <c r="S184">
        <f t="shared" si="75"/>
        <v>99.999999999999986</v>
      </c>
      <c r="T184">
        <f t="shared" si="75"/>
        <v>0.99999999999999978</v>
      </c>
      <c r="U184">
        <f t="shared" ref="U184" si="76">SUM(U176:U183)</f>
        <v>0.49999999999999989</v>
      </c>
      <c r="V184">
        <f t="shared" ref="V184" si="77">SUM(V176:V183)</f>
        <v>1.4999999999999996</v>
      </c>
    </row>
    <row r="185" spans="3:22">
      <c r="C185" t="s">
        <v>92</v>
      </c>
      <c r="D185" t="s">
        <v>117</v>
      </c>
      <c r="E185" t="s">
        <v>118</v>
      </c>
      <c r="F185">
        <v>302.45100000000002</v>
      </c>
      <c r="H185">
        <v>26.5</v>
      </c>
      <c r="I185">
        <f>S176/2+S178/4+S179/2+S180/2+S181+S182/2</f>
        <v>39.566809799416653</v>
      </c>
      <c r="J185">
        <f>AVERAGE(Lipid!$G185:$I185)</f>
        <v>33.03340489970833</v>
      </c>
      <c r="K185">
        <f>Lipid!$J185/$J$186</f>
        <v>0.3094464159223263</v>
      </c>
      <c r="L185">
        <f t="shared" si="69"/>
        <v>93.59237794212352</v>
      </c>
    </row>
    <row r="186" spans="3:22">
      <c r="C186" t="s">
        <v>31</v>
      </c>
      <c r="D186" t="s">
        <v>34</v>
      </c>
      <c r="E186" t="s">
        <v>34</v>
      </c>
      <c r="F186">
        <f t="shared" ref="F186:I186" si="78">SUM(F176:F185)</f>
        <v>2778.4175999999998</v>
      </c>
      <c r="G186">
        <f t="shared" si="78"/>
        <v>0</v>
      </c>
      <c r="H186">
        <f t="shared" si="78"/>
        <v>100</v>
      </c>
      <c r="I186">
        <f t="shared" si="78"/>
        <v>99.999999999999972</v>
      </c>
      <c r="J186">
        <f>SUM(J176:J185)</f>
        <v>106.75</v>
      </c>
      <c r="K186">
        <f>SUM(K176:K185)</f>
        <v>1</v>
      </c>
      <c r="L186">
        <f>SUM(L176:L185)</f>
        <v>286.71227498635301</v>
      </c>
    </row>
    <row r="189" spans="3:22">
      <c r="C189" t="s">
        <v>64</v>
      </c>
      <c r="G189" t="s">
        <v>137</v>
      </c>
      <c r="H189" t="s">
        <v>76</v>
      </c>
    </row>
    <row r="190" spans="3:22">
      <c r="C190" t="s">
        <v>22</v>
      </c>
      <c r="D190" t="s">
        <v>23</v>
      </c>
      <c r="E190" t="s">
        <v>24</v>
      </c>
      <c r="F190" t="s">
        <v>25</v>
      </c>
      <c r="G190" t="s">
        <v>128</v>
      </c>
      <c r="H190" t="s">
        <v>128</v>
      </c>
      <c r="J190" t="s">
        <v>129</v>
      </c>
      <c r="K190" t="s">
        <v>130</v>
      </c>
      <c r="L190" t="s">
        <v>131</v>
      </c>
      <c r="O190" t="s">
        <v>329</v>
      </c>
      <c r="P190">
        <f>AVERAGE(Sheet2!C82:D89)</f>
        <v>8.5915406709729095E-2</v>
      </c>
      <c r="Q190">
        <f>P190/1000</f>
        <v>8.5915406709729093E-5</v>
      </c>
      <c r="R190">
        <f>Q190*$P$21/$Q$193</f>
        <v>7.516550840821241E-5</v>
      </c>
      <c r="S190">
        <v>0.56701529142954954</v>
      </c>
      <c r="T190">
        <f>S190/100</f>
        <v>5.6701529142954956E-3</v>
      </c>
      <c r="U190">
        <f>T190*0.5</f>
        <v>2.8350764571477478E-3</v>
      </c>
      <c r="V190">
        <f>T190*1.5</f>
        <v>8.5052293714432438E-3</v>
      </c>
    </row>
    <row r="191" spans="3:22">
      <c r="C191" t="s">
        <v>80</v>
      </c>
      <c r="D191" t="s">
        <v>94</v>
      </c>
      <c r="E191" t="s">
        <v>95</v>
      </c>
      <c r="F191">
        <v>228.37090000000001</v>
      </c>
      <c r="H191">
        <v>4.4000000000000004</v>
      </c>
      <c r="J191">
        <f>AVERAGE(Lipid!$G191:$I191)</f>
        <v>4.4000000000000004</v>
      </c>
      <c r="K191">
        <f>Lipid!$J191/$J$199</f>
        <v>3.8062283737024229E-2</v>
      </c>
      <c r="L191">
        <f t="shared" ref="L191:L198" si="79">K191*F191</f>
        <v>8.6923179930795875</v>
      </c>
      <c r="O191" t="s">
        <v>332</v>
      </c>
      <c r="P191">
        <f>AVERAGE(Sheet2!C92:D99)</f>
        <v>7.5331525011089866</v>
      </c>
      <c r="Q191">
        <f t="shared" ref="Q191:Q192" si="80">P191/1000</f>
        <v>7.5331525011089863E-3</v>
      </c>
      <c r="R191">
        <f>Q191*$P$21/$Q$193</f>
        <v>6.59059020200545E-3</v>
      </c>
      <c r="S191">
        <v>49.716492354285222</v>
      </c>
      <c r="T191">
        <f t="shared" ref="T191:T192" si="81">S191/100</f>
        <v>0.49716492354285224</v>
      </c>
      <c r="U191">
        <f t="shared" ref="U191:U192" si="82">T191*0.5</f>
        <v>0.24858246177142612</v>
      </c>
      <c r="V191">
        <f t="shared" ref="V191:V192" si="83">T191*1.5</f>
        <v>0.74574738531427842</v>
      </c>
    </row>
    <row r="192" spans="3:22">
      <c r="C192" t="s">
        <v>81</v>
      </c>
      <c r="D192" t="s">
        <v>96</v>
      </c>
      <c r="E192" t="s">
        <v>97</v>
      </c>
      <c r="F192">
        <v>256.42410000000001</v>
      </c>
      <c r="H192">
        <v>28.6</v>
      </c>
      <c r="I192">
        <f>S190/2+S191/2</f>
        <v>25.141753822857385</v>
      </c>
      <c r="J192">
        <f>AVERAGE(Lipid!$G192:$I192)</f>
        <v>26.870876911428695</v>
      </c>
      <c r="K192">
        <f>Lipid!$J192/$J$199</f>
        <v>0.2324470321057846</v>
      </c>
      <c r="L192">
        <f t="shared" si="79"/>
        <v>59.605021005396921</v>
      </c>
      <c r="O192" t="s">
        <v>333</v>
      </c>
      <c r="P192">
        <f>AVERAGE(Sheet2!C102:D109)</f>
        <v>7.5331525011089866</v>
      </c>
      <c r="Q192">
        <f t="shared" si="80"/>
        <v>7.5331525011089863E-3</v>
      </c>
      <c r="R192">
        <f>Q192*$P$21/$Q$193</f>
        <v>6.59059020200545E-3</v>
      </c>
      <c r="S192">
        <v>49.716492354285222</v>
      </c>
      <c r="T192">
        <f t="shared" si="81"/>
        <v>0.49716492354285224</v>
      </c>
      <c r="U192">
        <f t="shared" si="82"/>
        <v>0.24858246177142612</v>
      </c>
      <c r="V192">
        <f t="shared" si="83"/>
        <v>0.74574738531427842</v>
      </c>
    </row>
    <row r="193" spans="3:27">
      <c r="C193" t="s">
        <v>82</v>
      </c>
      <c r="D193" t="s">
        <v>98</v>
      </c>
      <c r="E193" t="s">
        <v>99</v>
      </c>
      <c r="F193">
        <v>254.40819999999999</v>
      </c>
      <c r="H193">
        <v>36.1</v>
      </c>
      <c r="I193">
        <f>S191/2+S192</f>
        <v>74.57473853142784</v>
      </c>
      <c r="J193">
        <f>AVERAGE(Lipid!$G193:$I193)</f>
        <v>55.337369265713917</v>
      </c>
      <c r="K193">
        <f>Lipid!$J193/$J$199</f>
        <v>0.47869696596638345</v>
      </c>
      <c r="L193">
        <f t="shared" si="79"/>
        <v>121.78443345696887</v>
      </c>
      <c r="P193">
        <f>SUM(P190:P192)</f>
        <v>15.152220408927702</v>
      </c>
      <c r="Q193">
        <f t="shared" ref="Q193:U193" si="84">SUM(Q190:Q192)</f>
        <v>1.5152220408927702E-2</v>
      </c>
      <c r="R193">
        <f t="shared" si="84"/>
        <v>1.3256345912419112E-2</v>
      </c>
      <c r="S193">
        <f t="shared" si="84"/>
        <v>100</v>
      </c>
      <c r="T193">
        <f t="shared" si="84"/>
        <v>1</v>
      </c>
      <c r="U193">
        <f t="shared" si="84"/>
        <v>0.5</v>
      </c>
      <c r="V193">
        <f>SUM(V190:V192)</f>
        <v>1.5</v>
      </c>
    </row>
    <row r="194" spans="3:27">
      <c r="C194" t="s">
        <v>93</v>
      </c>
      <c r="D194" t="s">
        <v>101</v>
      </c>
      <c r="E194" t="s">
        <v>102</v>
      </c>
      <c r="F194">
        <v>284.47719999999998</v>
      </c>
      <c r="H194">
        <v>1.1000000000000001</v>
      </c>
      <c r="J194">
        <f>AVERAGE(Lipid!$G194:$I194)</f>
        <v>1.1000000000000001</v>
      </c>
      <c r="K194">
        <f>Lipid!$J194/$J$199</f>
        <v>9.5155709342560572E-3</v>
      </c>
      <c r="L194">
        <f t="shared" si="79"/>
        <v>2.7069629757785472</v>
      </c>
    </row>
    <row r="195" spans="3:27">
      <c r="C195" t="s">
        <v>85</v>
      </c>
      <c r="D195" t="s">
        <v>103</v>
      </c>
      <c r="E195" t="s">
        <v>104</v>
      </c>
      <c r="F195">
        <v>282.46140000000003</v>
      </c>
      <c r="H195">
        <v>3.9</v>
      </c>
      <c r="I195">
        <f>S190/2</f>
        <v>0.28350764571477477</v>
      </c>
      <c r="J195">
        <f>AVERAGE(Lipid!$G195:$I195)</f>
        <v>2.0917538228573873</v>
      </c>
      <c r="K195">
        <f>Lipid!$J195/$J$199</f>
        <v>1.8094756253091589E-2</v>
      </c>
      <c r="L195">
        <f t="shared" si="79"/>
        <v>5.111070183907005</v>
      </c>
    </row>
    <row r="196" spans="3:27">
      <c r="C196" t="s">
        <v>86</v>
      </c>
      <c r="D196" t="s">
        <v>105</v>
      </c>
      <c r="E196" t="s">
        <v>106</v>
      </c>
      <c r="F196">
        <v>280.44549999999998</v>
      </c>
      <c r="H196">
        <v>4.9000000000000004</v>
      </c>
      <c r="J196">
        <f>AVERAGE(Lipid!$G196:$I196)</f>
        <v>4.9000000000000004</v>
      </c>
      <c r="K196">
        <f>Lipid!$J196/$J$199</f>
        <v>4.2387543252595167E-2</v>
      </c>
      <c r="L196">
        <f t="shared" si="79"/>
        <v>11.887395761245678</v>
      </c>
      <c r="O196" t="s">
        <v>334</v>
      </c>
    </row>
    <row r="197" spans="3:27">
      <c r="C197" t="s">
        <v>91</v>
      </c>
      <c r="D197" t="s">
        <v>115</v>
      </c>
      <c r="E197" t="s">
        <v>116</v>
      </c>
      <c r="F197">
        <v>304.46690000000001</v>
      </c>
      <c r="H197">
        <v>14.1</v>
      </c>
      <c r="J197">
        <f>AVERAGE(Lipid!$G197:$I197)</f>
        <v>14.1</v>
      </c>
      <c r="K197">
        <f>Lipid!$J197/$J$199</f>
        <v>0.12197231833910037</v>
      </c>
      <c r="L197">
        <f t="shared" si="79"/>
        <v>37.136533650519041</v>
      </c>
    </row>
    <row r="198" spans="3:27">
      <c r="C198" t="s">
        <v>92</v>
      </c>
      <c r="D198" t="s">
        <v>117</v>
      </c>
      <c r="E198" t="s">
        <v>118</v>
      </c>
      <c r="F198">
        <v>302.45100000000002</v>
      </c>
      <c r="H198">
        <v>6.8</v>
      </c>
      <c r="J198">
        <f>AVERAGE(Lipid!$G198:$I198)</f>
        <v>6.8</v>
      </c>
      <c r="K198">
        <f>Lipid!$J198/$J$199</f>
        <v>5.8823529411764712E-2</v>
      </c>
      <c r="L198">
        <f t="shared" si="79"/>
        <v>17.791235294117651</v>
      </c>
    </row>
    <row r="199" spans="3:27">
      <c r="C199" t="s">
        <v>31</v>
      </c>
      <c r="D199" t="s">
        <v>34</v>
      </c>
      <c r="E199" t="s">
        <v>34</v>
      </c>
      <c r="F199">
        <f t="shared" ref="F199:H199" si="85">SUM(F191:F198)</f>
        <v>2193.5052000000001</v>
      </c>
      <c r="G199">
        <f t="shared" si="85"/>
        <v>0</v>
      </c>
      <c r="H199">
        <f t="shared" si="85"/>
        <v>99.899999999999991</v>
      </c>
      <c r="J199">
        <f>SUM(J191:J198)</f>
        <v>115.59999999999998</v>
      </c>
      <c r="K199">
        <f>SUM(K191:K198)</f>
        <v>1</v>
      </c>
      <c r="L199">
        <f>SUM(L191:L198)</f>
        <v>264.71497032101331</v>
      </c>
    </row>
    <row r="203" spans="3:27">
      <c r="C203" t="s">
        <v>67</v>
      </c>
      <c r="G203" t="s">
        <v>137</v>
      </c>
      <c r="H203" t="s">
        <v>76</v>
      </c>
      <c r="O203" t="s">
        <v>260</v>
      </c>
      <c r="P203">
        <v>4.49</v>
      </c>
      <c r="Q203">
        <v>15.64</v>
      </c>
      <c r="R203">
        <f>AVERAGE(P203:Q203)</f>
        <v>10.065000000000001</v>
      </c>
      <c r="S203">
        <f t="shared" ref="S203:S225" si="86">R203/$R$226*$P$24</f>
        <v>1.3024647827905662E-3</v>
      </c>
      <c r="T203">
        <f t="shared" ref="T203:T225" si="87">S203/$P$24</f>
        <v>3.415221743408775E-2</v>
      </c>
      <c r="U203">
        <f>T203*100</f>
        <v>3.4152217434087753</v>
      </c>
      <c r="V203">
        <f>T203*0.5</f>
        <v>1.7076108717043875E-2</v>
      </c>
      <c r="W203">
        <f>T203*1.5</f>
        <v>5.1228326151131626E-2</v>
      </c>
    </row>
    <row r="204" spans="3:27">
      <c r="C204" t="s">
        <v>22</v>
      </c>
      <c r="D204" t="s">
        <v>23</v>
      </c>
      <c r="E204" t="s">
        <v>24</v>
      </c>
      <c r="F204" t="s">
        <v>25</v>
      </c>
      <c r="G204" t="s">
        <v>128</v>
      </c>
      <c r="H204" t="s">
        <v>128</v>
      </c>
      <c r="J204" t="s">
        <v>293</v>
      </c>
      <c r="K204" t="s">
        <v>130</v>
      </c>
      <c r="L204" t="s">
        <v>131</v>
      </c>
      <c r="M204" t="s">
        <v>132</v>
      </c>
      <c r="O204" t="s">
        <v>237</v>
      </c>
      <c r="P204">
        <v>5.08</v>
      </c>
      <c r="R204">
        <f t="shared" ref="R204:R225" si="88">AVERAGE(P204:Q204)</f>
        <v>5.08</v>
      </c>
      <c r="S204">
        <f t="shared" si="86"/>
        <v>6.5737914521371836E-4</v>
      </c>
      <c r="T204">
        <f t="shared" si="87"/>
        <v>1.7237284109802856E-2</v>
      </c>
      <c r="U204">
        <f t="shared" ref="U204:U225" si="89">T204*100</f>
        <v>1.7237284109802857</v>
      </c>
      <c r="V204">
        <f t="shared" ref="V204:V225" si="90">T204*0.5</f>
        <v>8.6186420549014282E-3</v>
      </c>
      <c r="W204">
        <f t="shared" ref="W204:W225" si="91">T204*1.5</f>
        <v>2.5855926164704286E-2</v>
      </c>
      <c r="Y204" t="s">
        <v>237</v>
      </c>
      <c r="Z204">
        <v>8.6186420549014282E-3</v>
      </c>
      <c r="AA204">
        <v>2.5855926164704286E-2</v>
      </c>
    </row>
    <row r="205" spans="3:27">
      <c r="C205" t="s">
        <v>80</v>
      </c>
      <c r="D205" t="s">
        <v>94</v>
      </c>
      <c r="E205" t="s">
        <v>95</v>
      </c>
      <c r="F205">
        <v>228.37090000000001</v>
      </c>
      <c r="H205">
        <v>3.7</v>
      </c>
      <c r="I205">
        <v>4.5103661226290255</v>
      </c>
      <c r="J205">
        <f>AVERAGE(H205:I205)</f>
        <v>4.1051830613145128</v>
      </c>
      <c r="K205">
        <f>J205/$J$217</f>
        <v>4.0135946987867002E-2</v>
      </c>
      <c r="L205">
        <f>K205*F205</f>
        <v>9.1658823359714763</v>
      </c>
      <c r="O205" t="s">
        <v>268</v>
      </c>
      <c r="P205">
        <v>16.79</v>
      </c>
      <c r="Q205">
        <v>34.26</v>
      </c>
      <c r="R205">
        <f t="shared" si="88"/>
        <v>25.524999999999999</v>
      </c>
      <c r="S205">
        <f t="shared" si="86"/>
        <v>3.3030713940118426E-3</v>
      </c>
      <c r="T205">
        <f t="shared" si="87"/>
        <v>8.6610566319432647E-2</v>
      </c>
      <c r="U205">
        <f t="shared" si="89"/>
        <v>8.6610566319432643</v>
      </c>
      <c r="V205">
        <f t="shared" si="90"/>
        <v>4.3305283159716323E-2</v>
      </c>
      <c r="W205">
        <f t="shared" si="91"/>
        <v>0.12991584947914897</v>
      </c>
      <c r="Y205" t="s">
        <v>268</v>
      </c>
      <c r="Z205">
        <v>4.3305283159716323E-2</v>
      </c>
      <c r="AA205">
        <v>0.12991584947914897</v>
      </c>
    </row>
    <row r="206" spans="3:27">
      <c r="C206" t="s">
        <v>81</v>
      </c>
      <c r="D206" t="s">
        <v>96</v>
      </c>
      <c r="E206" t="s">
        <v>97</v>
      </c>
      <c r="F206">
        <v>256.42410000000001</v>
      </c>
      <c r="H206">
        <v>6.9</v>
      </c>
      <c r="I206">
        <v>19.797427980048184</v>
      </c>
      <c r="J206">
        <f t="shared" ref="J206:J216" si="92">AVERAGE(H206:I206)</f>
        <v>13.348713990024091</v>
      </c>
      <c r="K206">
        <f t="shared" ref="K206:K216" si="93">J206/$J$217</f>
        <v>0.1305089856061741</v>
      </c>
      <c r="L206">
        <f t="shared" ref="L206:L216" si="94">K206*F206</f>
        <v>33.465649175976154</v>
      </c>
      <c r="O206" s="6" t="s">
        <v>269</v>
      </c>
      <c r="Q206">
        <v>12.01</v>
      </c>
      <c r="R206">
        <f t="shared" si="88"/>
        <v>12.01</v>
      </c>
      <c r="S206">
        <f t="shared" si="86"/>
        <v>1.5541581759875506E-3</v>
      </c>
      <c r="T206">
        <f t="shared" si="87"/>
        <v>4.0751925621797691E-2</v>
      </c>
      <c r="U206">
        <f t="shared" si="89"/>
        <v>4.0751925621797689</v>
      </c>
      <c r="V206">
        <f t="shared" si="90"/>
        <v>2.0375962810898846E-2</v>
      </c>
      <c r="W206">
        <f t="shared" si="91"/>
        <v>6.1127888432696537E-2</v>
      </c>
      <c r="Y206" s="6" t="s">
        <v>269</v>
      </c>
      <c r="Z206">
        <v>2.0375962810898846E-2</v>
      </c>
      <c r="AA206">
        <v>6.1127888432696537E-2</v>
      </c>
    </row>
    <row r="207" spans="3:27">
      <c r="C207" t="s">
        <v>82</v>
      </c>
      <c r="D207" t="s">
        <v>98</v>
      </c>
      <c r="E207" t="s">
        <v>99</v>
      </c>
      <c r="F207">
        <v>254.40819999999999</v>
      </c>
      <c r="H207">
        <v>23.5</v>
      </c>
      <c r="I207">
        <v>13.761833666994672</v>
      </c>
      <c r="J207">
        <f t="shared" si="92"/>
        <v>18.630916833497338</v>
      </c>
      <c r="K207">
        <f t="shared" si="93"/>
        <v>0.18215253234655174</v>
      </c>
      <c r="L207">
        <f t="shared" si="94"/>
        <v>46.341097879728004</v>
      </c>
      <c r="O207" s="6" t="s">
        <v>270</v>
      </c>
      <c r="P207">
        <v>1.18</v>
      </c>
      <c r="Q207">
        <v>23.42</v>
      </c>
      <c r="R207">
        <f t="shared" si="88"/>
        <v>12.3</v>
      </c>
      <c r="S207">
        <f t="shared" si="86"/>
        <v>1.5916857256158931E-3</v>
      </c>
      <c r="T207">
        <f t="shared" si="87"/>
        <v>4.1735943809168334E-2</v>
      </c>
      <c r="U207">
        <f t="shared" si="89"/>
        <v>4.1735943809168337</v>
      </c>
      <c r="V207">
        <f t="shared" si="90"/>
        <v>2.0867971904584167E-2</v>
      </c>
      <c r="W207">
        <f t="shared" si="91"/>
        <v>6.2603915713752498E-2</v>
      </c>
      <c r="Y207" s="6" t="s">
        <v>270</v>
      </c>
      <c r="Z207">
        <v>2.0867971904584167E-2</v>
      </c>
      <c r="AA207">
        <v>6.2603915713752498E-2</v>
      </c>
    </row>
    <row r="208" spans="3:27">
      <c r="C208" t="s">
        <v>284</v>
      </c>
      <c r="D208" t="s">
        <v>287</v>
      </c>
      <c r="E208" t="s">
        <v>286</v>
      </c>
      <c r="F208">
        <v>269.45</v>
      </c>
      <c r="I208">
        <v>0.46656034746021507</v>
      </c>
      <c r="J208">
        <f t="shared" si="92"/>
        <v>0.46656034746021507</v>
      </c>
      <c r="K208">
        <f t="shared" si="93"/>
        <v>4.5615118966967176E-3</v>
      </c>
      <c r="L208">
        <f t="shared" si="94"/>
        <v>1.2290993805649304</v>
      </c>
      <c r="O208" s="6" t="s">
        <v>271</v>
      </c>
      <c r="P208">
        <v>4.22</v>
      </c>
      <c r="R208">
        <f t="shared" si="88"/>
        <v>4.22</v>
      </c>
      <c r="S208">
        <f t="shared" si="86"/>
        <v>5.4609054976415179E-4</v>
      </c>
      <c r="T208">
        <f t="shared" si="87"/>
        <v>1.4319161209324418E-2</v>
      </c>
      <c r="U208">
        <f t="shared" si="89"/>
        <v>1.4319161209324418</v>
      </c>
      <c r="V208">
        <f t="shared" si="90"/>
        <v>7.1595806046622088E-3</v>
      </c>
      <c r="W208">
        <f t="shared" si="91"/>
        <v>2.1478741813986627E-2</v>
      </c>
      <c r="Y208" s="6" t="s">
        <v>271</v>
      </c>
      <c r="Z208">
        <v>7.1595806046622088E-3</v>
      </c>
      <c r="AA208">
        <v>2.1478741813986627E-2</v>
      </c>
    </row>
    <row r="209" spans="3:27">
      <c r="C209" t="s">
        <v>285</v>
      </c>
      <c r="D209" t="s">
        <v>288</v>
      </c>
      <c r="E209" t="s">
        <v>289</v>
      </c>
      <c r="F209">
        <v>267.43</v>
      </c>
      <c r="I209">
        <v>2.3005666587492786</v>
      </c>
      <c r="J209">
        <f t="shared" si="92"/>
        <v>2.3005666587492786</v>
      </c>
      <c r="K209">
        <f t="shared" si="93"/>
        <v>2.2492400479711815E-2</v>
      </c>
      <c r="L209">
        <f t="shared" si="94"/>
        <v>6.0151426602893308</v>
      </c>
      <c r="O209" t="s">
        <v>272</v>
      </c>
      <c r="Q209">
        <v>3.92</v>
      </c>
      <c r="R209">
        <f t="shared" si="88"/>
        <v>3.92</v>
      </c>
      <c r="S209">
        <f t="shared" si="86"/>
        <v>5.0726894670034958E-4</v>
      </c>
      <c r="T209">
        <f t="shared" si="87"/>
        <v>1.3301211360320312E-2</v>
      </c>
      <c r="U209">
        <f t="shared" si="89"/>
        <v>1.3301211360320313</v>
      </c>
      <c r="V209">
        <f t="shared" si="90"/>
        <v>6.650605680160156E-3</v>
      </c>
      <c r="W209">
        <f t="shared" si="91"/>
        <v>1.995181704048047E-2</v>
      </c>
      <c r="Y209" t="s">
        <v>272</v>
      </c>
      <c r="Z209">
        <v>6.6506056801601569E-3</v>
      </c>
      <c r="AA209">
        <v>1.995181704048047E-2</v>
      </c>
    </row>
    <row r="210" spans="3:27">
      <c r="C210" t="s">
        <v>93</v>
      </c>
      <c r="D210" t="s">
        <v>101</v>
      </c>
      <c r="E210" t="s">
        <v>102</v>
      </c>
      <c r="F210">
        <v>284.47719999999998</v>
      </c>
      <c r="H210">
        <v>0.8</v>
      </c>
      <c r="I210">
        <v>9.3312069492043015E-2</v>
      </c>
      <c r="J210">
        <f t="shared" si="92"/>
        <v>0.44665603474602156</v>
      </c>
      <c r="K210">
        <f t="shared" si="93"/>
        <v>4.3669095055256426E-3</v>
      </c>
      <c r="L210">
        <f t="shared" si="94"/>
        <v>1.2422861887853192</v>
      </c>
      <c r="O210" t="s">
        <v>273</v>
      </c>
      <c r="P210">
        <v>1.65</v>
      </c>
      <c r="Q210">
        <v>11.57</v>
      </c>
      <c r="R210">
        <f t="shared" si="88"/>
        <v>6.61</v>
      </c>
      <c r="S210">
        <f t="shared" si="86"/>
        <v>8.5536932083910997E-4</v>
      </c>
      <c r="T210">
        <f t="shared" si="87"/>
        <v>2.2428828339723796E-2</v>
      </c>
      <c r="U210">
        <f t="shared" si="89"/>
        <v>2.2428828339723794</v>
      </c>
      <c r="V210">
        <f t="shared" si="90"/>
        <v>1.1214414169861898E-2</v>
      </c>
      <c r="W210">
        <f t="shared" si="91"/>
        <v>3.3643242509585697E-2</v>
      </c>
      <c r="Y210" t="s">
        <v>273</v>
      </c>
      <c r="Z210">
        <v>1.1214414169861898E-2</v>
      </c>
      <c r="AA210">
        <v>3.3643242509585697E-2</v>
      </c>
    </row>
    <row r="211" spans="3:27">
      <c r="C211" t="s">
        <v>85</v>
      </c>
      <c r="D211" t="s">
        <v>103</v>
      </c>
      <c r="E211" t="s">
        <v>104</v>
      </c>
      <c r="F211">
        <v>282.46140000000003</v>
      </c>
      <c r="H211">
        <v>0.9</v>
      </c>
      <c r="I211">
        <v>3.1810932781378298</v>
      </c>
      <c r="J211">
        <f t="shared" si="92"/>
        <v>2.0405466390689151</v>
      </c>
      <c r="K211">
        <f t="shared" si="93"/>
        <v>1.9950211844076776E-2</v>
      </c>
      <c r="L211">
        <f t="shared" si="94"/>
        <v>5.6351647677745085</v>
      </c>
      <c r="O211" t="s">
        <v>265</v>
      </c>
      <c r="Q211">
        <v>2.67</v>
      </c>
      <c r="R211">
        <f t="shared" si="88"/>
        <v>2.67</v>
      </c>
      <c r="S211">
        <f t="shared" si="86"/>
        <v>3.4551226726784015E-4</v>
      </c>
      <c r="T211">
        <f t="shared" si="87"/>
        <v>9.0597536561365394E-3</v>
      </c>
      <c r="U211">
        <f t="shared" si="89"/>
        <v>0.90597536561365399</v>
      </c>
      <c r="V211">
        <f t="shared" si="90"/>
        <v>4.5298768280682697E-3</v>
      </c>
      <c r="W211">
        <f t="shared" si="91"/>
        <v>1.358963048420481E-2</v>
      </c>
      <c r="Y211" t="s">
        <v>265</v>
      </c>
      <c r="Z211">
        <v>4.5298768280682697E-3</v>
      </c>
      <c r="AA211">
        <v>1.358963048420481E-2</v>
      </c>
    </row>
    <row r="212" spans="3:27">
      <c r="C212" t="s">
        <v>86</v>
      </c>
      <c r="D212" t="s">
        <v>105</v>
      </c>
      <c r="E212" t="s">
        <v>106</v>
      </c>
      <c r="F212">
        <v>280.44549999999998</v>
      </c>
      <c r="H212">
        <v>1.3</v>
      </c>
      <c r="I212">
        <v>3.2404736859964034</v>
      </c>
      <c r="J212">
        <f t="shared" si="92"/>
        <v>2.2702368429982016</v>
      </c>
      <c r="K212">
        <f t="shared" si="93"/>
        <v>2.2195869031794553E-2</v>
      </c>
      <c r="L212">
        <f t="shared" si="94"/>
        <v>6.2247315885561392</v>
      </c>
      <c r="O212" s="6" t="s">
        <v>274</v>
      </c>
      <c r="P212">
        <v>29.96</v>
      </c>
      <c r="Q212">
        <v>40.770000000000003</v>
      </c>
      <c r="R212">
        <f t="shared" si="88"/>
        <v>35.365000000000002</v>
      </c>
      <c r="S212">
        <f t="shared" si="86"/>
        <v>4.5764199745045569E-3</v>
      </c>
      <c r="T212">
        <f t="shared" si="87"/>
        <v>0.11999932136676732</v>
      </c>
      <c r="U212">
        <f t="shared" si="89"/>
        <v>11.999932136676732</v>
      </c>
      <c r="V212">
        <f t="shared" si="90"/>
        <v>5.9999660683383658E-2</v>
      </c>
      <c r="W212">
        <f t="shared" si="91"/>
        <v>0.17999898205015097</v>
      </c>
      <c r="Y212" s="6" t="s">
        <v>274</v>
      </c>
      <c r="Z212">
        <v>5.9999660683383665E-2</v>
      </c>
      <c r="AA212">
        <v>0.179998982050151</v>
      </c>
    </row>
    <row r="213" spans="3:27">
      <c r="C213" t="s">
        <v>87</v>
      </c>
      <c r="D213" t="s">
        <v>107</v>
      </c>
      <c r="E213" t="s">
        <v>108</v>
      </c>
      <c r="F213">
        <v>278.42959999999999</v>
      </c>
      <c r="I213">
        <v>1.0111635166774118</v>
      </c>
      <c r="J213">
        <f t="shared" si="92"/>
        <v>1.0111635166774118</v>
      </c>
      <c r="K213">
        <f t="shared" si="93"/>
        <v>9.8860403288408873E-3</v>
      </c>
      <c r="L213">
        <f t="shared" si="94"/>
        <v>2.7525662543430367</v>
      </c>
      <c r="O213" s="6" t="s">
        <v>275</v>
      </c>
      <c r="P213">
        <v>29.61</v>
      </c>
      <c r="Q213">
        <v>75.540000000000006</v>
      </c>
      <c r="R213">
        <f t="shared" si="88"/>
        <v>52.575000000000003</v>
      </c>
      <c r="S213">
        <f t="shared" si="86"/>
        <v>6.8034859369313474E-3</v>
      </c>
      <c r="T213">
        <f t="shared" si="87"/>
        <v>0.17839571103796953</v>
      </c>
      <c r="U213">
        <f t="shared" si="89"/>
        <v>17.839571103796953</v>
      </c>
      <c r="V213">
        <f t="shared" si="90"/>
        <v>8.9197855518984764E-2</v>
      </c>
      <c r="W213">
        <f t="shared" si="91"/>
        <v>0.26759356655695432</v>
      </c>
      <c r="Y213" s="6" t="s">
        <v>275</v>
      </c>
      <c r="Z213">
        <v>8.9197855518984764E-2</v>
      </c>
      <c r="AA213">
        <v>0.26759356655695432</v>
      </c>
    </row>
    <row r="214" spans="3:27">
      <c r="C214" t="s">
        <v>290</v>
      </c>
      <c r="D214" t="s">
        <v>291</v>
      </c>
      <c r="E214" t="s">
        <v>292</v>
      </c>
      <c r="F214">
        <v>275.41000000000003</v>
      </c>
      <c r="I214">
        <v>0.88561636863357174</v>
      </c>
      <c r="J214">
        <f t="shared" si="92"/>
        <v>0.88561636863357174</v>
      </c>
      <c r="K214">
        <f t="shared" si="93"/>
        <v>8.6585789457297672E-3</v>
      </c>
      <c r="L214">
        <f t="shared" si="94"/>
        <v>2.3846592274434353</v>
      </c>
      <c r="O214" s="6" t="s">
        <v>276</v>
      </c>
      <c r="P214">
        <v>14.98</v>
      </c>
      <c r="Q214">
        <v>11.78</v>
      </c>
      <c r="R214">
        <f t="shared" si="88"/>
        <v>13.379999999999999</v>
      </c>
      <c r="S214">
        <f t="shared" si="86"/>
        <v>1.731443496645581E-3</v>
      </c>
      <c r="T214">
        <f t="shared" si="87"/>
        <v>4.5400563265583109E-2</v>
      </c>
      <c r="U214">
        <f t="shared" si="89"/>
        <v>4.5400563265583109</v>
      </c>
      <c r="V214">
        <f t="shared" si="90"/>
        <v>2.2700281632791555E-2</v>
      </c>
      <c r="W214">
        <f t="shared" si="91"/>
        <v>6.810084489837466E-2</v>
      </c>
      <c r="Y214" s="6" t="s">
        <v>276</v>
      </c>
      <c r="Z214">
        <v>2.2700281632791555E-2</v>
      </c>
      <c r="AA214">
        <v>6.810084489837466E-2</v>
      </c>
    </row>
    <row r="215" spans="3:27">
      <c r="C215" t="s">
        <v>91</v>
      </c>
      <c r="D215" t="s">
        <v>115</v>
      </c>
      <c r="E215" t="s">
        <v>116</v>
      </c>
      <c r="F215">
        <v>304.46690000000001</v>
      </c>
      <c r="H215">
        <v>5</v>
      </c>
      <c r="I215">
        <v>6.8737063554002233</v>
      </c>
      <c r="J215">
        <f t="shared" si="92"/>
        <v>5.9368531777001117</v>
      </c>
      <c r="K215">
        <f t="shared" si="93"/>
        <v>5.8043994836766637E-2</v>
      </c>
      <c r="L215">
        <f t="shared" si="94"/>
        <v>17.672475171566344</v>
      </c>
      <c r="O215" s="6" t="s">
        <v>277</v>
      </c>
      <c r="Q215">
        <v>1.55</v>
      </c>
      <c r="R215">
        <f t="shared" si="88"/>
        <v>1.55</v>
      </c>
      <c r="S215">
        <f t="shared" si="86"/>
        <v>2.0057828249631169E-4</v>
      </c>
      <c r="T215">
        <f t="shared" si="87"/>
        <v>5.259407553187879E-3</v>
      </c>
      <c r="U215">
        <f t="shared" si="89"/>
        <v>0.52594075531878792</v>
      </c>
      <c r="V215">
        <f t="shared" si="90"/>
        <v>2.6297037765939395E-3</v>
      </c>
      <c r="W215">
        <f t="shared" si="91"/>
        <v>7.8891113297818189E-3</v>
      </c>
      <c r="Y215" s="6" t="s">
        <v>277</v>
      </c>
      <c r="Z215">
        <v>2.6297037765939395E-3</v>
      </c>
      <c r="AA215">
        <v>7.8891113297818189E-3</v>
      </c>
    </row>
    <row r="216" spans="3:27">
      <c r="C216" t="s">
        <v>92</v>
      </c>
      <c r="D216" t="s">
        <v>117</v>
      </c>
      <c r="E216" t="s">
        <v>118</v>
      </c>
      <c r="F216">
        <v>302.45100000000002</v>
      </c>
      <c r="H216">
        <v>57.8</v>
      </c>
      <c r="I216">
        <v>43.877879949781139</v>
      </c>
      <c r="J216">
        <f t="shared" si="92"/>
        <v>50.838939974890565</v>
      </c>
      <c r="K216">
        <f t="shared" si="93"/>
        <v>0.49704701819026448</v>
      </c>
      <c r="L216">
        <f t="shared" si="94"/>
        <v>150.33236769866369</v>
      </c>
      <c r="O216" s="6" t="s">
        <v>278</v>
      </c>
      <c r="Q216">
        <v>2.75</v>
      </c>
      <c r="R216">
        <f t="shared" si="88"/>
        <v>2.75</v>
      </c>
      <c r="S216">
        <f t="shared" si="86"/>
        <v>3.5586469475152081E-4</v>
      </c>
      <c r="T216">
        <f t="shared" si="87"/>
        <v>9.3312069492043018E-3</v>
      </c>
      <c r="U216">
        <f t="shared" si="89"/>
        <v>0.93312069492043015</v>
      </c>
      <c r="V216">
        <f t="shared" si="90"/>
        <v>4.6656034746021509E-3</v>
      </c>
      <c r="W216">
        <f t="shared" si="91"/>
        <v>1.3996810423806454E-2</v>
      </c>
      <c r="Y216" s="6" t="s">
        <v>278</v>
      </c>
      <c r="Z216">
        <v>4.6656034746021509E-3</v>
      </c>
      <c r="AA216">
        <v>1.3996810423806454E-2</v>
      </c>
    </row>
    <row r="217" spans="3:27">
      <c r="C217" t="s">
        <v>31</v>
      </c>
      <c r="D217" t="s">
        <v>34</v>
      </c>
      <c r="E217" t="s">
        <v>34</v>
      </c>
      <c r="F217">
        <f t="shared" ref="F217:L217" si="95">SUM(F205:F216)</f>
        <v>3284.2247999999995</v>
      </c>
      <c r="G217">
        <f t="shared" si="95"/>
        <v>0</v>
      </c>
      <c r="H217">
        <f t="shared" si="95"/>
        <v>99.899999999999991</v>
      </c>
      <c r="I217">
        <f t="shared" si="95"/>
        <v>100</v>
      </c>
      <c r="J217">
        <f t="shared" si="95"/>
        <v>102.28195344576022</v>
      </c>
      <c r="K217">
        <f t="shared" si="95"/>
        <v>1</v>
      </c>
      <c r="L217">
        <f t="shared" si="95"/>
        <v>282.46112232966237</v>
      </c>
      <c r="O217" s="6" t="s">
        <v>279</v>
      </c>
      <c r="Q217">
        <v>5.22</v>
      </c>
      <c r="R217">
        <f t="shared" si="88"/>
        <v>5.22</v>
      </c>
      <c r="S217">
        <f t="shared" si="86"/>
        <v>6.7549589331015937E-4</v>
      </c>
      <c r="T217">
        <f t="shared" si="87"/>
        <v>1.7712327372671435E-2</v>
      </c>
      <c r="U217">
        <f t="shared" si="89"/>
        <v>1.7712327372671435</v>
      </c>
      <c r="V217">
        <f t="shared" si="90"/>
        <v>8.8561636863357177E-3</v>
      </c>
      <c r="W217">
        <f t="shared" si="91"/>
        <v>2.6568491059007153E-2</v>
      </c>
      <c r="Y217" s="6" t="s">
        <v>279</v>
      </c>
      <c r="Z217">
        <v>8.8561636863357177E-3</v>
      </c>
      <c r="AA217">
        <v>2.6568491059007153E-2</v>
      </c>
    </row>
    <row r="218" spans="3:27">
      <c r="O218" s="6" t="s">
        <v>280</v>
      </c>
      <c r="Q218">
        <v>2.04</v>
      </c>
      <c r="R218">
        <f t="shared" si="88"/>
        <v>2.04</v>
      </c>
      <c r="S218">
        <f t="shared" si="86"/>
        <v>2.6398690083385539E-4</v>
      </c>
      <c r="T218">
        <f t="shared" si="87"/>
        <v>6.9220589732279176E-3</v>
      </c>
      <c r="U218">
        <f t="shared" si="89"/>
        <v>0.69220589732279181</v>
      </c>
      <c r="V218">
        <f t="shared" si="90"/>
        <v>3.4610294866139588E-3</v>
      </c>
      <c r="W218">
        <f t="shared" si="91"/>
        <v>1.0383088459841877E-2</v>
      </c>
      <c r="Y218" s="6" t="s">
        <v>280</v>
      </c>
      <c r="Z218">
        <v>3.4610294866139592E-3</v>
      </c>
      <c r="AA218">
        <v>1.0383088459841879E-2</v>
      </c>
    </row>
    <row r="219" spans="3:27">
      <c r="J219" t="s">
        <v>294</v>
      </c>
      <c r="O219" s="6" t="s">
        <v>246</v>
      </c>
      <c r="Q219">
        <v>12.49</v>
      </c>
      <c r="R219">
        <f t="shared" si="88"/>
        <v>12.49</v>
      </c>
      <c r="S219">
        <f t="shared" si="86"/>
        <v>1.6162727408896343E-3</v>
      </c>
      <c r="T219">
        <f t="shared" si="87"/>
        <v>4.2380645380204265E-2</v>
      </c>
      <c r="U219">
        <f t="shared" si="89"/>
        <v>4.2380645380204269</v>
      </c>
      <c r="V219">
        <f t="shared" si="90"/>
        <v>2.1190322690102133E-2</v>
      </c>
      <c r="W219">
        <f t="shared" si="91"/>
        <v>6.3570968070306405E-2</v>
      </c>
      <c r="Y219" s="6" t="s">
        <v>246</v>
      </c>
      <c r="Z219">
        <v>2.1190322690102133E-2</v>
      </c>
      <c r="AA219">
        <v>6.3570968070306405E-2</v>
      </c>
    </row>
    <row r="220" spans="3:27">
      <c r="O220" s="6" t="s">
        <v>281</v>
      </c>
      <c r="Q220">
        <v>15.28</v>
      </c>
      <c r="R220">
        <f t="shared" si="88"/>
        <v>15.28</v>
      </c>
      <c r="S220">
        <f t="shared" si="86"/>
        <v>1.9773136493829954E-3</v>
      </c>
      <c r="T220">
        <f t="shared" si="87"/>
        <v>5.1847578975942443E-2</v>
      </c>
      <c r="U220">
        <f t="shared" si="89"/>
        <v>5.1847578975942445</v>
      </c>
      <c r="V220">
        <f t="shared" si="90"/>
        <v>2.5923789487971222E-2</v>
      </c>
      <c r="W220">
        <f t="shared" si="91"/>
        <v>7.7771368463913665E-2</v>
      </c>
      <c r="Y220" s="6" t="s">
        <v>281</v>
      </c>
      <c r="Z220">
        <v>2.5923789487971222E-2</v>
      </c>
      <c r="AA220">
        <v>7.7771368463913665E-2</v>
      </c>
    </row>
    <row r="221" spans="3:27">
      <c r="O221" s="6" t="s">
        <v>282</v>
      </c>
      <c r="Q221">
        <v>0.55000000000000004</v>
      </c>
      <c r="R221">
        <f t="shared" si="88"/>
        <v>0.55000000000000004</v>
      </c>
      <c r="S221">
        <f t="shared" si="86"/>
        <v>7.1172938950304161E-5</v>
      </c>
      <c r="T221">
        <f t="shared" si="87"/>
        <v>1.8662413898408606E-3</v>
      </c>
      <c r="U221">
        <f t="shared" si="89"/>
        <v>0.18662413898408606</v>
      </c>
      <c r="V221">
        <f t="shared" si="90"/>
        <v>9.3312069492043029E-4</v>
      </c>
      <c r="W221">
        <f t="shared" si="91"/>
        <v>2.799362084761291E-3</v>
      </c>
      <c r="Y221" s="6" t="s">
        <v>282</v>
      </c>
      <c r="Z221">
        <v>9.3312069492043029E-4</v>
      </c>
      <c r="AA221">
        <v>2.799362084761291E-3</v>
      </c>
    </row>
    <row r="222" spans="3:27">
      <c r="O222" s="6" t="s">
        <v>283</v>
      </c>
      <c r="Q222">
        <v>0.8</v>
      </c>
      <c r="R222">
        <f t="shared" si="88"/>
        <v>0.8</v>
      </c>
      <c r="S222">
        <f t="shared" si="86"/>
        <v>1.0352427483680606E-4</v>
      </c>
      <c r="T222">
        <f t="shared" si="87"/>
        <v>2.7145329306776152E-3</v>
      </c>
      <c r="U222">
        <f t="shared" si="89"/>
        <v>0.2714532930677615</v>
      </c>
      <c r="V222">
        <f t="shared" si="90"/>
        <v>1.3572664653388076E-3</v>
      </c>
      <c r="W222">
        <f t="shared" si="91"/>
        <v>4.0717993960164229E-3</v>
      </c>
      <c r="Y222" s="6" t="s">
        <v>283</v>
      </c>
      <c r="Z222">
        <v>1.3572664653388076E-3</v>
      </c>
      <c r="AA222">
        <v>4.0717993960164229E-3</v>
      </c>
    </row>
    <row r="223" spans="3:27">
      <c r="O223" s="6" t="s">
        <v>247</v>
      </c>
      <c r="P223">
        <v>31.42</v>
      </c>
      <c r="Q223">
        <v>66.75</v>
      </c>
      <c r="R223">
        <f t="shared" si="88"/>
        <v>49.085000000000001</v>
      </c>
      <c r="S223">
        <f t="shared" si="86"/>
        <v>6.3518612879557802E-3</v>
      </c>
      <c r="T223">
        <f t="shared" si="87"/>
        <v>0.16655356112788841</v>
      </c>
      <c r="U223">
        <f t="shared" si="89"/>
        <v>16.655356112788841</v>
      </c>
      <c r="V223">
        <f t="shared" si="90"/>
        <v>8.3276780563944205E-2</v>
      </c>
      <c r="W223">
        <f t="shared" si="91"/>
        <v>0.2498303416918326</v>
      </c>
      <c r="Y223" s="6" t="s">
        <v>247</v>
      </c>
      <c r="Z223">
        <v>8.3276780563944205E-2</v>
      </c>
      <c r="AA223">
        <v>0.2498303416918326</v>
      </c>
    </row>
    <row r="224" spans="3:27">
      <c r="O224" s="6" t="s">
        <v>248</v>
      </c>
      <c r="P224">
        <v>18.850000000000001</v>
      </c>
      <c r="Q224">
        <v>21.82</v>
      </c>
      <c r="R224">
        <f t="shared" si="88"/>
        <v>20.335000000000001</v>
      </c>
      <c r="S224">
        <f t="shared" si="86"/>
        <v>2.6314576610080636E-3</v>
      </c>
      <c r="T224">
        <f t="shared" si="87"/>
        <v>6.9000033931661625E-2</v>
      </c>
      <c r="U224">
        <f t="shared" si="89"/>
        <v>6.9000033931661626</v>
      </c>
      <c r="V224">
        <f t="shared" si="90"/>
        <v>3.4500016965830813E-2</v>
      </c>
      <c r="W224">
        <f t="shared" si="91"/>
        <v>0.10350005089749244</v>
      </c>
      <c r="Y224" s="6" t="s">
        <v>248</v>
      </c>
      <c r="Z224">
        <v>3.4500016965830813E-2</v>
      </c>
      <c r="AA224">
        <v>0.10350005089749244</v>
      </c>
    </row>
    <row r="225" spans="15:27">
      <c r="O225" s="6" t="s">
        <v>249</v>
      </c>
      <c r="Q225">
        <v>0.89</v>
      </c>
      <c r="R225">
        <f t="shared" si="88"/>
        <v>0.89</v>
      </c>
      <c r="S225">
        <f t="shared" si="86"/>
        <v>1.1517075575594673E-4</v>
      </c>
      <c r="T225">
        <f t="shared" si="87"/>
        <v>3.0199178853788466E-3</v>
      </c>
      <c r="U225">
        <f t="shared" si="89"/>
        <v>0.30199178853788466</v>
      </c>
      <c r="V225">
        <f t="shared" si="90"/>
        <v>1.5099589426894233E-3</v>
      </c>
      <c r="W225">
        <f t="shared" si="91"/>
        <v>4.5298768280682697E-3</v>
      </c>
      <c r="Y225" s="6" t="s">
        <v>249</v>
      </c>
      <c r="Z225">
        <v>1.5099589426894233E-3</v>
      </c>
      <c r="AA225">
        <v>4.5298768280682697E-3</v>
      </c>
    </row>
    <row r="226" spans="15:27">
      <c r="P226">
        <f>SUM(P203:P225)</f>
        <v>158.22999999999999</v>
      </c>
      <c r="Q226">
        <f t="shared" ref="Q226:W226" si="96">SUM(Q203:Q225)</f>
        <v>361.72</v>
      </c>
      <c r="R226">
        <f t="shared" si="96"/>
        <v>294.71000000000004</v>
      </c>
      <c r="S226">
        <f t="shared" si="96"/>
        <v>3.813704879644389E-2</v>
      </c>
      <c r="T226">
        <f t="shared" si="96"/>
        <v>1</v>
      </c>
      <c r="U226">
        <f t="shared" si="96"/>
        <v>99.999999999999986</v>
      </c>
      <c r="V226">
        <f t="shared" si="96"/>
        <v>0.5</v>
      </c>
      <c r="W226">
        <f t="shared" si="96"/>
        <v>1.5</v>
      </c>
    </row>
  </sheetData>
  <mergeCells count="2">
    <mergeCell ref="G12:H12"/>
    <mergeCell ref="E12:F12"/>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5092-E89C-4776-9EBD-08B2706CB863}">
  <dimension ref="C3:O21"/>
  <sheetViews>
    <sheetView workbookViewId="0">
      <selection activeCell="I4" sqref="I4"/>
    </sheetView>
  </sheetViews>
  <sheetFormatPr defaultRowHeight="15"/>
  <cols>
    <col min="3" max="3" width="35.140625" bestFit="1" customWidth="1"/>
  </cols>
  <sheetData>
    <row r="3" spans="3:14">
      <c r="C3" t="s">
        <v>363</v>
      </c>
      <c r="D3" t="s">
        <v>23</v>
      </c>
      <c r="E3" t="s">
        <v>374</v>
      </c>
      <c r="I3" t="s">
        <v>210</v>
      </c>
      <c r="K3" t="s">
        <v>381</v>
      </c>
      <c r="L3" t="s">
        <v>47</v>
      </c>
      <c r="M3" t="s">
        <v>393</v>
      </c>
    </row>
    <row r="4" spans="3:14">
      <c r="C4" t="s">
        <v>364</v>
      </c>
      <c r="D4" t="s">
        <v>375</v>
      </c>
      <c r="E4">
        <v>386.65</v>
      </c>
      <c r="F4">
        <v>45.6</v>
      </c>
      <c r="G4">
        <v>40.1</v>
      </c>
      <c r="H4">
        <f>AVERAGE(F4:G4)</f>
        <v>42.85</v>
      </c>
      <c r="I4">
        <f>H4/$H$13</f>
        <v>0.56679894179894186</v>
      </c>
      <c r="J4">
        <f>I4*E4</f>
        <v>219.15281084656087</v>
      </c>
      <c r="K4" s="35">
        <f>I4/$J$13*1000</f>
        <v>1.4219787473080716</v>
      </c>
      <c r="L4">
        <f>K4*E4/1000</f>
        <v>0.54980808264666592</v>
      </c>
      <c r="M4">
        <f>L4*'Macromolecular Composition'!$F$12</f>
        <v>4.3046033109301173E-3</v>
      </c>
      <c r="N4">
        <f>M4*1000</f>
        <v>4.3046033109301174</v>
      </c>
    </row>
    <row r="5" spans="3:14">
      <c r="C5" s="33" t="s">
        <v>365</v>
      </c>
      <c r="D5" s="33"/>
      <c r="E5" s="33"/>
      <c r="F5" s="33">
        <v>0.5</v>
      </c>
      <c r="G5" s="33" t="s">
        <v>366</v>
      </c>
      <c r="H5" s="33" t="s">
        <v>34</v>
      </c>
      <c r="K5" s="35"/>
      <c r="M5">
        <f>L5*'Macromolecular Composition'!$F$12</f>
        <v>0</v>
      </c>
      <c r="N5">
        <f t="shared" ref="N5:N12" si="0">M5*1000</f>
        <v>0</v>
      </c>
    </row>
    <row r="6" spans="3:14">
      <c r="C6" t="s">
        <v>367</v>
      </c>
      <c r="D6" t="s">
        <v>376</v>
      </c>
      <c r="E6">
        <v>384.64</v>
      </c>
      <c r="F6">
        <v>0.2</v>
      </c>
      <c r="G6">
        <v>0.3</v>
      </c>
      <c r="H6">
        <f t="shared" ref="H6:H11" si="1">AVERAGE(F6:G6)</f>
        <v>0.25</v>
      </c>
      <c r="I6">
        <f t="shared" ref="I6:I11" si="2">H6/$H$13</f>
        <v>3.3068783068783071E-3</v>
      </c>
      <c r="J6">
        <f t="shared" ref="J6:J11" si="3">I6*E6</f>
        <v>1.271957671957672</v>
      </c>
      <c r="K6" s="35">
        <f t="shared" ref="K6:K11" si="4">I6/$J$13*1000</f>
        <v>8.2962587357530444E-3</v>
      </c>
      <c r="L6">
        <f t="shared" ref="L6:L11" si="5">K6*E6/1000</f>
        <v>3.1910729601200508E-3</v>
      </c>
      <c r="M6">
        <f>L6*'Macromolecular Composition'!$F$12</f>
        <v>2.498381464933824E-5</v>
      </c>
      <c r="N6">
        <f t="shared" si="0"/>
        <v>2.4983814649338239E-2</v>
      </c>
    </row>
    <row r="7" spans="3:14">
      <c r="C7" t="s">
        <v>368</v>
      </c>
      <c r="D7" t="s">
        <v>377</v>
      </c>
      <c r="E7">
        <v>386.65</v>
      </c>
      <c r="F7">
        <v>0.1</v>
      </c>
      <c r="G7">
        <v>0.2</v>
      </c>
      <c r="H7">
        <f t="shared" si="1"/>
        <v>0.15000000000000002</v>
      </c>
      <c r="I7">
        <f t="shared" si="2"/>
        <v>1.9841269841269845E-3</v>
      </c>
      <c r="J7">
        <f t="shared" si="3"/>
        <v>0.76716269841269846</v>
      </c>
      <c r="K7" s="35">
        <f t="shared" si="4"/>
        <v>4.9777552414518268E-3</v>
      </c>
      <c r="L7">
        <f t="shared" si="5"/>
        <v>1.9246490641073488E-3</v>
      </c>
      <c r="M7">
        <f>L7*'Macromolecular Composition'!$F$12</f>
        <v>1.5068623025426318E-5</v>
      </c>
      <c r="N7">
        <f t="shared" si="0"/>
        <v>1.5068623025426317E-2</v>
      </c>
    </row>
    <row r="8" spans="3:14">
      <c r="C8" t="s">
        <v>369</v>
      </c>
      <c r="D8" t="s">
        <v>378</v>
      </c>
      <c r="E8" s="32">
        <v>398.66</v>
      </c>
      <c r="F8">
        <v>0.2</v>
      </c>
      <c r="G8" t="s">
        <v>366</v>
      </c>
      <c r="H8">
        <f t="shared" si="1"/>
        <v>0.2</v>
      </c>
      <c r="I8">
        <f t="shared" si="2"/>
        <v>2.6455026455026458E-3</v>
      </c>
      <c r="J8">
        <f t="shared" si="3"/>
        <v>1.0546560846560848</v>
      </c>
      <c r="K8" s="35">
        <f t="shared" si="4"/>
        <v>6.6370069886024351E-3</v>
      </c>
      <c r="L8">
        <f t="shared" si="5"/>
        <v>2.6459092060762469E-3</v>
      </c>
      <c r="M8">
        <f>L8*'Macromolecular Composition'!$F$12</f>
        <v>2.0715573103380166E-5</v>
      </c>
      <c r="N8">
        <f t="shared" si="0"/>
        <v>2.0715573103380167E-2</v>
      </c>
    </row>
    <row r="9" spans="3:14">
      <c r="C9" s="33" t="s">
        <v>372</v>
      </c>
      <c r="D9" s="33"/>
      <c r="E9" s="33"/>
      <c r="F9" s="33">
        <v>0.8</v>
      </c>
      <c r="G9" s="33" t="s">
        <v>366</v>
      </c>
      <c r="H9" s="33" t="s">
        <v>34</v>
      </c>
      <c r="K9" s="35"/>
      <c r="M9">
        <f>L9*'Macromolecular Composition'!$F$12</f>
        <v>0</v>
      </c>
      <c r="N9">
        <f t="shared" si="0"/>
        <v>0</v>
      </c>
    </row>
    <row r="10" spans="3:14">
      <c r="C10" t="s">
        <v>370</v>
      </c>
      <c r="D10" t="s">
        <v>379</v>
      </c>
      <c r="E10">
        <v>414.71</v>
      </c>
      <c r="F10">
        <v>28.8</v>
      </c>
      <c r="G10">
        <v>34.799999999999997</v>
      </c>
      <c r="H10">
        <f t="shared" si="1"/>
        <v>31.799999999999997</v>
      </c>
      <c r="I10">
        <f t="shared" si="2"/>
        <v>0.42063492063492064</v>
      </c>
      <c r="J10">
        <f t="shared" si="3"/>
        <v>174.44150793650792</v>
      </c>
      <c r="K10" s="35">
        <f t="shared" si="4"/>
        <v>1.0552841111877869</v>
      </c>
      <c r="L10">
        <f t="shared" si="5"/>
        <v>0.43763687375068705</v>
      </c>
      <c r="M10">
        <f>L10*'Macromolecular Composition'!$F$12</f>
        <v>3.4263831238417267E-3</v>
      </c>
      <c r="N10">
        <f t="shared" si="0"/>
        <v>3.4263831238417266</v>
      </c>
    </row>
    <row r="11" spans="3:14">
      <c r="C11" t="s">
        <v>373</v>
      </c>
      <c r="D11" t="s">
        <v>380</v>
      </c>
      <c r="E11">
        <v>412.7</v>
      </c>
      <c r="F11">
        <v>0.2</v>
      </c>
      <c r="G11">
        <v>0.5</v>
      </c>
      <c r="H11">
        <f t="shared" si="1"/>
        <v>0.35</v>
      </c>
      <c r="I11">
        <f t="shared" si="2"/>
        <v>4.6296296296296294E-3</v>
      </c>
      <c r="J11">
        <f t="shared" si="3"/>
        <v>1.9106481481481481</v>
      </c>
      <c r="K11" s="35">
        <f t="shared" si="4"/>
        <v>1.1614762230054259E-2</v>
      </c>
      <c r="L11">
        <f t="shared" si="5"/>
        <v>4.7934123723433926E-3</v>
      </c>
      <c r="M11">
        <f>L11*'Macromolecular Composition'!$F$12</f>
        <v>3.7528984058066361E-5</v>
      </c>
      <c r="N11">
        <f t="shared" si="0"/>
        <v>3.7528984058066359E-2</v>
      </c>
    </row>
    <row r="12" spans="3:14">
      <c r="C12" s="33" t="s">
        <v>371</v>
      </c>
      <c r="D12" s="33"/>
      <c r="E12" s="33"/>
      <c r="F12" s="33">
        <v>0.2</v>
      </c>
      <c r="G12" s="33">
        <v>0.1</v>
      </c>
      <c r="H12" s="33" t="s">
        <v>34</v>
      </c>
      <c r="K12" s="35"/>
      <c r="M12">
        <f>L12*'Macromolecular Composition'!$F$12</f>
        <v>0</v>
      </c>
      <c r="N12">
        <f t="shared" si="0"/>
        <v>0</v>
      </c>
    </row>
    <row r="13" spans="3:14">
      <c r="F13">
        <f t="shared" ref="F13:L13" si="6">SUM(F4:F12)</f>
        <v>76.600000000000009</v>
      </c>
      <c r="G13">
        <f t="shared" si="6"/>
        <v>76</v>
      </c>
      <c r="H13">
        <f t="shared" si="6"/>
        <v>75.599999999999994</v>
      </c>
      <c r="I13">
        <f t="shared" si="6"/>
        <v>1</v>
      </c>
      <c r="J13">
        <f t="shared" si="6"/>
        <v>398.59874338624337</v>
      </c>
      <c r="K13">
        <f t="shared" si="6"/>
        <v>2.5087886416917202</v>
      </c>
      <c r="L13">
        <f t="shared" si="6"/>
        <v>1</v>
      </c>
      <c r="M13">
        <f>SUM(M4:M12)</f>
        <v>7.8292834296080551E-3</v>
      </c>
      <c r="N13">
        <f>SUM(N4:N12)</f>
        <v>7.8292834296080542</v>
      </c>
    </row>
    <row r="19" spans="11:15">
      <c r="K19" s="34"/>
    </row>
    <row r="20" spans="11:15">
      <c r="O20">
        <f>0.723+1.78+8.289+3.142</f>
        <v>13.933999999999999</v>
      </c>
    </row>
    <row r="21" spans="11:15">
      <c r="O21">
        <f>0.014+0.347+0.22+0.691+0.107</f>
        <v>1.3789999999999998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F7557-0CBE-4B7F-9436-A048091418DF}">
  <dimension ref="C5:L21"/>
  <sheetViews>
    <sheetView workbookViewId="0">
      <selection activeCell="J13" sqref="J13"/>
    </sheetView>
  </sheetViews>
  <sheetFormatPr defaultRowHeight="15"/>
  <cols>
    <col min="3" max="3" width="13" bestFit="1" customWidth="1"/>
    <col min="11" max="11" width="14" bestFit="1" customWidth="1"/>
    <col min="12" max="12" width="12" bestFit="1" customWidth="1"/>
  </cols>
  <sheetData>
    <row r="5" spans="3:12">
      <c r="C5" t="s">
        <v>382</v>
      </c>
      <c r="D5" t="s">
        <v>25</v>
      </c>
      <c r="E5" t="s">
        <v>74</v>
      </c>
      <c r="F5" t="s">
        <v>389</v>
      </c>
      <c r="G5" t="s">
        <v>391</v>
      </c>
      <c r="H5" t="s">
        <v>393</v>
      </c>
      <c r="I5" t="s">
        <v>48</v>
      </c>
      <c r="J5" t="s">
        <v>47</v>
      </c>
      <c r="K5" t="s">
        <v>395</v>
      </c>
      <c r="L5" t="s">
        <v>394</v>
      </c>
    </row>
    <row r="6" spans="3:12">
      <c r="C6" s="37" t="s">
        <v>386</v>
      </c>
      <c r="D6" s="37">
        <v>89.07</v>
      </c>
      <c r="E6" s="37"/>
      <c r="F6" s="37">
        <v>4.01</v>
      </c>
      <c r="G6" s="37">
        <v>5.78</v>
      </c>
      <c r="H6" s="37">
        <f>AVERAGE(Table4[[#This Row],[g/g 30 days]:[g/g 180 days]])</f>
        <v>4.8949999999999996</v>
      </c>
      <c r="I6">
        <f>Table4[[#This Row],[g/gDW]]/$H$12*'Macromolecular Composition'!$E$10</f>
        <v>4.6737002912111496</v>
      </c>
      <c r="J6">
        <f>Table4[[#This Row],[gM/gDW]]/$I$12</f>
        <v>0.53761669412410762</v>
      </c>
      <c r="K6" s="38">
        <f>Table4[[#This Row],[gM/gMM]]/Table4[[#This Row],[Mol.Weight]]*1000</f>
        <v>6.0358896836657419</v>
      </c>
      <c r="L6" s="37">
        <f>Table4[[#This Row],[mmol M/gMM]]*Table4[[#This Row],[Mol.Weight]]*'Macromolecular Composition'!$F$10/1000</f>
        <v>4.6737002912111497E-2</v>
      </c>
    </row>
    <row r="7" spans="3:12">
      <c r="C7" s="37" t="s">
        <v>387</v>
      </c>
      <c r="D7" s="37">
        <v>116.07</v>
      </c>
      <c r="F7" s="37">
        <v>0.7</v>
      </c>
      <c r="G7" s="37">
        <v>0.56999999999999995</v>
      </c>
      <c r="H7" s="37">
        <f>AVERAGE(Table4[[#This Row],[g/g 30 days]:[g/g 180 days]])</f>
        <v>0.63500000000000001</v>
      </c>
      <c r="I7">
        <f>Table4[[#This Row],[g/gDW]]/$H$12*'Macromolecular Composition'!$E$10</f>
        <v>0.60629207046355071</v>
      </c>
      <c r="J7">
        <f>Table4[[#This Row],[gM/gDW]]/$I$12</f>
        <v>6.9741900054914888E-2</v>
      </c>
      <c r="K7" s="38">
        <f>Table4[[#This Row],[gM/gMM]]/Table4[[#This Row],[Mol.Weight]]*1000</f>
        <v>0.60086068798927283</v>
      </c>
      <c r="L7" s="37">
        <f>Table4[[#This Row],[mmol M/gMM]]*Table4[[#This Row],[Mol.Weight]]*'Macromolecular Composition'!$F$10/1000</f>
        <v>6.0629207046355082E-3</v>
      </c>
    </row>
    <row r="8" spans="3:12">
      <c r="C8" s="37" t="s">
        <v>388</v>
      </c>
      <c r="D8" s="37">
        <v>45.02</v>
      </c>
      <c r="E8" s="37"/>
      <c r="F8" s="37">
        <v>0.68</v>
      </c>
      <c r="G8" s="37">
        <v>0.65</v>
      </c>
      <c r="H8" s="37">
        <f>AVERAGE(Table4[[#This Row],[g/g 30 days]:[g/g 180 days]])</f>
        <v>0.66500000000000004</v>
      </c>
      <c r="I8">
        <f>Table4[[#This Row],[g/gDW]]/$H$12*'Macromolecular Composition'!$E$10</f>
        <v>0.63493579032797054</v>
      </c>
      <c r="J8">
        <f>Table4[[#This Row],[gM/gDW]]/$I$12</f>
        <v>7.3036792970895131E-2</v>
      </c>
      <c r="K8" s="38">
        <f>Table4[[#This Row],[gM/gMM]]/Table4[[#This Row],[Mol.Weight]]*1000</f>
        <v>1.6223188132140189</v>
      </c>
      <c r="L8" s="37">
        <f>Table4[[#This Row],[mmol M/gMM]]*Table4[[#This Row],[Mol.Weight]]*'Macromolecular Composition'!$F$10/1000</f>
        <v>6.3493579032797062E-3</v>
      </c>
    </row>
    <row r="9" spans="3:12">
      <c r="C9" s="37" t="s">
        <v>383</v>
      </c>
      <c r="D9" s="37">
        <v>59.04</v>
      </c>
      <c r="F9">
        <v>0.6</v>
      </c>
      <c r="G9">
        <v>0.78</v>
      </c>
      <c r="H9" s="37">
        <f>AVERAGE(Table4[[#This Row],[g/g 30 days]:[g/g 180 days]])</f>
        <v>0.69</v>
      </c>
      <c r="I9">
        <f>Table4[[#This Row],[g/gDW]]/$H$12*'Macromolecular Composition'!$E$10</f>
        <v>0.65880555688165354</v>
      </c>
      <c r="J9">
        <f>Table4[[#This Row],[gM/gDW]]/$I$12</f>
        <v>7.5782537067545314E-2</v>
      </c>
      <c r="K9" s="38">
        <f>Table4[[#This Row],[gM/gMM]]/Table4[[#This Row],[Mol.Weight]]*1000</f>
        <v>1.2835795573771225</v>
      </c>
      <c r="L9" s="37">
        <f>Table4[[#This Row],[mmol M/gMM]]*Table4[[#This Row],[Mol.Weight]]*'Macromolecular Composition'!$F$10/1000</f>
        <v>6.5880555688165353E-3</v>
      </c>
    </row>
    <row r="10" spans="3:12">
      <c r="C10" t="s">
        <v>384</v>
      </c>
      <c r="D10">
        <v>73.069999999999993</v>
      </c>
      <c r="F10">
        <v>0.79</v>
      </c>
      <c r="G10">
        <v>2.46</v>
      </c>
      <c r="H10" s="37">
        <f>AVERAGE(Table4[[#This Row],[g/g 30 days]:[g/g 180 days]])</f>
        <v>1.625</v>
      </c>
      <c r="I10">
        <f>Table4[[#This Row],[g/gDW]]/$H$12*'Macromolecular Composition'!$E$10</f>
        <v>1.5515348259894015</v>
      </c>
      <c r="J10">
        <f>Table4[[#This Row],[gM/gDW]]/$I$12</f>
        <v>0.17847336628226251</v>
      </c>
      <c r="K10" s="38">
        <f>Table4[[#This Row],[gM/gMM]]/Table4[[#This Row],[Mol.Weight]]*1000</f>
        <v>2.4424985121426377</v>
      </c>
      <c r="L10" s="37">
        <f>Table4[[#This Row],[mmol M/gMM]]*Table4[[#This Row],[Mol.Weight]]*'Macromolecular Composition'!$F$10/1000</f>
        <v>1.5515348259894018E-2</v>
      </c>
    </row>
    <row r="11" spans="3:12">
      <c r="C11" s="37" t="s">
        <v>385</v>
      </c>
      <c r="D11" s="37">
        <v>87.1</v>
      </c>
      <c r="F11">
        <v>0.6</v>
      </c>
      <c r="G11">
        <v>0.59</v>
      </c>
      <c r="H11" s="37">
        <f>AVERAGE(Table4[[#This Row],[g/g 30 days]:[g/g 180 days]])</f>
        <v>0.59499999999999997</v>
      </c>
      <c r="I11">
        <f>Table4[[#This Row],[g/gDW]]/$H$12*'Macromolecular Composition'!$E$10</f>
        <v>0.56810044397765769</v>
      </c>
      <c r="J11">
        <f>Table4[[#This Row],[gM/gDW]]/$I$12</f>
        <v>6.5348709500274577E-2</v>
      </c>
      <c r="K11" s="38">
        <f>Table4[[#This Row],[gM/gMM]]/Table4[[#This Row],[Mol.Weight]]*1000</f>
        <v>0.75027221010648193</v>
      </c>
      <c r="L11" s="37">
        <f>Table4[[#This Row],[mmol M/gMM]]*Table4[[#This Row],[Mol.Weight]]*'Macromolecular Composition'!$F$10/1000</f>
        <v>5.681004439776577E-3</v>
      </c>
    </row>
    <row r="12" spans="3:12">
      <c r="C12" s="37" t="s">
        <v>31</v>
      </c>
      <c r="D12" s="37"/>
      <c r="F12">
        <f>SUM(F6:F11)</f>
        <v>7.379999999999999</v>
      </c>
      <c r="G12">
        <f t="shared" ref="G12:H12" si="0">SUM(G6:G11)</f>
        <v>10.830000000000002</v>
      </c>
      <c r="H12">
        <f t="shared" si="0"/>
        <v>9.1050000000000004</v>
      </c>
      <c r="I12">
        <f>SUM(I6:I11)</f>
        <v>8.6933689788513835</v>
      </c>
      <c r="J12">
        <f t="shared" ref="J12" si="1">SUM(J6:J11)</f>
        <v>1</v>
      </c>
      <c r="K12" s="36">
        <f>SUM(K6:K11)</f>
        <v>12.735419464495276</v>
      </c>
      <c r="L12">
        <f>SUM(L6:L11)</f>
        <v>8.6933689788513846E-2</v>
      </c>
    </row>
    <row r="21" spans="3:3">
      <c r="C21" t="s">
        <v>390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9D6B2-FBA3-436E-9662-F81A7291C35B}">
  <dimension ref="A1:S117"/>
  <sheetViews>
    <sheetView topLeftCell="A73" workbookViewId="0">
      <selection activeCell="H106" sqref="H106"/>
    </sheetView>
  </sheetViews>
  <sheetFormatPr defaultRowHeight="15"/>
  <cols>
    <col min="1" max="1" width="22.42578125" bestFit="1" customWidth="1"/>
    <col min="2" max="2" width="10.7109375" bestFit="1" customWidth="1"/>
  </cols>
  <sheetData>
    <row r="1" spans="1:3">
      <c r="A1" s="10" t="s">
        <v>317</v>
      </c>
      <c r="B1" s="11" t="s">
        <v>318</v>
      </c>
      <c r="C1" s="12" t="s">
        <v>319</v>
      </c>
    </row>
    <row r="2" spans="1:3">
      <c r="A2" s="13"/>
      <c r="B2" s="14">
        <v>3</v>
      </c>
      <c r="C2" s="15">
        <v>0.59079179661900139</v>
      </c>
    </row>
    <row r="3" spans="1:3">
      <c r="A3" s="13"/>
      <c r="B3" s="14">
        <v>4</v>
      </c>
      <c r="C3" s="15">
        <v>0.54970341217117469</v>
      </c>
    </row>
    <row r="4" spans="1:3">
      <c r="A4" s="13"/>
      <c r="B4" s="14">
        <v>6</v>
      </c>
      <c r="C4" s="15">
        <v>0.50073270534651837</v>
      </c>
    </row>
    <row r="5" spans="1:3">
      <c r="A5" s="13"/>
      <c r="B5" s="14">
        <v>12</v>
      </c>
      <c r="C5" s="15">
        <v>0.48332593613344915</v>
      </c>
    </row>
    <row r="6" spans="1:3">
      <c r="A6" s="13"/>
      <c r="B6" s="14">
        <v>24</v>
      </c>
      <c r="C6" s="15">
        <v>0.48864493532718106</v>
      </c>
    </row>
    <row r="7" spans="1:3">
      <c r="A7" s="13"/>
      <c r="B7" s="14">
        <v>48</v>
      </c>
      <c r="C7" s="15">
        <v>0.55552990242643019</v>
      </c>
    </row>
    <row r="8" spans="1:3">
      <c r="A8" s="13"/>
      <c r="B8" s="14">
        <v>72</v>
      </c>
      <c r="C8" s="15">
        <v>0.53562725887772</v>
      </c>
    </row>
    <row r="9" spans="1:3">
      <c r="A9" s="13"/>
      <c r="B9" s="14">
        <v>96</v>
      </c>
      <c r="C9" s="15">
        <v>0.55573452532430812</v>
      </c>
    </row>
    <row r="10" spans="1:3">
      <c r="A10" s="13"/>
      <c r="B10" s="14"/>
      <c r="C10" s="15"/>
    </row>
    <row r="11" spans="1:3">
      <c r="A11" s="16" t="s">
        <v>320</v>
      </c>
      <c r="B11" s="17" t="s">
        <v>318</v>
      </c>
      <c r="C11" s="18" t="s">
        <v>319</v>
      </c>
    </row>
    <row r="12" spans="1:3">
      <c r="A12" s="13"/>
      <c r="B12" s="14">
        <v>3</v>
      </c>
      <c r="C12" s="15">
        <v>0.42512346026439291</v>
      </c>
    </row>
    <row r="13" spans="1:3">
      <c r="A13" s="13"/>
      <c r="B13" s="14">
        <v>4</v>
      </c>
      <c r="C13" s="15">
        <v>0.41884434719436309</v>
      </c>
    </row>
    <row r="14" spans="1:3">
      <c r="A14" s="13"/>
      <c r="B14" s="14">
        <v>6</v>
      </c>
      <c r="C14" s="15">
        <v>0.41701931098030592</v>
      </c>
    </row>
    <row r="15" spans="1:3">
      <c r="A15" s="13"/>
      <c r="B15" s="14">
        <v>12</v>
      </c>
      <c r="C15" s="15">
        <v>0.4147250040223211</v>
      </c>
    </row>
    <row r="16" spans="1:3">
      <c r="A16" s="13"/>
      <c r="B16" s="14">
        <v>24</v>
      </c>
      <c r="C16" s="15">
        <v>0.41837560798441703</v>
      </c>
    </row>
    <row r="17" spans="1:3">
      <c r="A17" s="13"/>
      <c r="B17" s="14">
        <v>48</v>
      </c>
      <c r="C17" s="15">
        <v>0.41298408002115083</v>
      </c>
    </row>
    <row r="18" spans="1:3">
      <c r="A18" s="13"/>
      <c r="B18" s="14">
        <v>72</v>
      </c>
      <c r="C18" s="15">
        <v>0.41867868806309166</v>
      </c>
    </row>
    <row r="19" spans="1:3">
      <c r="A19" s="13"/>
      <c r="B19" s="14">
        <v>96</v>
      </c>
      <c r="C19" s="15">
        <v>0.41532613364348464</v>
      </c>
    </row>
    <row r="20" spans="1:3">
      <c r="A20" s="13"/>
      <c r="B20" s="14"/>
      <c r="C20" s="15"/>
    </row>
    <row r="21" spans="1:3">
      <c r="A21" s="16" t="s">
        <v>321</v>
      </c>
      <c r="B21" s="17" t="s">
        <v>318</v>
      </c>
      <c r="C21" s="18" t="s">
        <v>319</v>
      </c>
    </row>
    <row r="22" spans="1:3">
      <c r="A22" s="13"/>
      <c r="B22" s="14">
        <v>3</v>
      </c>
      <c r="C22" s="15">
        <v>0.49334890521613489</v>
      </c>
    </row>
    <row r="23" spans="1:3">
      <c r="A23" s="13"/>
      <c r="B23" s="14">
        <v>4</v>
      </c>
      <c r="C23" s="15">
        <v>0.47786414190536419</v>
      </c>
    </row>
    <row r="24" spans="1:3">
      <c r="A24" s="13"/>
      <c r="B24" s="14">
        <v>6</v>
      </c>
      <c r="C24" s="15">
        <v>0.45872465400011248</v>
      </c>
    </row>
    <row r="25" spans="1:3">
      <c r="A25" s="13"/>
      <c r="B25" s="14">
        <v>12</v>
      </c>
      <c r="C25" s="15">
        <v>0.45163602882370585</v>
      </c>
    </row>
    <row r="26" spans="1:3">
      <c r="A26" s="13"/>
      <c r="B26" s="14">
        <v>24</v>
      </c>
      <c r="C26" s="15">
        <v>0.4496722761817693</v>
      </c>
    </row>
    <row r="27" spans="1:3">
      <c r="A27" s="13"/>
      <c r="B27" s="14">
        <v>48</v>
      </c>
      <c r="C27" s="15">
        <v>0.46791581138854516</v>
      </c>
    </row>
    <row r="28" spans="1:3">
      <c r="A28" s="13"/>
      <c r="B28" s="14">
        <v>72</v>
      </c>
      <c r="C28" s="15">
        <v>0.46749309110615905</v>
      </c>
    </row>
    <row r="29" spans="1:3">
      <c r="A29" s="13"/>
      <c r="B29" s="14">
        <v>96</v>
      </c>
      <c r="C29" s="15">
        <v>0.47577620486321087</v>
      </c>
    </row>
    <row r="30" spans="1:3">
      <c r="A30" s="13"/>
      <c r="B30" s="14"/>
      <c r="C30" s="15"/>
    </row>
    <row r="31" spans="1:3">
      <c r="A31" s="16" t="s">
        <v>322</v>
      </c>
      <c r="B31" s="17" t="s">
        <v>318</v>
      </c>
      <c r="C31" s="18" t="s">
        <v>319</v>
      </c>
    </row>
    <row r="32" spans="1:3">
      <c r="A32" s="13"/>
      <c r="B32" s="14">
        <v>3</v>
      </c>
      <c r="C32" s="15">
        <v>0.48281363842798336</v>
      </c>
    </row>
    <row r="33" spans="1:3">
      <c r="A33" s="13"/>
      <c r="B33" s="14">
        <v>4</v>
      </c>
      <c r="C33" s="15">
        <v>0.46665067861241866</v>
      </c>
    </row>
    <row r="34" spans="1:3">
      <c r="A34" s="13"/>
      <c r="B34" s="14">
        <v>6</v>
      </c>
      <c r="C34" s="15">
        <v>0.45700511741242256</v>
      </c>
    </row>
    <row r="35" spans="1:3">
      <c r="A35" s="13"/>
      <c r="B35" s="14">
        <v>12</v>
      </c>
      <c r="C35" s="15">
        <v>0.4486311659682512</v>
      </c>
    </row>
    <row r="36" spans="1:3">
      <c r="A36" s="13"/>
      <c r="B36" s="14">
        <v>24</v>
      </c>
      <c r="C36" s="15">
        <v>0.44596610212888216</v>
      </c>
    </row>
    <row r="37" spans="1:3">
      <c r="A37" s="13"/>
      <c r="B37" s="14">
        <v>48</v>
      </c>
      <c r="C37" s="15">
        <v>0.44919358405023235</v>
      </c>
    </row>
    <row r="38" spans="1:3">
      <c r="A38" s="13"/>
      <c r="B38" s="14">
        <v>72</v>
      </c>
      <c r="C38" s="15">
        <v>0.45691574523709733</v>
      </c>
    </row>
    <row r="39" spans="1:3">
      <c r="A39" s="13"/>
      <c r="B39" s="14">
        <v>96</v>
      </c>
      <c r="C39" s="15">
        <v>0.47128280933461969</v>
      </c>
    </row>
    <row r="40" spans="1:3">
      <c r="A40" s="13"/>
      <c r="B40" s="14"/>
      <c r="C40" s="15"/>
    </row>
    <row r="41" spans="1:3">
      <c r="A41" s="16" t="s">
        <v>323</v>
      </c>
      <c r="B41" s="17" t="s">
        <v>318</v>
      </c>
      <c r="C41" s="18" t="s">
        <v>319</v>
      </c>
    </row>
    <row r="42" spans="1:3">
      <c r="A42" s="13"/>
      <c r="B42" s="14">
        <v>3</v>
      </c>
      <c r="C42" s="15">
        <v>0.44208207532051763</v>
      </c>
    </row>
    <row r="43" spans="1:3">
      <c r="A43" s="13"/>
      <c r="B43" s="14">
        <v>4</v>
      </c>
      <c r="C43" s="15">
        <v>0.43300643508786812</v>
      </c>
    </row>
    <row r="44" spans="1:3">
      <c r="A44" s="13"/>
      <c r="B44" s="14">
        <v>6</v>
      </c>
      <c r="C44" s="15">
        <v>0.43065117362559674</v>
      </c>
    </row>
    <row r="45" spans="1:3">
      <c r="A45" s="13"/>
      <c r="B45" s="14">
        <v>12</v>
      </c>
      <c r="C45" s="15">
        <v>0.42934948641346965</v>
      </c>
    </row>
    <row r="46" spans="1:3">
      <c r="A46" s="13"/>
      <c r="B46" s="14">
        <v>24</v>
      </c>
      <c r="C46" s="15">
        <v>0.42672105986364167</v>
      </c>
    </row>
    <row r="47" spans="1:3">
      <c r="A47" s="13"/>
      <c r="B47" s="14">
        <v>48</v>
      </c>
      <c r="C47" s="15">
        <v>0.42281137715822736</v>
      </c>
    </row>
    <row r="48" spans="1:3">
      <c r="A48" s="13"/>
      <c r="B48" s="14">
        <v>72</v>
      </c>
      <c r="C48" s="15">
        <v>0.42828746096550024</v>
      </c>
    </row>
    <row r="49" spans="1:3">
      <c r="A49" s="13"/>
      <c r="B49" s="14">
        <v>96</v>
      </c>
      <c r="C49" s="15">
        <v>0.43241708735902984</v>
      </c>
    </row>
    <row r="50" spans="1:3">
      <c r="A50" s="13"/>
      <c r="B50" s="14"/>
      <c r="C50" s="15"/>
    </row>
    <row r="51" spans="1:3">
      <c r="A51" s="16" t="s">
        <v>324</v>
      </c>
      <c r="B51" s="17" t="s">
        <v>318</v>
      </c>
      <c r="C51" s="18" t="s">
        <v>319</v>
      </c>
    </row>
    <row r="52" spans="1:3">
      <c r="A52" s="13"/>
      <c r="B52" s="14">
        <v>3</v>
      </c>
      <c r="C52" s="15">
        <v>0.56063399905796063</v>
      </c>
    </row>
    <row r="53" spans="1:3">
      <c r="A53" s="13"/>
      <c r="B53" s="14">
        <v>4</v>
      </c>
      <c r="C53" s="15">
        <v>0.52028583900228631</v>
      </c>
    </row>
    <row r="54" spans="1:3">
      <c r="A54" s="13"/>
      <c r="B54" s="14">
        <v>6</v>
      </c>
      <c r="C54" s="15">
        <v>0.48156744103750238</v>
      </c>
    </row>
    <row r="55" spans="1:3">
      <c r="A55" s="13"/>
      <c r="B55" s="14">
        <v>12</v>
      </c>
      <c r="C55" s="15">
        <v>0.49473470825322224</v>
      </c>
    </row>
    <row r="56" spans="1:3">
      <c r="A56" s="13"/>
      <c r="B56" s="14">
        <v>24</v>
      </c>
      <c r="C56" s="15">
        <v>0.48222019295686724</v>
      </c>
    </row>
    <row r="57" spans="1:3">
      <c r="A57" s="13"/>
      <c r="B57" s="14">
        <v>48</v>
      </c>
      <c r="C57" s="15">
        <v>0.54029344044481087</v>
      </c>
    </row>
    <row r="58" spans="1:3">
      <c r="A58" s="13"/>
      <c r="B58" s="14">
        <v>72</v>
      </c>
      <c r="C58" s="15">
        <v>0.49718352675948724</v>
      </c>
    </row>
    <row r="59" spans="1:3">
      <c r="A59" s="13"/>
      <c r="B59" s="14">
        <v>96</v>
      </c>
      <c r="C59" s="15">
        <v>0.50589084906001069</v>
      </c>
    </row>
    <row r="60" spans="1:3">
      <c r="A60" s="13"/>
      <c r="B60" s="14"/>
      <c r="C60" s="15"/>
    </row>
    <row r="61" spans="1:3">
      <c r="A61" s="16" t="s">
        <v>325</v>
      </c>
      <c r="B61" s="17" t="s">
        <v>318</v>
      </c>
      <c r="C61" s="18" t="s">
        <v>319</v>
      </c>
    </row>
    <row r="62" spans="1:3">
      <c r="A62" s="13"/>
      <c r="B62" s="14">
        <v>3</v>
      </c>
      <c r="C62" s="15">
        <v>0.73213384283050009</v>
      </c>
    </row>
    <row r="63" spans="1:3">
      <c r="A63" s="13"/>
      <c r="B63" s="14">
        <v>4</v>
      </c>
      <c r="C63" s="15">
        <v>0.69141628608867889</v>
      </c>
    </row>
    <row r="64" spans="1:3">
      <c r="A64" s="13"/>
      <c r="B64" s="14">
        <v>6</v>
      </c>
      <c r="C64" s="15">
        <v>0.65964741115793291</v>
      </c>
    </row>
    <row r="65" spans="1:3">
      <c r="A65" s="13"/>
      <c r="B65" s="14">
        <v>12</v>
      </c>
      <c r="C65" s="15">
        <v>0.72504252416361015</v>
      </c>
    </row>
    <row r="66" spans="1:3">
      <c r="A66" s="13"/>
      <c r="B66" s="14">
        <v>24</v>
      </c>
      <c r="C66" s="15">
        <v>0.62687863676093203</v>
      </c>
    </row>
    <row r="67" spans="1:3">
      <c r="A67" s="13"/>
      <c r="B67" s="14">
        <v>48</v>
      </c>
      <c r="C67" s="15">
        <v>0.75383896431762343</v>
      </c>
    </row>
    <row r="68" spans="1:3">
      <c r="A68" s="13"/>
      <c r="B68" s="14">
        <v>72</v>
      </c>
      <c r="C68" s="15">
        <v>0.62519893732247078</v>
      </c>
    </row>
    <row r="69" spans="1:3">
      <c r="A69" s="13"/>
      <c r="B69" s="14">
        <v>96</v>
      </c>
      <c r="C69" s="15">
        <v>0.69281428348615925</v>
      </c>
    </row>
    <row r="70" spans="1:3">
      <c r="A70" s="13"/>
      <c r="B70" s="14"/>
      <c r="C70" s="15"/>
    </row>
    <row r="71" spans="1:3">
      <c r="A71" s="16" t="s">
        <v>326</v>
      </c>
      <c r="B71" s="17" t="s">
        <v>318</v>
      </c>
      <c r="C71" s="18" t="s">
        <v>319</v>
      </c>
    </row>
    <row r="72" spans="1:3">
      <c r="A72" s="13"/>
      <c r="B72" s="14">
        <v>3</v>
      </c>
      <c r="C72" s="15">
        <v>0.82570038201941653</v>
      </c>
    </row>
    <row r="73" spans="1:3">
      <c r="A73" s="13"/>
      <c r="B73" s="14">
        <v>4</v>
      </c>
      <c r="C73" s="15">
        <v>0.77201667064927815</v>
      </c>
    </row>
    <row r="74" spans="1:3">
      <c r="A74" s="13"/>
      <c r="B74" s="14">
        <v>6</v>
      </c>
      <c r="C74" s="15">
        <v>0.7467540945061133</v>
      </c>
    </row>
    <row r="75" spans="1:3">
      <c r="A75" s="13"/>
      <c r="B75" s="14">
        <v>12</v>
      </c>
      <c r="C75" s="15">
        <v>0.8142977308257846</v>
      </c>
    </row>
    <row r="76" spans="1:3">
      <c r="A76" s="13"/>
      <c r="B76" s="14">
        <v>24</v>
      </c>
      <c r="C76" s="15">
        <v>0.683428844023655</v>
      </c>
    </row>
    <row r="77" spans="1:3">
      <c r="A77" s="13"/>
      <c r="B77" s="14">
        <v>48</v>
      </c>
      <c r="C77" s="15">
        <v>0.72349924474738136</v>
      </c>
    </row>
    <row r="78" spans="1:3">
      <c r="A78" s="13"/>
      <c r="B78" s="14">
        <v>72</v>
      </c>
      <c r="C78" s="15">
        <v>0.66102974589732044</v>
      </c>
    </row>
    <row r="79" spans="1:3" ht="15.75" thickBot="1">
      <c r="A79" s="19"/>
      <c r="B79" s="20">
        <v>96</v>
      </c>
      <c r="C79" s="21">
        <v>0.74422775900057603</v>
      </c>
    </row>
    <row r="80" spans="1:3" ht="15.75" thickBot="1"/>
    <row r="81" spans="1:4">
      <c r="A81" s="27" t="s">
        <v>329</v>
      </c>
      <c r="B81" s="29" t="s">
        <v>318</v>
      </c>
      <c r="C81" s="28" t="s">
        <v>330</v>
      </c>
      <c r="D81" s="29" t="s">
        <v>331</v>
      </c>
    </row>
    <row r="82" spans="1:4">
      <c r="A82" s="30"/>
      <c r="B82" s="22">
        <v>3</v>
      </c>
      <c r="C82" s="23">
        <v>0</v>
      </c>
      <c r="D82" s="24">
        <v>0</v>
      </c>
    </row>
    <row r="83" spans="1:4">
      <c r="A83" s="30"/>
      <c r="B83" s="22">
        <v>4</v>
      </c>
      <c r="C83" s="23">
        <v>0</v>
      </c>
      <c r="D83" s="24">
        <v>0</v>
      </c>
    </row>
    <row r="84" spans="1:4">
      <c r="A84" s="30"/>
      <c r="B84" s="22">
        <v>6</v>
      </c>
      <c r="C84" s="23">
        <v>0</v>
      </c>
      <c r="D84" s="24">
        <v>0</v>
      </c>
    </row>
    <row r="85" spans="1:4">
      <c r="A85" s="30"/>
      <c r="B85" s="22">
        <v>12</v>
      </c>
      <c r="C85" s="23">
        <v>0</v>
      </c>
      <c r="D85" s="24">
        <v>9.3632104099511448E-2</v>
      </c>
    </row>
    <row r="86" spans="1:4">
      <c r="A86" s="30"/>
      <c r="B86" s="22">
        <v>24</v>
      </c>
      <c r="C86" s="23">
        <v>0</v>
      </c>
      <c r="D86" s="24">
        <v>0.12190802636762511</v>
      </c>
    </row>
    <row r="87" spans="1:4">
      <c r="A87" s="30"/>
      <c r="B87" s="22">
        <v>48</v>
      </c>
      <c r="C87" s="23">
        <v>0</v>
      </c>
      <c r="D87" s="24">
        <v>0.39406259275385908</v>
      </c>
    </row>
    <row r="88" spans="1:4">
      <c r="A88" s="30"/>
      <c r="B88" s="22">
        <v>72</v>
      </c>
      <c r="C88" s="23">
        <v>0</v>
      </c>
      <c r="D88" s="24">
        <v>0.45492941295566131</v>
      </c>
    </row>
    <row r="89" spans="1:4">
      <c r="A89" s="30"/>
      <c r="B89" s="22">
        <v>96</v>
      </c>
      <c r="C89" s="23">
        <v>0</v>
      </c>
      <c r="D89" s="24">
        <v>0.3101143711790087</v>
      </c>
    </row>
    <row r="90" spans="1:4">
      <c r="A90" s="30"/>
      <c r="B90" s="22"/>
      <c r="C90" s="23"/>
      <c r="D90" s="24"/>
    </row>
    <row r="91" spans="1:4">
      <c r="A91" s="31" t="s">
        <v>332</v>
      </c>
      <c r="B91" s="26" t="s">
        <v>318</v>
      </c>
      <c r="C91" s="25" t="s">
        <v>330</v>
      </c>
      <c r="D91" s="26" t="s">
        <v>331</v>
      </c>
    </row>
    <row r="92" spans="1:4">
      <c r="A92" s="30"/>
      <c r="B92" s="22">
        <v>3</v>
      </c>
      <c r="C92" s="23">
        <v>8.4335347800336695</v>
      </c>
      <c r="D92" s="24">
        <v>7.5188639492406795</v>
      </c>
    </row>
    <row r="93" spans="1:4">
      <c r="A93" s="30"/>
      <c r="B93" s="22">
        <v>4</v>
      </c>
      <c r="C93" s="23">
        <v>8.1700884522660751</v>
      </c>
      <c r="D93" s="24">
        <v>8.0495925885080375</v>
      </c>
    </row>
    <row r="94" spans="1:4">
      <c r="A94" s="30"/>
      <c r="B94" s="22">
        <v>6</v>
      </c>
      <c r="C94" s="23">
        <v>8.7824506325832559</v>
      </c>
      <c r="D94" s="24">
        <v>8.7693366374520281</v>
      </c>
    </row>
    <row r="95" spans="1:4">
      <c r="A95" s="30"/>
      <c r="B95" s="22">
        <v>12</v>
      </c>
      <c r="C95" s="23">
        <v>8.9849850312587325</v>
      </c>
      <c r="D95" s="24">
        <v>7.9978783258507145</v>
      </c>
    </row>
    <row r="96" spans="1:4">
      <c r="A96" s="30"/>
      <c r="B96" s="22">
        <v>24</v>
      </c>
      <c r="C96" s="23">
        <v>7.6894732730353352</v>
      </c>
      <c r="D96" s="24">
        <v>6.5977697882485193</v>
      </c>
    </row>
    <row r="97" spans="1:19">
      <c r="A97" s="30"/>
      <c r="B97" s="22">
        <v>48</v>
      </c>
      <c r="C97" s="23">
        <v>8.2598430477203433</v>
      </c>
      <c r="D97" s="24">
        <v>5.5645563521521773</v>
      </c>
    </row>
    <row r="98" spans="1:19">
      <c r="A98" s="30"/>
      <c r="B98" s="22">
        <v>72</v>
      </c>
      <c r="C98" s="23">
        <v>8.4956905756543311</v>
      </c>
      <c r="D98" s="24">
        <v>5.4095179729861398</v>
      </c>
    </row>
    <row r="99" spans="1:19">
      <c r="A99" s="30"/>
      <c r="B99" s="22">
        <v>96</v>
      </c>
      <c r="C99" s="23">
        <v>8.7002706941415617</v>
      </c>
      <c r="D99" s="24">
        <v>3.1065879166121912</v>
      </c>
    </row>
    <row r="100" spans="1:19">
      <c r="A100" s="30"/>
      <c r="B100" s="22"/>
      <c r="C100" s="23"/>
      <c r="D100" s="24"/>
    </row>
    <row r="101" spans="1:19">
      <c r="A101" s="31" t="s">
        <v>333</v>
      </c>
      <c r="B101" s="26" t="s">
        <v>318</v>
      </c>
      <c r="C101" s="25" t="s">
        <v>330</v>
      </c>
      <c r="D101" s="26" t="s">
        <v>331</v>
      </c>
    </row>
    <row r="102" spans="1:19">
      <c r="A102" s="30"/>
      <c r="B102" s="22">
        <v>3</v>
      </c>
      <c r="C102" s="23">
        <v>8.4335347800336695</v>
      </c>
      <c r="D102" s="24">
        <v>7.5188639492406795</v>
      </c>
    </row>
    <row r="103" spans="1:19">
      <c r="A103" s="30"/>
      <c r="B103" s="22">
        <v>4</v>
      </c>
      <c r="C103" s="23">
        <v>8.1700884522660751</v>
      </c>
      <c r="D103" s="24">
        <v>8.0495925885080375</v>
      </c>
    </row>
    <row r="104" spans="1:19">
      <c r="A104" s="30"/>
      <c r="B104" s="22">
        <v>6</v>
      </c>
      <c r="C104" s="23">
        <v>8.7824506325832559</v>
      </c>
      <c r="D104" s="24">
        <v>8.7693366374520281</v>
      </c>
    </row>
    <row r="105" spans="1:19">
      <c r="A105" s="30"/>
      <c r="B105" s="22">
        <v>12</v>
      </c>
      <c r="C105" s="23">
        <v>8.9849850312587325</v>
      </c>
      <c r="D105" s="24">
        <v>7.9978783258507145</v>
      </c>
    </row>
    <row r="106" spans="1:19">
      <c r="A106" s="30"/>
      <c r="B106" s="22">
        <v>24</v>
      </c>
      <c r="C106" s="23">
        <v>7.6894732730353352</v>
      </c>
      <c r="D106" s="24">
        <v>6.5977697882485193</v>
      </c>
    </row>
    <row r="107" spans="1:19">
      <c r="A107" s="30"/>
      <c r="B107" s="22">
        <v>48</v>
      </c>
      <c r="C107" s="23">
        <v>8.2598430477203433</v>
      </c>
      <c r="D107" s="24">
        <v>5.5645563521521773</v>
      </c>
    </row>
    <row r="108" spans="1:19">
      <c r="A108" s="30"/>
      <c r="B108" s="22">
        <v>72</v>
      </c>
      <c r="C108" s="23">
        <v>8.4956905756543311</v>
      </c>
      <c r="D108" s="24">
        <v>5.4095179729861398</v>
      </c>
    </row>
    <row r="109" spans="1:19">
      <c r="A109" s="30"/>
      <c r="B109" s="22">
        <v>96</v>
      </c>
      <c r="C109" s="23">
        <v>8.7002706941415617</v>
      </c>
      <c r="D109" s="24">
        <v>3.1065879166121912</v>
      </c>
    </row>
    <row r="112" spans="1:19">
      <c r="A112">
        <v>33</v>
      </c>
      <c r="B112" t="s">
        <v>335</v>
      </c>
      <c r="C112" t="s">
        <v>336</v>
      </c>
      <c r="D112" t="s">
        <v>337</v>
      </c>
      <c r="E112" t="s">
        <v>338</v>
      </c>
      <c r="F112" t="s">
        <v>339</v>
      </c>
      <c r="G112">
        <v>584.52499999999998</v>
      </c>
      <c r="H112">
        <v>219.852</v>
      </c>
      <c r="I112">
        <v>270.61200000000002</v>
      </c>
      <c r="J112" t="s">
        <v>340</v>
      </c>
      <c r="K112">
        <v>154.80199999999999</v>
      </c>
      <c r="L112">
        <v>159.72800000000001</v>
      </c>
      <c r="M112">
        <v>159.131</v>
      </c>
      <c r="N112">
        <v>0.63800000000000001</v>
      </c>
      <c r="O112">
        <v>4.0000000000000001E-3</v>
      </c>
      <c r="P112">
        <v>1</v>
      </c>
      <c r="Q112" t="s">
        <v>341</v>
      </c>
      <c r="R112">
        <f>AVERAGE(K112:M112,G112:I112)</f>
        <v>258.10833333333335</v>
      </c>
      <c r="S112">
        <f>R112/$R$117</f>
        <v>0.1443481677993739</v>
      </c>
    </row>
    <row r="113" spans="1:19">
      <c r="A113">
        <v>34</v>
      </c>
      <c r="B113" t="s">
        <v>335</v>
      </c>
      <c r="C113" t="s">
        <v>336</v>
      </c>
      <c r="D113" t="s">
        <v>337</v>
      </c>
      <c r="E113" t="s">
        <v>342</v>
      </c>
      <c r="F113" t="s">
        <v>343</v>
      </c>
      <c r="G113">
        <v>634.54100000000005</v>
      </c>
      <c r="H113">
        <v>159.68199999999999</v>
      </c>
      <c r="I113">
        <v>154.625</v>
      </c>
      <c r="J113" t="s">
        <v>340</v>
      </c>
      <c r="K113">
        <v>47.475000000000001</v>
      </c>
      <c r="L113">
        <v>44.981999999999999</v>
      </c>
      <c r="M113">
        <v>46.564999999999998</v>
      </c>
      <c r="N113">
        <v>1.758</v>
      </c>
      <c r="O113">
        <v>0</v>
      </c>
      <c r="P113">
        <v>1</v>
      </c>
      <c r="Q113" t="s">
        <v>344</v>
      </c>
      <c r="R113">
        <f t="shared" ref="R113:R116" si="0">AVERAGE(K113:M113,G113:I113)</f>
        <v>181.3116666666667</v>
      </c>
      <c r="S113">
        <f t="shared" ref="S113:S116" si="1">R113/$R$117</f>
        <v>0.10139930991760883</v>
      </c>
    </row>
    <row r="114" spans="1:19">
      <c r="A114">
        <v>35</v>
      </c>
      <c r="B114" t="s">
        <v>335</v>
      </c>
      <c r="C114" t="s">
        <v>336</v>
      </c>
      <c r="D114" t="s">
        <v>337</v>
      </c>
      <c r="E114" t="s">
        <v>345</v>
      </c>
      <c r="F114" t="s">
        <v>346</v>
      </c>
      <c r="G114">
        <v>632.52499999999998</v>
      </c>
      <c r="H114">
        <v>461.35300000000001</v>
      </c>
      <c r="I114">
        <v>518.99800000000005</v>
      </c>
      <c r="J114" t="s">
        <v>340</v>
      </c>
      <c r="K114">
        <v>315.50900000000001</v>
      </c>
      <c r="L114">
        <v>275.99200000000002</v>
      </c>
      <c r="M114">
        <v>293.00200000000001</v>
      </c>
      <c r="N114">
        <v>0.68400000000000005</v>
      </c>
      <c r="O114">
        <v>2E-3</v>
      </c>
      <c r="P114">
        <v>1</v>
      </c>
      <c r="Q114" t="s">
        <v>344</v>
      </c>
      <c r="R114">
        <f t="shared" si="0"/>
        <v>416.22983333333332</v>
      </c>
      <c r="S114">
        <f t="shared" si="1"/>
        <v>0.23277827976019927</v>
      </c>
    </row>
    <row r="115" spans="1:19">
      <c r="A115">
        <v>36</v>
      </c>
      <c r="B115" t="s">
        <v>335</v>
      </c>
      <c r="C115" t="s">
        <v>336</v>
      </c>
      <c r="D115" t="s">
        <v>337</v>
      </c>
      <c r="E115" t="s">
        <v>347</v>
      </c>
      <c r="F115" t="s">
        <v>348</v>
      </c>
      <c r="G115">
        <v>630.50900000000001</v>
      </c>
      <c r="H115">
        <v>161.149</v>
      </c>
      <c r="I115">
        <v>133.761</v>
      </c>
      <c r="J115" t="s">
        <v>340</v>
      </c>
      <c r="K115">
        <v>105.846</v>
      </c>
      <c r="L115">
        <v>86.552000000000007</v>
      </c>
      <c r="M115">
        <v>96.811999999999998</v>
      </c>
      <c r="N115">
        <v>0.60299999999999998</v>
      </c>
      <c r="O115">
        <v>7.0000000000000001E-3</v>
      </c>
      <c r="P115">
        <v>1</v>
      </c>
      <c r="Q115" t="s">
        <v>341</v>
      </c>
      <c r="R115">
        <f t="shared" si="0"/>
        <v>202.43816666666666</v>
      </c>
      <c r="S115">
        <f t="shared" si="1"/>
        <v>0.1132143936370295</v>
      </c>
    </row>
    <row r="116" spans="1:19">
      <c r="A116">
        <v>37</v>
      </c>
      <c r="B116" t="s">
        <v>335</v>
      </c>
      <c r="C116" t="s">
        <v>336</v>
      </c>
      <c r="D116" t="s">
        <v>337</v>
      </c>
      <c r="E116" t="s">
        <v>349</v>
      </c>
      <c r="F116" t="s">
        <v>350</v>
      </c>
      <c r="G116">
        <v>678.50900000000001</v>
      </c>
      <c r="H116">
        <v>1143.316</v>
      </c>
      <c r="I116">
        <v>1069.8050000000001</v>
      </c>
      <c r="J116" t="s">
        <v>340</v>
      </c>
      <c r="K116">
        <v>531.29999999999995</v>
      </c>
      <c r="L116">
        <v>460.673</v>
      </c>
      <c r="M116">
        <v>496.44299999999998</v>
      </c>
      <c r="N116">
        <v>1.155</v>
      </c>
      <c r="O116">
        <v>0</v>
      </c>
      <c r="P116">
        <v>1</v>
      </c>
      <c r="Q116" t="s">
        <v>351</v>
      </c>
      <c r="R116">
        <f t="shared" si="0"/>
        <v>730.00766666666675</v>
      </c>
      <c r="S116">
        <f t="shared" si="1"/>
        <v>0.40825984888578859</v>
      </c>
    </row>
    <row r="117" spans="1:19">
      <c r="R117">
        <f>SUM(R112:R116)</f>
        <v>1788.0956666666666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DAE6F-D598-4E47-AC3A-BF71D764C0C7}">
  <dimension ref="A1:C18"/>
  <sheetViews>
    <sheetView workbookViewId="0">
      <selection activeCell="C4" sqref="C4"/>
    </sheetView>
  </sheetViews>
  <sheetFormatPr defaultRowHeight="15"/>
  <cols>
    <col min="1" max="1" width="13.28515625" bestFit="1" customWidth="1"/>
  </cols>
  <sheetData>
    <row r="1" spans="1:3">
      <c r="A1" t="s">
        <v>214</v>
      </c>
      <c r="B1">
        <v>5.3418162737528571E-2</v>
      </c>
      <c r="C1">
        <v>8.9030271229214294E-2</v>
      </c>
    </row>
    <row r="2" spans="1:3">
      <c r="A2" t="s">
        <v>216</v>
      </c>
      <c r="B2">
        <v>0.23175668078407857</v>
      </c>
      <c r="C2">
        <v>0.38626113464013095</v>
      </c>
    </row>
    <row r="3" spans="1:3">
      <c r="A3" t="s">
        <v>217</v>
      </c>
      <c r="B3">
        <v>6.8588133878040553E-2</v>
      </c>
      <c r="C3">
        <v>0.11431355646340094</v>
      </c>
    </row>
    <row r="4" spans="1:3">
      <c r="A4" t="s">
        <v>218</v>
      </c>
      <c r="B4">
        <v>3.1839136464150514E-2</v>
      </c>
      <c r="C4">
        <v>5.3065227440250856E-2</v>
      </c>
    </row>
    <row r="5" spans="1:3">
      <c r="A5" t="s">
        <v>219</v>
      </c>
      <c r="B5">
        <v>0.16815336756493388</v>
      </c>
      <c r="C5">
        <v>0.28025561260822313</v>
      </c>
    </row>
    <row r="6" spans="1:3">
      <c r="A6" t="s">
        <v>220</v>
      </c>
      <c r="B6">
        <v>5.6931899104231479E-2</v>
      </c>
      <c r="C6">
        <v>9.4886498507052455E-2</v>
      </c>
    </row>
    <row r="7" spans="1:3">
      <c r="A7" t="s">
        <v>221</v>
      </c>
      <c r="B7">
        <v>1.9367714853266375E-2</v>
      </c>
      <c r="C7">
        <v>3.2279524755443954E-2</v>
      </c>
    </row>
    <row r="8" spans="1:3">
      <c r="A8" t="s">
        <v>222</v>
      </c>
      <c r="B8">
        <v>1.0494359281885987E-2</v>
      </c>
      <c r="C8">
        <v>1.7490598803143312E-2</v>
      </c>
    </row>
    <row r="9" spans="1:3">
      <c r="A9" t="s">
        <v>223</v>
      </c>
      <c r="B9">
        <v>9.7635021176117852E-3</v>
      </c>
      <c r="C9">
        <v>1.6272503529352975E-2</v>
      </c>
    </row>
    <row r="10" spans="1:3">
      <c r="A10" t="s">
        <v>224</v>
      </c>
      <c r="B10">
        <v>2.7257224241969941E-2</v>
      </c>
      <c r="C10">
        <v>4.5428707069949906E-2</v>
      </c>
    </row>
    <row r="11" spans="1:3">
      <c r="A11" t="s">
        <v>225</v>
      </c>
      <c r="B11">
        <v>6.1092162962407704E-3</v>
      </c>
      <c r="C11">
        <v>1.0182027160401284E-2</v>
      </c>
    </row>
    <row r="12" spans="1:3">
      <c r="A12" t="s">
        <v>226</v>
      </c>
      <c r="B12">
        <v>3.2420074210112067E-3</v>
      </c>
      <c r="C12">
        <v>5.4033457016853439E-3</v>
      </c>
    </row>
    <row r="13" spans="1:3">
      <c r="A13" t="s">
        <v>227</v>
      </c>
      <c r="B13">
        <v>4.7037217495596107E-3</v>
      </c>
      <c r="C13">
        <v>7.8395362492660187E-3</v>
      </c>
    </row>
    <row r="14" spans="1:3">
      <c r="A14" t="s">
        <v>228</v>
      </c>
      <c r="B14">
        <v>9.1450845170720739E-3</v>
      </c>
      <c r="C14">
        <v>1.5241807528453454E-2</v>
      </c>
    </row>
    <row r="15" spans="1:3">
      <c r="A15" t="s">
        <v>229</v>
      </c>
      <c r="B15">
        <v>6.7651137513586451E-3</v>
      </c>
      <c r="C15">
        <v>1.1275189585597742E-2</v>
      </c>
    </row>
    <row r="16" spans="1:3">
      <c r="A16" t="s">
        <v>230</v>
      </c>
      <c r="B16">
        <v>1.0119560736104344E-2</v>
      </c>
      <c r="C16">
        <v>1.6865934560173906E-2</v>
      </c>
    </row>
    <row r="17" spans="1:3">
      <c r="A17" t="s">
        <v>231</v>
      </c>
      <c r="B17">
        <v>2.5092762640080962E-2</v>
      </c>
      <c r="C17">
        <v>4.1821271066801599E-2</v>
      </c>
    </row>
    <row r="18" spans="1:3">
      <c r="A18" t="s">
        <v>232</v>
      </c>
      <c r="B18">
        <v>7.2523518608747792E-3</v>
      </c>
      <c r="C18">
        <v>1.2087253101457966E-2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Macromolecular Composition</vt:lpstr>
      <vt:lpstr>Protein</vt:lpstr>
      <vt:lpstr>RNA</vt:lpstr>
      <vt:lpstr>DNA</vt:lpstr>
      <vt:lpstr>Lipid</vt:lpstr>
      <vt:lpstr>Sterols</vt:lpstr>
      <vt:lpstr>Acids</vt:lpstr>
      <vt:lpstr>Sheet2</vt:lpstr>
      <vt:lpstr>Sheet1</vt:lpstr>
      <vt:lpstr>Carbohydrates</vt:lpstr>
      <vt:lpstr>Pigments</vt:lpstr>
      <vt:lpstr>Cofactors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BioSystems UM</dc:creator>
  <cp:lastModifiedBy>Emanuel Rodrigues da Cunha</cp:lastModifiedBy>
  <dcterms:created xsi:type="dcterms:W3CDTF">2015-06-05T18:17:20Z</dcterms:created>
  <dcterms:modified xsi:type="dcterms:W3CDTF">2025-02-05T17:18:41Z</dcterms:modified>
</cp:coreProperties>
</file>