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experimental\"/>
    </mc:Choice>
  </mc:AlternateContent>
  <xr:revisionPtr revIDLastSave="0" documentId="13_ncr:1_{C2CB18FB-0078-4981-B130-BBDEC062CA00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Macromolecular Composition" sheetId="1" r:id="rId1"/>
    <sheet name="Protein" sheetId="2" r:id="rId2"/>
    <sheet name="RNA" sheetId="3" r:id="rId3"/>
    <sheet name="DNA" sheetId="4" r:id="rId4"/>
    <sheet name="Lipid" sheetId="5" r:id="rId5"/>
    <sheet name="Lipid-FA (2)" sheetId="14" r:id="rId6"/>
    <sheet name="Sheet1" sheetId="15" r:id="rId7"/>
    <sheet name="Sheet3" sheetId="12" r:id="rId8"/>
    <sheet name="Sterols" sheetId="13" r:id="rId9"/>
    <sheet name="Carbohydrates" sheetId="6" r:id="rId10"/>
    <sheet name="Acids" sheetId="16" r:id="rId11"/>
    <sheet name="Pigments" sheetId="7" r:id="rId12"/>
    <sheet name="Cofactors" sheetId="8" r:id="rId13"/>
    <sheet name="Ions" sheetId="9" r:id="rId14"/>
  </sheets>
  <externalReferences>
    <externalReference r:id="rId15"/>
  </externalReferences>
  <definedNames>
    <definedName name="solver_adj" localSheetId="4" hidden="1">Lipid!$AM$108:$AM$116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2</definedName>
    <definedName name="solver_eng" localSheetId="4" hidden="1">3</definedName>
    <definedName name="solver_est" localSheetId="4" hidden="1">1</definedName>
    <definedName name="solver_itr" localSheetId="4" hidden="1">2147483647</definedName>
    <definedName name="solver_lhs1" localSheetId="4" hidden="1">Lipid!$AM$118</definedName>
    <definedName name="solver_lhs2" localSheetId="4" hidden="1">Lipid!$AM$118</definedName>
    <definedName name="solver_lhs3" localSheetId="4" hidden="1">Lipid!$AQ$118</definedName>
    <definedName name="solver_mip" localSheetId="4" hidden="1">2147483647</definedName>
    <definedName name="solver_mni" localSheetId="4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Lipid!$AS$118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2</definedName>
    <definedName name="solver_rel1" localSheetId="4" hidden="1">1</definedName>
    <definedName name="solver_rel2" localSheetId="4" hidden="1">3</definedName>
    <definedName name="solver_rel3" localSheetId="4" hidden="1">2</definedName>
    <definedName name="solver_rhs1" localSheetId="4" hidden="1">1.01</definedName>
    <definedName name="solver_rhs2" localSheetId="4" hidden="1">0.99</definedName>
    <definedName name="solver_rhs3" localSheetId="4" hidden="1">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8" l="1"/>
  <c r="G32" i="8"/>
  <c r="H31" i="8"/>
  <c r="I31" i="8" s="1"/>
  <c r="P25" i="13"/>
  <c r="P9" i="13"/>
  <c r="P10" i="13"/>
  <c r="P11" i="13"/>
  <c r="P12" i="13"/>
  <c r="P13" i="13"/>
  <c r="P14" i="13"/>
  <c r="P15" i="13"/>
  <c r="P16" i="13"/>
  <c r="M11" i="13"/>
  <c r="M9" i="13"/>
  <c r="M10" i="13"/>
  <c r="M12" i="13"/>
  <c r="M8" i="13"/>
  <c r="H12" i="13"/>
  <c r="L7" i="6"/>
  <c r="L8" i="6"/>
  <c r="L9" i="6"/>
  <c r="L10" i="6"/>
  <c r="L11" i="6"/>
  <c r="L12" i="6"/>
  <c r="L13" i="6"/>
  <c r="L6" i="6"/>
  <c r="K6" i="6"/>
  <c r="J6" i="6"/>
  <c r="I6" i="6"/>
  <c r="J15" i="6"/>
  <c r="J11" i="6"/>
  <c r="J7" i="6"/>
  <c r="J8" i="6"/>
  <c r="J9" i="6"/>
  <c r="J10" i="6"/>
  <c r="J12" i="6"/>
  <c r="J13" i="6"/>
  <c r="G13" i="6"/>
  <c r="G12" i="6"/>
  <c r="G11" i="6"/>
  <c r="G10" i="6"/>
  <c r="G9" i="6"/>
  <c r="G8" i="6"/>
  <c r="G7" i="6"/>
  <c r="G6" i="6"/>
  <c r="E10" i="1"/>
  <c r="J10" i="1"/>
  <c r="D8" i="1" l="1"/>
  <c r="E8" i="1"/>
  <c r="I8" i="1"/>
  <c r="J5" i="1"/>
  <c r="I5" i="1"/>
  <c r="Q21" i="1"/>
  <c r="D7" i="1"/>
  <c r="P24" i="1"/>
  <c r="N24" i="1"/>
  <c r="M24" i="1"/>
  <c r="E21" i="1"/>
  <c r="D21" i="1"/>
  <c r="I24" i="1"/>
  <c r="O24" i="1"/>
  <c r="L24" i="1"/>
  <c r="D11" i="1"/>
  <c r="AA18" i="5" l="1"/>
  <c r="W18" i="5"/>
  <c r="X18" i="5"/>
  <c r="V18" i="5"/>
  <c r="U18" i="5"/>
  <c r="H24" i="2"/>
  <c r="V11" i="7" l="1"/>
  <c r="L11" i="7"/>
  <c r="M11" i="7" s="1"/>
  <c r="L10" i="7"/>
  <c r="K12" i="7"/>
  <c r="M10" i="7"/>
  <c r="J11" i="7"/>
  <c r="I11" i="7"/>
  <c r="I12" i="7"/>
  <c r="G12" i="16"/>
  <c r="F12" i="16"/>
  <c r="H11" i="16"/>
  <c r="H10" i="16"/>
  <c r="H9" i="16"/>
  <c r="H8" i="16"/>
  <c r="H7" i="16"/>
  <c r="H6" i="16"/>
  <c r="K14" i="1"/>
  <c r="H12" i="16" l="1"/>
  <c r="L8" i="13" l="1"/>
  <c r="K8" i="13"/>
  <c r="X32" i="5" l="1"/>
  <c r="G244" i="15"/>
  <c r="K241" i="15"/>
  <c r="K232" i="15"/>
  <c r="K233" i="15"/>
  <c r="K234" i="15"/>
  <c r="K235" i="15"/>
  <c r="K236" i="15"/>
  <c r="K237" i="15"/>
  <c r="K238" i="15"/>
  <c r="K239" i="15"/>
  <c r="K240" i="15"/>
  <c r="K231" i="15"/>
  <c r="J233" i="15"/>
  <c r="J232" i="15"/>
  <c r="J231" i="15"/>
  <c r="G233" i="15"/>
  <c r="S8" i="6" l="1"/>
  <c r="T6" i="6" s="1"/>
  <c r="I9" i="1"/>
  <c r="D24" i="1"/>
  <c r="J14" i="9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272" i="15"/>
  <c r="E310" i="15"/>
  <c r="D310" i="15"/>
  <c r="M352" i="14"/>
  <c r="E281" i="15"/>
  <c r="D281" i="15"/>
  <c r="E308" i="15"/>
  <c r="D308" i="15"/>
  <c r="E306" i="15"/>
  <c r="D306" i="15"/>
  <c r="D241" i="15"/>
  <c r="I8" i="6" l="1"/>
  <c r="I9" i="6"/>
  <c r="I12" i="6"/>
  <c r="I7" i="6"/>
  <c r="G240" i="15"/>
  <c r="G232" i="15"/>
  <c r="G243" i="15"/>
  <c r="G242" i="15"/>
  <c r="G241" i="15"/>
  <c r="G236" i="15"/>
  <c r="G231" i="15"/>
  <c r="G235" i="15"/>
  <c r="G239" i="15"/>
  <c r="G234" i="15"/>
  <c r="G245" i="15"/>
  <c r="G238" i="15"/>
  <c r="G237" i="15"/>
  <c r="N205" i="15" l="1"/>
  <c r="M205" i="15"/>
  <c r="N209" i="15"/>
  <c r="N210" i="15" s="1"/>
  <c r="N211" i="15" s="1"/>
  <c r="M209" i="15"/>
  <c r="M210" i="15" s="1"/>
  <c r="M211" i="15" s="1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Z88" i="15"/>
  <c r="AA88" i="15"/>
  <c r="AB88" i="15"/>
  <c r="AC88" i="15"/>
  <c r="AD88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Z93" i="15"/>
  <c r="AA93" i="15"/>
  <c r="AB93" i="15"/>
  <c r="AC93" i="15"/>
  <c r="AD93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A94" i="15"/>
  <c r="AB94" i="15"/>
  <c r="AC94" i="15"/>
  <c r="AD94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A96" i="15"/>
  <c r="AB96" i="15"/>
  <c r="AC96" i="15"/>
  <c r="AD96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Z100" i="15"/>
  <c r="AA100" i="15"/>
  <c r="AB100" i="15"/>
  <c r="AC100" i="15"/>
  <c r="AD100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AA101" i="15"/>
  <c r="AB101" i="15"/>
  <c r="AC101" i="15"/>
  <c r="AD101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Z102" i="15"/>
  <c r="AA102" i="15"/>
  <c r="AB102" i="15"/>
  <c r="AC102" i="15"/>
  <c r="AD102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A107" i="15"/>
  <c r="AB107" i="15"/>
  <c r="AC107" i="15"/>
  <c r="AD107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AA108" i="15"/>
  <c r="AB108" i="15"/>
  <c r="AC108" i="15"/>
  <c r="AD108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Z109" i="15"/>
  <c r="AA109" i="15"/>
  <c r="AB109" i="15"/>
  <c r="AC109" i="15"/>
  <c r="AD109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Z110" i="15"/>
  <c r="AA110" i="15"/>
  <c r="AB110" i="15"/>
  <c r="AC110" i="15"/>
  <c r="AD110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Z111" i="15"/>
  <c r="AA111" i="15"/>
  <c r="AB111" i="15"/>
  <c r="AC111" i="15"/>
  <c r="AD111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A112" i="15"/>
  <c r="AB112" i="15"/>
  <c r="AC112" i="15"/>
  <c r="AD112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A114" i="15"/>
  <c r="AB114" i="15"/>
  <c r="AC114" i="15"/>
  <c r="AD114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A115" i="15"/>
  <c r="AB115" i="15"/>
  <c r="AC115" i="15"/>
  <c r="AD115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A116" i="15"/>
  <c r="AB116" i="15"/>
  <c r="AC116" i="15"/>
  <c r="AD116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X117" i="15"/>
  <c r="Y117" i="15"/>
  <c r="Z117" i="15"/>
  <c r="AA117" i="15"/>
  <c r="AB117" i="15"/>
  <c r="AC117" i="15"/>
  <c r="AD117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AD123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AA124" i="15"/>
  <c r="AB124" i="15"/>
  <c r="AC124" i="15"/>
  <c r="AD124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U127" i="15"/>
  <c r="V127" i="15"/>
  <c r="W127" i="15"/>
  <c r="X127" i="15"/>
  <c r="Y127" i="15"/>
  <c r="Z127" i="15"/>
  <c r="AA127" i="15"/>
  <c r="AB127" i="15"/>
  <c r="AC127" i="15"/>
  <c r="AD127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V128" i="15"/>
  <c r="W128" i="15"/>
  <c r="X128" i="15"/>
  <c r="Y128" i="15"/>
  <c r="Z128" i="15"/>
  <c r="AA128" i="15"/>
  <c r="AB128" i="15"/>
  <c r="AC128" i="15"/>
  <c r="AD128" i="15"/>
  <c r="D7" i="15"/>
  <c r="Y7" i="15" s="1"/>
  <c r="D6" i="15"/>
  <c r="J6" i="15" s="1"/>
  <c r="D5" i="15"/>
  <c r="Y5" i="15" s="1"/>
  <c r="G152" i="14"/>
  <c r="H152" i="14"/>
  <c r="E100" i="14"/>
  <c r="D122" i="15"/>
  <c r="I122" i="15" s="1"/>
  <c r="D118" i="15"/>
  <c r="E118" i="15" s="1"/>
  <c r="D119" i="15"/>
  <c r="J119" i="15" s="1"/>
  <c r="D121" i="15"/>
  <c r="L121" i="15" s="1"/>
  <c r="D105" i="15"/>
  <c r="I105" i="15" s="1"/>
  <c r="D98" i="15"/>
  <c r="L98" i="15" s="1"/>
  <c r="D92" i="15"/>
  <c r="G92" i="15" s="1"/>
  <c r="D103" i="15"/>
  <c r="J103" i="15" s="1"/>
  <c r="D86" i="15"/>
  <c r="E86" i="15" s="1"/>
  <c r="D99" i="15"/>
  <c r="J99" i="15" s="1"/>
  <c r="D42" i="15"/>
  <c r="X42" i="15" s="1"/>
  <c r="D95" i="15"/>
  <c r="U95" i="15" s="1"/>
  <c r="D35" i="15"/>
  <c r="Y35" i="15" s="1"/>
  <c r="D41" i="15"/>
  <c r="AA41" i="15" s="1"/>
  <c r="D33" i="15"/>
  <c r="W33" i="15" s="1"/>
  <c r="D46" i="15"/>
  <c r="AB46" i="15" s="1"/>
  <c r="D50" i="15"/>
  <c r="L50" i="15" s="1"/>
  <c r="D47" i="15"/>
  <c r="Q47" i="15" s="1"/>
  <c r="D49" i="15"/>
  <c r="W49" i="15" s="1"/>
  <c r="D21" i="15"/>
  <c r="G21" i="15" s="1"/>
  <c r="D19" i="15"/>
  <c r="K19" i="15" s="1"/>
  <c r="D14" i="15"/>
  <c r="D13" i="15"/>
  <c r="U13" i="15" s="1"/>
  <c r="D11" i="15"/>
  <c r="W11" i="15" s="1"/>
  <c r="D16" i="15"/>
  <c r="L16" i="15" s="1"/>
  <c r="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4"/>
  <c r="F198" i="5"/>
  <c r="AL250" i="14"/>
  <c r="AE60" i="15" l="1"/>
  <c r="AF60" i="15" s="1"/>
  <c r="AE87" i="15"/>
  <c r="AF87" i="15" s="1"/>
  <c r="E105" i="15"/>
  <c r="Y119" i="15"/>
  <c r="V119" i="15"/>
  <c r="R99" i="15"/>
  <c r="F119" i="15"/>
  <c r="P103" i="15"/>
  <c r="AA118" i="15"/>
  <c r="Z121" i="15"/>
  <c r="K118" i="15"/>
  <c r="R121" i="15"/>
  <c r="W105" i="15"/>
  <c r="N105" i="15"/>
  <c r="S95" i="15"/>
  <c r="P50" i="15"/>
  <c r="P46" i="15"/>
  <c r="H42" i="15"/>
  <c r="P122" i="15"/>
  <c r="S121" i="15"/>
  <c r="X119" i="15"/>
  <c r="AB118" i="15"/>
  <c r="I118" i="15"/>
  <c r="V105" i="15"/>
  <c r="M105" i="15"/>
  <c r="N103" i="15"/>
  <c r="L99" i="15"/>
  <c r="O95" i="15"/>
  <c r="H46" i="15"/>
  <c r="I13" i="15"/>
  <c r="O122" i="15"/>
  <c r="AD105" i="15"/>
  <c r="U105" i="15"/>
  <c r="L105" i="15"/>
  <c r="I103" i="15"/>
  <c r="K99" i="15"/>
  <c r="N95" i="15"/>
  <c r="AC86" i="15"/>
  <c r="AD6" i="15"/>
  <c r="M122" i="15"/>
  <c r="K121" i="15"/>
  <c r="Q119" i="15"/>
  <c r="Y118" i="15"/>
  <c r="AC105" i="15"/>
  <c r="T105" i="15"/>
  <c r="K105" i="15"/>
  <c r="AD103" i="15"/>
  <c r="H103" i="15"/>
  <c r="AC99" i="15"/>
  <c r="I99" i="15"/>
  <c r="AC95" i="15"/>
  <c r="M95" i="15"/>
  <c r="T86" i="15"/>
  <c r="I35" i="15"/>
  <c r="H122" i="15"/>
  <c r="J121" i="15"/>
  <c r="P119" i="15"/>
  <c r="T118" i="15"/>
  <c r="AE112" i="15"/>
  <c r="AF112" i="15" s="1"/>
  <c r="AB105" i="15"/>
  <c r="S105" i="15"/>
  <c r="J105" i="15"/>
  <c r="Y103" i="15"/>
  <c r="F103" i="15"/>
  <c r="AB99" i="15"/>
  <c r="AC98" i="15"/>
  <c r="AA95" i="15"/>
  <c r="K95" i="15"/>
  <c r="Q86" i="15"/>
  <c r="Y47" i="15"/>
  <c r="U122" i="15"/>
  <c r="AC122" i="15"/>
  <c r="G122" i="15"/>
  <c r="N119" i="15"/>
  <c r="S118" i="15"/>
  <c r="AA105" i="15"/>
  <c r="R105" i="15"/>
  <c r="H105" i="15"/>
  <c r="X103" i="15"/>
  <c r="Z99" i="15"/>
  <c r="R98" i="15"/>
  <c r="Z95" i="15"/>
  <c r="G95" i="15"/>
  <c r="M86" i="15"/>
  <c r="AE78" i="15"/>
  <c r="AF78" i="15" s="1"/>
  <c r="U47" i="15"/>
  <c r="X122" i="15"/>
  <c r="E122" i="15"/>
  <c r="I119" i="15"/>
  <c r="Q118" i="15"/>
  <c r="Z105" i="15"/>
  <c r="P105" i="15"/>
  <c r="G105" i="15"/>
  <c r="V103" i="15"/>
  <c r="U99" i="15"/>
  <c r="G98" i="15"/>
  <c r="W95" i="15"/>
  <c r="F95" i="15"/>
  <c r="AB50" i="15"/>
  <c r="M47" i="15"/>
  <c r="O33" i="15"/>
  <c r="K21" i="15"/>
  <c r="V16" i="15"/>
  <c r="W122" i="15"/>
  <c r="AA121" i="15"/>
  <c r="AD119" i="15"/>
  <c r="H119" i="15"/>
  <c r="L118" i="15"/>
  <c r="X105" i="15"/>
  <c r="O105" i="15"/>
  <c r="F105" i="15"/>
  <c r="Q103" i="15"/>
  <c r="T99" i="15"/>
  <c r="X50" i="15"/>
  <c r="T46" i="15"/>
  <c r="K33" i="15"/>
  <c r="AE115" i="15"/>
  <c r="AF115" i="15" s="1"/>
  <c r="AE107" i="15"/>
  <c r="AF107" i="15" s="1"/>
  <c r="AB98" i="15"/>
  <c r="Q98" i="15"/>
  <c r="F98" i="15"/>
  <c r="AB92" i="15"/>
  <c r="O92" i="15"/>
  <c r="AE74" i="15"/>
  <c r="AF74" i="15" s="1"/>
  <c r="S49" i="15"/>
  <c r="E35" i="15"/>
  <c r="T6" i="15"/>
  <c r="H21" i="15"/>
  <c r="P21" i="15"/>
  <c r="X21" i="15"/>
  <c r="I21" i="15"/>
  <c r="Q21" i="15"/>
  <c r="Y21" i="15"/>
  <c r="J21" i="15"/>
  <c r="R21" i="15"/>
  <c r="Z21" i="15"/>
  <c r="L21" i="15"/>
  <c r="T21" i="15"/>
  <c r="AB21" i="15"/>
  <c r="E21" i="15"/>
  <c r="M21" i="15"/>
  <c r="U21" i="15"/>
  <c r="AC21" i="15"/>
  <c r="F21" i="15"/>
  <c r="N21" i="15"/>
  <c r="V21" i="15"/>
  <c r="AD21" i="15"/>
  <c r="L95" i="15"/>
  <c r="T95" i="15"/>
  <c r="AB95" i="15"/>
  <c r="H95" i="15"/>
  <c r="P95" i="15"/>
  <c r="X95" i="15"/>
  <c r="I95" i="15"/>
  <c r="Q95" i="15"/>
  <c r="Y95" i="15"/>
  <c r="AE125" i="15"/>
  <c r="AF125" i="15" s="1"/>
  <c r="AD122" i="15"/>
  <c r="V122" i="15"/>
  <c r="N122" i="15"/>
  <c r="F122" i="15"/>
  <c r="Y121" i="15"/>
  <c r="Q121" i="15"/>
  <c r="I121" i="15"/>
  <c r="W119" i="15"/>
  <c r="O119" i="15"/>
  <c r="G119" i="15"/>
  <c r="Z118" i="15"/>
  <c r="R118" i="15"/>
  <c r="J118" i="15"/>
  <c r="AE117" i="15"/>
  <c r="AF117" i="15" s="1"/>
  <c r="AE109" i="15"/>
  <c r="AF109" i="15" s="1"/>
  <c r="Y105" i="15"/>
  <c r="Q105" i="15"/>
  <c r="W103" i="15"/>
  <c r="O103" i="15"/>
  <c r="G103" i="15"/>
  <c r="AE101" i="15"/>
  <c r="AF101" i="15" s="1"/>
  <c r="AA99" i="15"/>
  <c r="S99" i="15"/>
  <c r="Z98" i="15"/>
  <c r="O98" i="15"/>
  <c r="E98" i="15"/>
  <c r="AD95" i="15"/>
  <c r="R95" i="15"/>
  <c r="E95" i="15"/>
  <c r="AA92" i="15"/>
  <c r="N92" i="15"/>
  <c r="P86" i="15"/>
  <c r="AE80" i="15"/>
  <c r="AF80" i="15" s="1"/>
  <c r="AE70" i="15"/>
  <c r="AF70" i="15" s="1"/>
  <c r="T50" i="15"/>
  <c r="O49" i="15"/>
  <c r="L46" i="15"/>
  <c r="AE43" i="15"/>
  <c r="G33" i="15"/>
  <c r="L41" i="15"/>
  <c r="T41" i="15"/>
  <c r="AB41" i="15"/>
  <c r="E41" i="15"/>
  <c r="M41" i="15"/>
  <c r="U41" i="15"/>
  <c r="AC41" i="15"/>
  <c r="F41" i="15"/>
  <c r="N41" i="15"/>
  <c r="V41" i="15"/>
  <c r="AD41" i="15"/>
  <c r="H41" i="15"/>
  <c r="P41" i="15"/>
  <c r="X41" i="15"/>
  <c r="I41" i="15"/>
  <c r="Q41" i="15"/>
  <c r="Y41" i="15"/>
  <c r="J41" i="15"/>
  <c r="R41" i="15"/>
  <c r="Z41" i="15"/>
  <c r="AE120" i="15"/>
  <c r="AF120" i="15" s="1"/>
  <c r="AE104" i="15"/>
  <c r="AF104" i="15" s="1"/>
  <c r="AD92" i="15"/>
  <c r="AE10" i="15"/>
  <c r="AF10" i="15" s="1"/>
  <c r="P121" i="15"/>
  <c r="AE106" i="15"/>
  <c r="AF106" i="15" s="1"/>
  <c r="AE66" i="15"/>
  <c r="AF66" i="15" s="1"/>
  <c r="AB42" i="15"/>
  <c r="J47" i="15"/>
  <c r="R47" i="15"/>
  <c r="Z47" i="15"/>
  <c r="K47" i="15"/>
  <c r="S47" i="15"/>
  <c r="AA47" i="15"/>
  <c r="L47" i="15"/>
  <c r="T47" i="15"/>
  <c r="AB47" i="15"/>
  <c r="F47" i="15"/>
  <c r="N47" i="15"/>
  <c r="V47" i="15"/>
  <c r="AD47" i="15"/>
  <c r="G47" i="15"/>
  <c r="O47" i="15"/>
  <c r="W47" i="15"/>
  <c r="H47" i="15"/>
  <c r="P47" i="15"/>
  <c r="X47" i="15"/>
  <c r="H99" i="15"/>
  <c r="E99" i="15"/>
  <c r="M99" i="15"/>
  <c r="H5" i="15"/>
  <c r="P5" i="15"/>
  <c r="X5" i="15"/>
  <c r="J5" i="15"/>
  <c r="R5" i="15"/>
  <c r="Z5" i="15"/>
  <c r="K5" i="15"/>
  <c r="S5" i="15"/>
  <c r="AA5" i="15"/>
  <c r="L5" i="15"/>
  <c r="T5" i="15"/>
  <c r="AB5" i="15"/>
  <c r="F5" i="15"/>
  <c r="N5" i="15"/>
  <c r="V5" i="15"/>
  <c r="AD5" i="15"/>
  <c r="Q5" i="15"/>
  <c r="U5" i="15"/>
  <c r="W5" i="15"/>
  <c r="G5" i="15"/>
  <c r="AC5" i="15"/>
  <c r="I5" i="15"/>
  <c r="M5" i="15"/>
  <c r="AE124" i="15"/>
  <c r="AF124" i="15" s="1"/>
  <c r="AB122" i="15"/>
  <c r="T122" i="15"/>
  <c r="L122" i="15"/>
  <c r="W121" i="15"/>
  <c r="O121" i="15"/>
  <c r="G121" i="15"/>
  <c r="AC119" i="15"/>
  <c r="U119" i="15"/>
  <c r="M119" i="15"/>
  <c r="E119" i="15"/>
  <c r="X118" i="15"/>
  <c r="P118" i="15"/>
  <c r="H118" i="15"/>
  <c r="AE116" i="15"/>
  <c r="AF116" i="15" s="1"/>
  <c r="AE108" i="15"/>
  <c r="AF108" i="15" s="1"/>
  <c r="AC103" i="15"/>
  <c r="U103" i="15"/>
  <c r="M103" i="15"/>
  <c r="E103" i="15"/>
  <c r="AE100" i="15"/>
  <c r="AF100" i="15" s="1"/>
  <c r="Y99" i="15"/>
  <c r="Q99" i="15"/>
  <c r="G99" i="15"/>
  <c r="W98" i="15"/>
  <c r="M98" i="15"/>
  <c r="AE94" i="15"/>
  <c r="AF94" i="15" s="1"/>
  <c r="W92" i="15"/>
  <c r="K92" i="15"/>
  <c r="AE90" i="15"/>
  <c r="AF90" i="15" s="1"/>
  <c r="AB86" i="15"/>
  <c r="I86" i="15"/>
  <c r="AE62" i="15"/>
  <c r="AF62" i="15" s="1"/>
  <c r="G49" i="15"/>
  <c r="I47" i="15"/>
  <c r="S41" i="15"/>
  <c r="AA21" i="15"/>
  <c r="AA19" i="15"/>
  <c r="O5" i="15"/>
  <c r="E14" i="15"/>
  <c r="M14" i="15"/>
  <c r="U14" i="15"/>
  <c r="AC14" i="15"/>
  <c r="G14" i="15"/>
  <c r="O14" i="15"/>
  <c r="W14" i="15"/>
  <c r="H14" i="15"/>
  <c r="P14" i="15"/>
  <c r="X14" i="15"/>
  <c r="I14" i="15"/>
  <c r="Q14" i="15"/>
  <c r="Y14" i="15"/>
  <c r="K14" i="15"/>
  <c r="S14" i="15"/>
  <c r="AA14" i="15"/>
  <c r="F14" i="15"/>
  <c r="AB14" i="15"/>
  <c r="J14" i="15"/>
  <c r="AD14" i="15"/>
  <c r="L14" i="15"/>
  <c r="R14" i="15"/>
  <c r="T14" i="15"/>
  <c r="V14" i="15"/>
  <c r="N14" i="15"/>
  <c r="F35" i="15"/>
  <c r="N35" i="15"/>
  <c r="V35" i="15"/>
  <c r="AD35" i="15"/>
  <c r="G35" i="15"/>
  <c r="O35" i="15"/>
  <c r="W35" i="15"/>
  <c r="H35" i="15"/>
  <c r="P35" i="15"/>
  <c r="X35" i="15"/>
  <c r="J35" i="15"/>
  <c r="R35" i="15"/>
  <c r="Z35" i="15"/>
  <c r="K35" i="15"/>
  <c r="S35" i="15"/>
  <c r="AA35" i="15"/>
  <c r="L35" i="15"/>
  <c r="T35" i="15"/>
  <c r="AB35" i="15"/>
  <c r="I42" i="15"/>
  <c r="Q42" i="15"/>
  <c r="Y42" i="15"/>
  <c r="J42" i="15"/>
  <c r="R42" i="15"/>
  <c r="Z42" i="15"/>
  <c r="K42" i="15"/>
  <c r="S42" i="15"/>
  <c r="AA42" i="15"/>
  <c r="E42" i="15"/>
  <c r="M42" i="15"/>
  <c r="U42" i="15"/>
  <c r="AC42" i="15"/>
  <c r="F42" i="15"/>
  <c r="N42" i="15"/>
  <c r="V42" i="15"/>
  <c r="AD42" i="15"/>
  <c r="G42" i="15"/>
  <c r="O42" i="15"/>
  <c r="W42" i="15"/>
  <c r="H121" i="15"/>
  <c r="AE114" i="15"/>
  <c r="AF114" i="15" s="1"/>
  <c r="Y98" i="15"/>
  <c r="K49" i="15"/>
  <c r="W41" i="15"/>
  <c r="AE39" i="15"/>
  <c r="AF39" i="15" s="1"/>
  <c r="I50" i="15"/>
  <c r="Q50" i="15"/>
  <c r="Y50" i="15"/>
  <c r="J50" i="15"/>
  <c r="R50" i="15"/>
  <c r="Z50" i="15"/>
  <c r="K50" i="15"/>
  <c r="S50" i="15"/>
  <c r="AA50" i="15"/>
  <c r="E50" i="15"/>
  <c r="M50" i="15"/>
  <c r="U50" i="15"/>
  <c r="AC50" i="15"/>
  <c r="F50" i="15"/>
  <c r="N50" i="15"/>
  <c r="V50" i="15"/>
  <c r="AD50" i="15"/>
  <c r="G50" i="15"/>
  <c r="O50" i="15"/>
  <c r="W50" i="15"/>
  <c r="AE127" i="15"/>
  <c r="AF127" i="15" s="1"/>
  <c r="AA122" i="15"/>
  <c r="S122" i="15"/>
  <c r="K122" i="15"/>
  <c r="AD121" i="15"/>
  <c r="V121" i="15"/>
  <c r="N121" i="15"/>
  <c r="F121" i="15"/>
  <c r="AB119" i="15"/>
  <c r="T119" i="15"/>
  <c r="L119" i="15"/>
  <c r="W118" i="15"/>
  <c r="O118" i="15"/>
  <c r="G118" i="15"/>
  <c r="AE111" i="15"/>
  <c r="AF111" i="15" s="1"/>
  <c r="AB103" i="15"/>
  <c r="T103" i="15"/>
  <c r="L103" i="15"/>
  <c r="X99" i="15"/>
  <c r="P99" i="15"/>
  <c r="F99" i="15"/>
  <c r="V98" i="15"/>
  <c r="AE97" i="15"/>
  <c r="AF97" i="15" s="1"/>
  <c r="V92" i="15"/>
  <c r="H92" i="15"/>
  <c r="Y86" i="15"/>
  <c r="H86" i="15"/>
  <c r="AE59" i="15"/>
  <c r="AF59" i="15" s="1"/>
  <c r="H50" i="15"/>
  <c r="E47" i="15"/>
  <c r="T42" i="15"/>
  <c r="O41" i="15"/>
  <c r="U35" i="15"/>
  <c r="AA33" i="15"/>
  <c r="W21" i="15"/>
  <c r="S19" i="15"/>
  <c r="E5" i="15"/>
  <c r="AE128" i="15"/>
  <c r="AF128" i="15" s="1"/>
  <c r="P92" i="15"/>
  <c r="K98" i="15"/>
  <c r="S98" i="15"/>
  <c r="AA98" i="15"/>
  <c r="H98" i="15"/>
  <c r="P98" i="15"/>
  <c r="X98" i="15"/>
  <c r="AE123" i="15"/>
  <c r="AF123" i="15" s="1"/>
  <c r="N98" i="15"/>
  <c r="X92" i="15"/>
  <c r="AC35" i="15"/>
  <c r="G16" i="15"/>
  <c r="O16" i="15"/>
  <c r="W16" i="15"/>
  <c r="I16" i="15"/>
  <c r="Q16" i="15"/>
  <c r="Y16" i="15"/>
  <c r="J16" i="15"/>
  <c r="R16" i="15"/>
  <c r="Z16" i="15"/>
  <c r="K16" i="15"/>
  <c r="S16" i="15"/>
  <c r="AA16" i="15"/>
  <c r="E16" i="15"/>
  <c r="M16" i="15"/>
  <c r="U16" i="15"/>
  <c r="AC16" i="15"/>
  <c r="N16" i="15"/>
  <c r="P16" i="15"/>
  <c r="T16" i="15"/>
  <c r="X16" i="15"/>
  <c r="F16" i="15"/>
  <c r="AB16" i="15"/>
  <c r="H16" i="15"/>
  <c r="AD16" i="15"/>
  <c r="R122" i="15"/>
  <c r="AC121" i="15"/>
  <c r="E121" i="15"/>
  <c r="S119" i="15"/>
  <c r="V118" i="15"/>
  <c r="F118" i="15"/>
  <c r="AE113" i="15"/>
  <c r="AF113" i="15" s="1"/>
  <c r="AA103" i="15"/>
  <c r="S103" i="15"/>
  <c r="K103" i="15"/>
  <c r="W99" i="15"/>
  <c r="O99" i="15"/>
  <c r="U98" i="15"/>
  <c r="J98" i="15"/>
  <c r="AE93" i="15"/>
  <c r="AF93" i="15" s="1"/>
  <c r="T92" i="15"/>
  <c r="AE89" i="15"/>
  <c r="AF89" i="15" s="1"/>
  <c r="X86" i="15"/>
  <c r="AE55" i="15"/>
  <c r="AF55" i="15" s="1"/>
  <c r="P42" i="15"/>
  <c r="K41" i="15"/>
  <c r="Q35" i="15"/>
  <c r="AE31" i="15"/>
  <c r="AF31" i="15" s="1"/>
  <c r="S21" i="15"/>
  <c r="E92" i="15"/>
  <c r="M92" i="15"/>
  <c r="U92" i="15"/>
  <c r="AC92" i="15"/>
  <c r="I92" i="15"/>
  <c r="Q92" i="15"/>
  <c r="Y92" i="15"/>
  <c r="J92" i="15"/>
  <c r="R92" i="15"/>
  <c r="Z92" i="15"/>
  <c r="AE23" i="15"/>
  <c r="AF23" i="15" s="1"/>
  <c r="F19" i="15"/>
  <c r="N19" i="15"/>
  <c r="V19" i="15"/>
  <c r="AD19" i="15"/>
  <c r="H19" i="15"/>
  <c r="P19" i="15"/>
  <c r="X19" i="15"/>
  <c r="J19" i="15"/>
  <c r="R19" i="15"/>
  <c r="Z19" i="15"/>
  <c r="L19" i="15"/>
  <c r="T19" i="15"/>
  <c r="AB19" i="15"/>
  <c r="M19" i="15"/>
  <c r="AC19" i="15"/>
  <c r="O19" i="15"/>
  <c r="Q19" i="15"/>
  <c r="E19" i="15"/>
  <c r="U19" i="15"/>
  <c r="G19" i="15"/>
  <c r="W19" i="15"/>
  <c r="I19" i="15"/>
  <c r="Y19" i="15"/>
  <c r="L49" i="15"/>
  <c r="T49" i="15"/>
  <c r="AB49" i="15"/>
  <c r="E49" i="15"/>
  <c r="M49" i="15"/>
  <c r="U49" i="15"/>
  <c r="AC49" i="15"/>
  <c r="F49" i="15"/>
  <c r="N49" i="15"/>
  <c r="V49" i="15"/>
  <c r="AD49" i="15"/>
  <c r="H49" i="15"/>
  <c r="P49" i="15"/>
  <c r="X49" i="15"/>
  <c r="I49" i="15"/>
  <c r="Q49" i="15"/>
  <c r="Y49" i="15"/>
  <c r="J49" i="15"/>
  <c r="R49" i="15"/>
  <c r="Z49" i="15"/>
  <c r="X121" i="15"/>
  <c r="L92" i="15"/>
  <c r="J86" i="15"/>
  <c r="R86" i="15"/>
  <c r="Z86" i="15"/>
  <c r="K86" i="15"/>
  <c r="S86" i="15"/>
  <c r="AA86" i="15"/>
  <c r="L86" i="15"/>
  <c r="F86" i="15"/>
  <c r="N86" i="15"/>
  <c r="V86" i="15"/>
  <c r="AD86" i="15"/>
  <c r="G86" i="15"/>
  <c r="O86" i="15"/>
  <c r="W86" i="15"/>
  <c r="E6" i="15"/>
  <c r="M6" i="15"/>
  <c r="U6" i="15"/>
  <c r="AC6" i="15"/>
  <c r="G6" i="15"/>
  <c r="O6" i="15"/>
  <c r="W6" i="15"/>
  <c r="H6" i="15"/>
  <c r="P6" i="15"/>
  <c r="X6" i="15"/>
  <c r="I6" i="15"/>
  <c r="Q6" i="15"/>
  <c r="Y6" i="15"/>
  <c r="K6" i="15"/>
  <c r="S6" i="15"/>
  <c r="AA6" i="15"/>
  <c r="L6" i="15"/>
  <c r="N6" i="15"/>
  <c r="R6" i="15"/>
  <c r="V6" i="15"/>
  <c r="Z6" i="15"/>
  <c r="F6" i="15"/>
  <c r="AB6" i="15"/>
  <c r="F11" i="15"/>
  <c r="N11" i="15"/>
  <c r="V11" i="15"/>
  <c r="AD11" i="15"/>
  <c r="H11" i="15"/>
  <c r="P11" i="15"/>
  <c r="X11" i="15"/>
  <c r="I11" i="15"/>
  <c r="Q11" i="15"/>
  <c r="Y11" i="15"/>
  <c r="J11" i="15"/>
  <c r="R11" i="15"/>
  <c r="Z11" i="15"/>
  <c r="L11" i="15"/>
  <c r="T11" i="15"/>
  <c r="AB11" i="15"/>
  <c r="E11" i="15"/>
  <c r="AA11" i="15"/>
  <c r="G11" i="15"/>
  <c r="AC11" i="15"/>
  <c r="K11" i="15"/>
  <c r="O11" i="15"/>
  <c r="S11" i="15"/>
  <c r="U11" i="15"/>
  <c r="E46" i="15"/>
  <c r="M46" i="15"/>
  <c r="U46" i="15"/>
  <c r="AC46" i="15"/>
  <c r="F46" i="15"/>
  <c r="N46" i="15"/>
  <c r="V46" i="15"/>
  <c r="AD46" i="15"/>
  <c r="G46" i="15"/>
  <c r="O46" i="15"/>
  <c r="W46" i="15"/>
  <c r="I46" i="15"/>
  <c r="Q46" i="15"/>
  <c r="Y46" i="15"/>
  <c r="J46" i="15"/>
  <c r="R46" i="15"/>
  <c r="Z46" i="15"/>
  <c r="K46" i="15"/>
  <c r="S46" i="15"/>
  <c r="AA46" i="15"/>
  <c r="J7" i="15"/>
  <c r="R7" i="15"/>
  <c r="Z7" i="15"/>
  <c r="L7" i="15"/>
  <c r="T7" i="15"/>
  <c r="AB7" i="15"/>
  <c r="E7" i="15"/>
  <c r="M7" i="15"/>
  <c r="U7" i="15"/>
  <c r="AC7" i="15"/>
  <c r="F7" i="15"/>
  <c r="N7" i="15"/>
  <c r="V7" i="15"/>
  <c r="AD7" i="15"/>
  <c r="H7" i="15"/>
  <c r="P7" i="15"/>
  <c r="X7" i="15"/>
  <c r="G7" i="15"/>
  <c r="AA7" i="15"/>
  <c r="I7" i="15"/>
  <c r="K7" i="15"/>
  <c r="Q7" i="15"/>
  <c r="S7" i="15"/>
  <c r="W7" i="15"/>
  <c r="Z122" i="15"/>
  <c r="J122" i="15"/>
  <c r="U121" i="15"/>
  <c r="M121" i="15"/>
  <c r="AA119" i="15"/>
  <c r="K119" i="15"/>
  <c r="AD118" i="15"/>
  <c r="N118" i="15"/>
  <c r="H13" i="15"/>
  <c r="P13" i="15"/>
  <c r="X13" i="15"/>
  <c r="J13" i="15"/>
  <c r="R13" i="15"/>
  <c r="Z13" i="15"/>
  <c r="K13" i="15"/>
  <c r="S13" i="15"/>
  <c r="AA13" i="15"/>
  <c r="L13" i="15"/>
  <c r="T13" i="15"/>
  <c r="AB13" i="15"/>
  <c r="F13" i="15"/>
  <c r="N13" i="15"/>
  <c r="V13" i="15"/>
  <c r="AD13" i="15"/>
  <c r="M13" i="15"/>
  <c r="O13" i="15"/>
  <c r="Q13" i="15"/>
  <c r="W13" i="15"/>
  <c r="E13" i="15"/>
  <c r="Y13" i="15"/>
  <c r="G13" i="15"/>
  <c r="AC13" i="15"/>
  <c r="L33" i="15"/>
  <c r="T33" i="15"/>
  <c r="AB33" i="15"/>
  <c r="E33" i="15"/>
  <c r="M33" i="15"/>
  <c r="U33" i="15"/>
  <c r="AC33" i="15"/>
  <c r="F33" i="15"/>
  <c r="N33" i="15"/>
  <c r="V33" i="15"/>
  <c r="AD33" i="15"/>
  <c r="H33" i="15"/>
  <c r="P33" i="15"/>
  <c r="X33" i="15"/>
  <c r="I33" i="15"/>
  <c r="Q33" i="15"/>
  <c r="Y33" i="15"/>
  <c r="J33" i="15"/>
  <c r="R33" i="15"/>
  <c r="Z33" i="15"/>
  <c r="AE126" i="15"/>
  <c r="AF126" i="15" s="1"/>
  <c r="Y122" i="15"/>
  <c r="Q122" i="15"/>
  <c r="AB121" i="15"/>
  <c r="T121" i="15"/>
  <c r="Z119" i="15"/>
  <c r="R119" i="15"/>
  <c r="AC118" i="15"/>
  <c r="U118" i="15"/>
  <c r="M118" i="15"/>
  <c r="AE110" i="15"/>
  <c r="AF110" i="15" s="1"/>
  <c r="Z103" i="15"/>
  <c r="R103" i="15"/>
  <c r="AE102" i="15"/>
  <c r="AF102" i="15" s="1"/>
  <c r="AD99" i="15"/>
  <c r="V99" i="15"/>
  <c r="N99" i="15"/>
  <c r="AD98" i="15"/>
  <c r="T98" i="15"/>
  <c r="I98" i="15"/>
  <c r="V95" i="15"/>
  <c r="J95" i="15"/>
  <c r="S92" i="15"/>
  <c r="F92" i="15"/>
  <c r="U86" i="15"/>
  <c r="AE82" i="15"/>
  <c r="AF82" i="15" s="1"/>
  <c r="AE51" i="15"/>
  <c r="AF51" i="15" s="1"/>
  <c r="AA49" i="15"/>
  <c r="AC47" i="15"/>
  <c r="X46" i="15"/>
  <c r="L42" i="15"/>
  <c r="G41" i="15"/>
  <c r="M35" i="15"/>
  <c r="S33" i="15"/>
  <c r="AE27" i="15"/>
  <c r="AF27" i="15" s="1"/>
  <c r="O21" i="15"/>
  <c r="AE18" i="15"/>
  <c r="AF18" i="15" s="1"/>
  <c r="Z14" i="15"/>
  <c r="M11" i="15"/>
  <c r="O7" i="15"/>
  <c r="AE79" i="15"/>
  <c r="AF79" i="15" s="1"/>
  <c r="AE71" i="15"/>
  <c r="AF71" i="15" s="1"/>
  <c r="AE63" i="15"/>
  <c r="AF63" i="15" s="1"/>
  <c r="AE56" i="15"/>
  <c r="AF56" i="15" s="1"/>
  <c r="AE48" i="15"/>
  <c r="AF48" i="15" s="1"/>
  <c r="AE40" i="15"/>
  <c r="AF40" i="15" s="1"/>
  <c r="AE32" i="15"/>
  <c r="AF32" i="15" s="1"/>
  <c r="AE24" i="15"/>
  <c r="AF24" i="15" s="1"/>
  <c r="AE96" i="15"/>
  <c r="AF96" i="15" s="1"/>
  <c r="AE88" i="15"/>
  <c r="AF88" i="15" s="1"/>
  <c r="AE81" i="15"/>
  <c r="AF81" i="15" s="1"/>
  <c r="AE73" i="15"/>
  <c r="AF73" i="15" s="1"/>
  <c r="AE65" i="15"/>
  <c r="AF65" i="15" s="1"/>
  <c r="AE58" i="15"/>
  <c r="AF58" i="15" s="1"/>
  <c r="AE34" i="15"/>
  <c r="AF34" i="15" s="1"/>
  <c r="AE26" i="15"/>
  <c r="AF26" i="15" s="1"/>
  <c r="AE91" i="15"/>
  <c r="AF91" i="15" s="1"/>
  <c r="AE84" i="15"/>
  <c r="AF84" i="15" s="1"/>
  <c r="AE76" i="15"/>
  <c r="AF76" i="15" s="1"/>
  <c r="AE68" i="15"/>
  <c r="AF68" i="15" s="1"/>
  <c r="AE53" i="15"/>
  <c r="AF53" i="15" s="1"/>
  <c r="AE45" i="15"/>
  <c r="AF45" i="15" s="1"/>
  <c r="AE37" i="15"/>
  <c r="AF37" i="15" s="1"/>
  <c r="AE29" i="15"/>
  <c r="AF29" i="15" s="1"/>
  <c r="AE83" i="15"/>
  <c r="AF83" i="15" s="1"/>
  <c r="AE75" i="15"/>
  <c r="AF75" i="15" s="1"/>
  <c r="AE67" i="15"/>
  <c r="AF67" i="15" s="1"/>
  <c r="AE52" i="15"/>
  <c r="AF52" i="15" s="1"/>
  <c r="AE44" i="15"/>
  <c r="AF44" i="15" s="1"/>
  <c r="AE36" i="15"/>
  <c r="AF36" i="15" s="1"/>
  <c r="AE28" i="15"/>
  <c r="AF28" i="15" s="1"/>
  <c r="AE20" i="15"/>
  <c r="AF20" i="15" s="1"/>
  <c r="AE85" i="15"/>
  <c r="AF85" i="15" s="1"/>
  <c r="AE77" i="15"/>
  <c r="AF77" i="15" s="1"/>
  <c r="AE69" i="15"/>
  <c r="AF69" i="15" s="1"/>
  <c r="AE61" i="15"/>
  <c r="AF61" i="15" s="1"/>
  <c r="AE54" i="15"/>
  <c r="AF54" i="15" s="1"/>
  <c r="AE38" i="15"/>
  <c r="AF38" i="15" s="1"/>
  <c r="AE30" i="15"/>
  <c r="AF30" i="15" s="1"/>
  <c r="AE22" i="15"/>
  <c r="AE72" i="15"/>
  <c r="AF72" i="15" s="1"/>
  <c r="AE64" i="15"/>
  <c r="AF64" i="15" s="1"/>
  <c r="AE57" i="15"/>
  <c r="AF57" i="15" s="1"/>
  <c r="AE25" i="15"/>
  <c r="AF25" i="15" s="1"/>
  <c r="AE8" i="15"/>
  <c r="AE15" i="15"/>
  <c r="AF15" i="15" s="1"/>
  <c r="AE12" i="15"/>
  <c r="AF12" i="15" s="1"/>
  <c r="AE17" i="15"/>
  <c r="AF17" i="15" s="1"/>
  <c r="AE9" i="15"/>
  <c r="AF9" i="15" s="1"/>
  <c r="D129" i="15"/>
  <c r="AE4" i="15"/>
  <c r="AH156" i="14"/>
  <c r="AG87" i="15" l="1"/>
  <c r="AG60" i="15"/>
  <c r="AH60" i="15"/>
  <c r="AH87" i="15"/>
  <c r="AH22" i="15"/>
  <c r="AE105" i="15"/>
  <c r="AF105" i="15" s="1"/>
  <c r="AH63" i="15"/>
  <c r="AH27" i="15"/>
  <c r="AH51" i="15"/>
  <c r="AF22" i="15"/>
  <c r="AH8" i="15"/>
  <c r="AH23" i="15"/>
  <c r="AH15" i="15"/>
  <c r="AH124" i="15"/>
  <c r="AH34" i="15"/>
  <c r="AF8" i="15"/>
  <c r="AH61" i="15"/>
  <c r="AH36" i="15"/>
  <c r="AH32" i="15"/>
  <c r="AH100" i="15"/>
  <c r="AH123" i="15"/>
  <c r="AH68" i="15"/>
  <c r="AH102" i="15"/>
  <c r="AH90" i="15"/>
  <c r="AH43" i="15"/>
  <c r="AH80" i="15"/>
  <c r="AH81" i="15"/>
  <c r="AH54" i="15"/>
  <c r="AH70" i="15"/>
  <c r="AH88" i="15"/>
  <c r="AH89" i="15"/>
  <c r="AH127" i="15"/>
  <c r="AH82" i="15"/>
  <c r="AH120" i="15"/>
  <c r="AH117" i="15"/>
  <c r="AH74" i="15"/>
  <c r="AH9" i="15"/>
  <c r="AH75" i="15"/>
  <c r="AH125" i="15"/>
  <c r="AH26" i="15"/>
  <c r="AH77" i="15"/>
  <c r="AH29" i="15"/>
  <c r="AH25" i="15"/>
  <c r="AH39" i="15"/>
  <c r="AH91" i="15"/>
  <c r="AH40" i="15"/>
  <c r="AH45" i="15"/>
  <c r="AH107" i="15"/>
  <c r="AH65" i="15"/>
  <c r="AH112" i="15"/>
  <c r="AH110" i="15"/>
  <c r="AH64" i="15"/>
  <c r="AH44" i="15"/>
  <c r="AH101" i="15"/>
  <c r="AH126" i="15"/>
  <c r="AH73" i="15"/>
  <c r="AH104" i="15"/>
  <c r="AH24" i="15"/>
  <c r="AH56" i="15"/>
  <c r="AF43" i="15"/>
  <c r="AH111" i="15"/>
  <c r="AH38" i="15"/>
  <c r="AH116" i="15"/>
  <c r="AH28" i="15"/>
  <c r="AH67" i="15"/>
  <c r="AH84" i="15"/>
  <c r="AE92" i="15"/>
  <c r="AE99" i="15"/>
  <c r="AF99" i="15" s="1"/>
  <c r="AG11" i="15"/>
  <c r="AG98" i="15"/>
  <c r="AH113" i="15"/>
  <c r="AH18" i="15"/>
  <c r="AH97" i="15"/>
  <c r="AH57" i="15"/>
  <c r="AH85" i="15"/>
  <c r="AH55" i="15"/>
  <c r="AH93" i="15"/>
  <c r="AH53" i="15"/>
  <c r="AG92" i="15"/>
  <c r="AE122" i="15"/>
  <c r="AF122" i="15" s="1"/>
  <c r="AE86" i="15"/>
  <c r="AF86" i="15" s="1"/>
  <c r="AG99" i="15"/>
  <c r="L129" i="15"/>
  <c r="AE118" i="15"/>
  <c r="AH118" i="15" s="1"/>
  <c r="AG42" i="15"/>
  <c r="AH106" i="15"/>
  <c r="AH94" i="15"/>
  <c r="AH52" i="15"/>
  <c r="AH37" i="15"/>
  <c r="AH58" i="15"/>
  <c r="AH71" i="15"/>
  <c r="AH66" i="15"/>
  <c r="AH72" i="15"/>
  <c r="AH69" i="15"/>
  <c r="AH12" i="15"/>
  <c r="AH83" i="15"/>
  <c r="AH115" i="15"/>
  <c r="AH10" i="15"/>
  <c r="AH96" i="15"/>
  <c r="AH128" i="15"/>
  <c r="AH48" i="15"/>
  <c r="AH79" i="15"/>
  <c r="AH17" i="15"/>
  <c r="AH30" i="15"/>
  <c r="AH108" i="15"/>
  <c r="AH20" i="15"/>
  <c r="AH78" i="15"/>
  <c r="AH109" i="15"/>
  <c r="AH76" i="15"/>
  <c r="AE11" i="15"/>
  <c r="AG8" i="15"/>
  <c r="AG9" i="15"/>
  <c r="AG12" i="15"/>
  <c r="AG10" i="15"/>
  <c r="AG18" i="15"/>
  <c r="AG24" i="15"/>
  <c r="AG32" i="15"/>
  <c r="AG40" i="15"/>
  <c r="AG48" i="15"/>
  <c r="AG56" i="15"/>
  <c r="AG63" i="15"/>
  <c r="AG71" i="15"/>
  <c r="AG79" i="15"/>
  <c r="AG94" i="15"/>
  <c r="AG17" i="15"/>
  <c r="AG27" i="15"/>
  <c r="AG43" i="15"/>
  <c r="AG51" i="15"/>
  <c r="AG59" i="15"/>
  <c r="AG66" i="15"/>
  <c r="AG74" i="15"/>
  <c r="AG82" i="15"/>
  <c r="AG89" i="15"/>
  <c r="AG22" i="15"/>
  <c r="AG30" i="15"/>
  <c r="AG38" i="15"/>
  <c r="AG54" i="15"/>
  <c r="AG61" i="15"/>
  <c r="AG69" i="15"/>
  <c r="AG77" i="15"/>
  <c r="AG85" i="15"/>
  <c r="AG15" i="15"/>
  <c r="AG20" i="15"/>
  <c r="AG28" i="15"/>
  <c r="AG36" i="15"/>
  <c r="AG44" i="15"/>
  <c r="AG52" i="15"/>
  <c r="AG67" i="15"/>
  <c r="AG75" i="15"/>
  <c r="AG83" i="15"/>
  <c r="AG90" i="15"/>
  <c r="AG23" i="15"/>
  <c r="AG31" i="15"/>
  <c r="AG39" i="15"/>
  <c r="AG55" i="15"/>
  <c r="AG62" i="15"/>
  <c r="AG70" i="15"/>
  <c r="AG78" i="15"/>
  <c r="AG93" i="15"/>
  <c r="AG26" i="15"/>
  <c r="AG34" i="15"/>
  <c r="AG58" i="15"/>
  <c r="AG65" i="15"/>
  <c r="AG73" i="15"/>
  <c r="AG81" i="15"/>
  <c r="AG88" i="15"/>
  <c r="AG104" i="15"/>
  <c r="AG112" i="15"/>
  <c r="AG120" i="15"/>
  <c r="AG128" i="15"/>
  <c r="AG115" i="15"/>
  <c r="AG76" i="15"/>
  <c r="AG97" i="15"/>
  <c r="AG100" i="15"/>
  <c r="AG116" i="15"/>
  <c r="AG91" i="15"/>
  <c r="AG125" i="15"/>
  <c r="AG37" i="15"/>
  <c r="AG64" i="15"/>
  <c r="AG96" i="15"/>
  <c r="AG107" i="15"/>
  <c r="AG123" i="15"/>
  <c r="AG108" i="15"/>
  <c r="AG124" i="15"/>
  <c r="AG57" i="15"/>
  <c r="AG68" i="15"/>
  <c r="AG102" i="15"/>
  <c r="AG110" i="15"/>
  <c r="AG126" i="15"/>
  <c r="AG21" i="15"/>
  <c r="AG101" i="15"/>
  <c r="AG109" i="15"/>
  <c r="AG117" i="15"/>
  <c r="AG45" i="15"/>
  <c r="AG72" i="15"/>
  <c r="AG105" i="15"/>
  <c r="AG113" i="15"/>
  <c r="AG122" i="15"/>
  <c r="AG25" i="15"/>
  <c r="AG80" i="15"/>
  <c r="AG111" i="15"/>
  <c r="AG127" i="15"/>
  <c r="AG13" i="15"/>
  <c r="AG29" i="15"/>
  <c r="AG53" i="15"/>
  <c r="AG84" i="15"/>
  <c r="AG95" i="15"/>
  <c r="AG106" i="15"/>
  <c r="AG114" i="15"/>
  <c r="AH59" i="15"/>
  <c r="AH114" i="15"/>
  <c r="AH31" i="15"/>
  <c r="AH62" i="15"/>
  <c r="AG7" i="15"/>
  <c r="AG6" i="15"/>
  <c r="AG86" i="15"/>
  <c r="AG118" i="15"/>
  <c r="AG35" i="15"/>
  <c r="AE14" i="15"/>
  <c r="AG121" i="15"/>
  <c r="AE41" i="15"/>
  <c r="AE98" i="15"/>
  <c r="AE21" i="15"/>
  <c r="AE6" i="15"/>
  <c r="AE16" i="15"/>
  <c r="AE103" i="15"/>
  <c r="AE119" i="15"/>
  <c r="AG103" i="15"/>
  <c r="AE35" i="15"/>
  <c r="AE13" i="15"/>
  <c r="AE46" i="15"/>
  <c r="AE19" i="15"/>
  <c r="AG14" i="15"/>
  <c r="AG41" i="15"/>
  <c r="AE33" i="15"/>
  <c r="AG46" i="15"/>
  <c r="AE121" i="15"/>
  <c r="AG16" i="15"/>
  <c r="AE47" i="15"/>
  <c r="AE50" i="15"/>
  <c r="AE5" i="15"/>
  <c r="AG47" i="15"/>
  <c r="AE49" i="15"/>
  <c r="AG19" i="15"/>
  <c r="AG50" i="15"/>
  <c r="AG119" i="15"/>
  <c r="AE95" i="15"/>
  <c r="AE7" i="15"/>
  <c r="AE42" i="15"/>
  <c r="AG33" i="15"/>
  <c r="AG5" i="15"/>
  <c r="AG49" i="15"/>
  <c r="M129" i="15"/>
  <c r="E129" i="15"/>
  <c r="AG129" i="15"/>
  <c r="Q129" i="15"/>
  <c r="AB129" i="15"/>
  <c r="X129" i="15"/>
  <c r="Y129" i="15"/>
  <c r="S129" i="15"/>
  <c r="T129" i="15"/>
  <c r="I129" i="15"/>
  <c r="F129" i="15"/>
  <c r="AC129" i="15"/>
  <c r="G129" i="15"/>
  <c r="P129" i="15"/>
  <c r="U129" i="15"/>
  <c r="AH132" i="15"/>
  <c r="AH133" i="15"/>
  <c r="AH131" i="15"/>
  <c r="AH134" i="15"/>
  <c r="AH130" i="15"/>
  <c r="W129" i="15"/>
  <c r="AA129" i="15"/>
  <c r="H129" i="15"/>
  <c r="K129" i="15"/>
  <c r="O129" i="15"/>
  <c r="AD129" i="15"/>
  <c r="V129" i="15"/>
  <c r="N129" i="15"/>
  <c r="J129" i="15"/>
  <c r="Z129" i="15"/>
  <c r="R129" i="15"/>
  <c r="AG4" i="15"/>
  <c r="AH4" i="15"/>
  <c r="AF4" i="15"/>
  <c r="AO383" i="14"/>
  <c r="AP382" i="14"/>
  <c r="AO382" i="14"/>
  <c r="AO381" i="14"/>
  <c r="AP380" i="14"/>
  <c r="AO380" i="14"/>
  <c r="X379" i="14"/>
  <c r="W379" i="14"/>
  <c r="D379" i="14"/>
  <c r="AP383" i="14" s="1"/>
  <c r="AL378" i="14"/>
  <c r="AK378" i="14"/>
  <c r="AJ378" i="14"/>
  <c r="AI378" i="14"/>
  <c r="AH378" i="14"/>
  <c r="AG378" i="14"/>
  <c r="AF378" i="14"/>
  <c r="AE378" i="14"/>
  <c r="AD378" i="14"/>
  <c r="AC378" i="14"/>
  <c r="AB378" i="14"/>
  <c r="AA378" i="14"/>
  <c r="Z378" i="14"/>
  <c r="Y378" i="14"/>
  <c r="X378" i="14"/>
  <c r="W378" i="14"/>
  <c r="V378" i="14"/>
  <c r="U378" i="14"/>
  <c r="T378" i="14"/>
  <c r="S378" i="14"/>
  <c r="R378" i="14"/>
  <c r="Q378" i="14"/>
  <c r="P378" i="14"/>
  <c r="O378" i="14"/>
  <c r="N378" i="14"/>
  <c r="M378" i="14"/>
  <c r="L378" i="14"/>
  <c r="K378" i="14"/>
  <c r="J378" i="14"/>
  <c r="I378" i="14"/>
  <c r="H378" i="14"/>
  <c r="G378" i="14"/>
  <c r="F378" i="14"/>
  <c r="AM378" i="14" s="1"/>
  <c r="E378" i="14"/>
  <c r="AL377" i="14"/>
  <c r="AK377" i="14"/>
  <c r="AJ377" i="14"/>
  <c r="AI377" i="14"/>
  <c r="AH377" i="14"/>
  <c r="AG377" i="14"/>
  <c r="AF377" i="14"/>
  <c r="AE377" i="14"/>
  <c r="AD377" i="14"/>
  <c r="AC377" i="14"/>
  <c r="AB377" i="14"/>
  <c r="AA377" i="14"/>
  <c r="Z377" i="14"/>
  <c r="Y377" i="14"/>
  <c r="X377" i="14"/>
  <c r="W377" i="14"/>
  <c r="V377" i="14"/>
  <c r="U377" i="14"/>
  <c r="T377" i="14"/>
  <c r="S377" i="14"/>
  <c r="R377" i="14"/>
  <c r="Q377" i="14"/>
  <c r="P377" i="14"/>
  <c r="O377" i="14"/>
  <c r="N377" i="14"/>
  <c r="M377" i="14"/>
  <c r="L377" i="14"/>
  <c r="K377" i="14"/>
  <c r="J377" i="14"/>
  <c r="I377" i="14"/>
  <c r="H377" i="14"/>
  <c r="G377" i="14"/>
  <c r="F377" i="14"/>
  <c r="E377" i="14"/>
  <c r="AM377" i="14" s="1"/>
  <c r="AL376" i="14"/>
  <c r="AK376" i="14"/>
  <c r="AJ376" i="14"/>
  <c r="AI376" i="14"/>
  <c r="AH376" i="14"/>
  <c r="AG376" i="14"/>
  <c r="AF376" i="14"/>
  <c r="AE376" i="14"/>
  <c r="AD376" i="14"/>
  <c r="AC376" i="14"/>
  <c r="AB376" i="14"/>
  <c r="AA376" i="14"/>
  <c r="Z376" i="14"/>
  <c r="Y376" i="14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K376" i="14"/>
  <c r="J376" i="14"/>
  <c r="I376" i="14"/>
  <c r="H376" i="14"/>
  <c r="G376" i="14"/>
  <c r="F376" i="14"/>
  <c r="E376" i="14"/>
  <c r="AL375" i="14"/>
  <c r="AK375" i="14"/>
  <c r="AJ375" i="14"/>
  <c r="AI375" i="14"/>
  <c r="AH375" i="14"/>
  <c r="AG375" i="14"/>
  <c r="AF375" i="14"/>
  <c r="AE375" i="14"/>
  <c r="AD375" i="14"/>
  <c r="AC375" i="14"/>
  <c r="AB375" i="14"/>
  <c r="AA375" i="14"/>
  <c r="Z375" i="14"/>
  <c r="Y375" i="14"/>
  <c r="X375" i="14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K375" i="14"/>
  <c r="J375" i="14"/>
  <c r="I375" i="14"/>
  <c r="H375" i="14"/>
  <c r="G375" i="14"/>
  <c r="F375" i="14"/>
  <c r="AM375" i="14" s="1"/>
  <c r="E375" i="14"/>
  <c r="AL374" i="14"/>
  <c r="AK374" i="14"/>
  <c r="AJ374" i="14"/>
  <c r="AI374" i="14"/>
  <c r="AH374" i="14"/>
  <c r="AG374" i="14"/>
  <c r="AF374" i="14"/>
  <c r="AE374" i="14"/>
  <c r="AD374" i="14"/>
  <c r="AC374" i="14"/>
  <c r="AB374" i="14"/>
  <c r="AA374" i="14"/>
  <c r="Z374" i="14"/>
  <c r="Y374" i="14"/>
  <c r="X374" i="14"/>
  <c r="W374" i="14"/>
  <c r="V374" i="14"/>
  <c r="U374" i="14"/>
  <c r="T374" i="14"/>
  <c r="S374" i="14"/>
  <c r="R374" i="14"/>
  <c r="Q374" i="14"/>
  <c r="P374" i="14"/>
  <c r="O374" i="14"/>
  <c r="N374" i="14"/>
  <c r="M374" i="14"/>
  <c r="L374" i="14"/>
  <c r="K374" i="14"/>
  <c r="J374" i="14"/>
  <c r="I374" i="14"/>
  <c r="H374" i="14"/>
  <c r="G374" i="14"/>
  <c r="AM374" i="14" s="1"/>
  <c r="F374" i="14"/>
  <c r="E374" i="14"/>
  <c r="AL373" i="14"/>
  <c r="AK373" i="14"/>
  <c r="AJ373" i="14"/>
  <c r="AI373" i="14"/>
  <c r="AH373" i="14"/>
  <c r="AG373" i="14"/>
  <c r="AF373" i="14"/>
  <c r="AE373" i="14"/>
  <c r="AD373" i="14"/>
  <c r="AC373" i="14"/>
  <c r="AB373" i="14"/>
  <c r="AA373" i="14"/>
  <c r="Z373" i="14"/>
  <c r="Y373" i="14"/>
  <c r="X373" i="14"/>
  <c r="W373" i="14"/>
  <c r="V373" i="14"/>
  <c r="U373" i="14"/>
  <c r="T373" i="14"/>
  <c r="S373" i="14"/>
  <c r="R373" i="14"/>
  <c r="Q373" i="14"/>
  <c r="P373" i="14"/>
  <c r="O373" i="14"/>
  <c r="N373" i="14"/>
  <c r="M373" i="14"/>
  <c r="L373" i="14"/>
  <c r="K373" i="14"/>
  <c r="J373" i="14"/>
  <c r="I373" i="14"/>
  <c r="H373" i="14"/>
  <c r="G373" i="14"/>
  <c r="F373" i="14"/>
  <c r="E373" i="14"/>
  <c r="AP372" i="14"/>
  <c r="AL372" i="14"/>
  <c r="AK372" i="14"/>
  <c r="AJ372" i="14"/>
  <c r="AI372" i="14"/>
  <c r="AH372" i="14"/>
  <c r="AG372" i="14"/>
  <c r="AF372" i="14"/>
  <c r="AE372" i="14"/>
  <c r="AD372" i="14"/>
  <c r="AC372" i="14"/>
  <c r="AB372" i="14"/>
  <c r="AA372" i="14"/>
  <c r="Z372" i="14"/>
  <c r="Y372" i="14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K372" i="14"/>
  <c r="J372" i="14"/>
  <c r="I372" i="14"/>
  <c r="H372" i="14"/>
  <c r="G372" i="14"/>
  <c r="F372" i="14"/>
  <c r="E372" i="14"/>
  <c r="AM372" i="14" s="1"/>
  <c r="AL371" i="14"/>
  <c r="AK371" i="14"/>
  <c r="AJ371" i="14"/>
  <c r="AI371" i="14"/>
  <c r="AH371" i="14"/>
  <c r="AG371" i="14"/>
  <c r="AF371" i="14"/>
  <c r="AE371" i="14"/>
  <c r="AD371" i="14"/>
  <c r="AC371" i="14"/>
  <c r="AB371" i="14"/>
  <c r="AA371" i="14"/>
  <c r="Z371" i="14"/>
  <c r="Y371" i="14"/>
  <c r="X371" i="14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K371" i="14"/>
  <c r="J371" i="14"/>
  <c r="I371" i="14"/>
  <c r="H371" i="14"/>
  <c r="G371" i="14"/>
  <c r="F371" i="14"/>
  <c r="E371" i="14"/>
  <c r="AL370" i="14"/>
  <c r="AK370" i="14"/>
  <c r="AJ370" i="14"/>
  <c r="AI370" i="14"/>
  <c r="AH370" i="14"/>
  <c r="AG370" i="14"/>
  <c r="AF370" i="14"/>
  <c r="AE370" i="14"/>
  <c r="AD370" i="14"/>
  <c r="AC370" i="14"/>
  <c r="AB370" i="14"/>
  <c r="AA370" i="14"/>
  <c r="Z370" i="14"/>
  <c r="Y370" i="14"/>
  <c r="X370" i="14"/>
  <c r="W370" i="14"/>
  <c r="V370" i="14"/>
  <c r="U370" i="14"/>
  <c r="T370" i="14"/>
  <c r="S370" i="14"/>
  <c r="R370" i="14"/>
  <c r="Q370" i="14"/>
  <c r="P370" i="14"/>
  <c r="O370" i="14"/>
  <c r="N370" i="14"/>
  <c r="M370" i="14"/>
  <c r="L370" i="14"/>
  <c r="K370" i="14"/>
  <c r="J370" i="14"/>
  <c r="I370" i="14"/>
  <c r="H370" i="14"/>
  <c r="G370" i="14"/>
  <c r="F370" i="14"/>
  <c r="AM370" i="14" s="1"/>
  <c r="E370" i="14"/>
  <c r="AL369" i="14"/>
  <c r="AK369" i="14"/>
  <c r="AJ369" i="14"/>
  <c r="AI369" i="14"/>
  <c r="AH369" i="14"/>
  <c r="AG369" i="14"/>
  <c r="AF369" i="14"/>
  <c r="AE369" i="14"/>
  <c r="AD369" i="14"/>
  <c r="AC369" i="14"/>
  <c r="AB369" i="14"/>
  <c r="AA369" i="14"/>
  <c r="Z369" i="14"/>
  <c r="Y369" i="14"/>
  <c r="X369" i="14"/>
  <c r="W369" i="14"/>
  <c r="V369" i="14"/>
  <c r="U369" i="14"/>
  <c r="T369" i="14"/>
  <c r="S369" i="14"/>
  <c r="R369" i="14"/>
  <c r="Q369" i="14"/>
  <c r="P369" i="14"/>
  <c r="O369" i="14"/>
  <c r="N369" i="14"/>
  <c r="M369" i="14"/>
  <c r="L369" i="14"/>
  <c r="K369" i="14"/>
  <c r="J369" i="14"/>
  <c r="I369" i="14"/>
  <c r="H369" i="14"/>
  <c r="G369" i="14"/>
  <c r="F369" i="14"/>
  <c r="E369" i="14"/>
  <c r="AM369" i="14" s="1"/>
  <c r="AL368" i="14"/>
  <c r="AK368" i="14"/>
  <c r="AJ368" i="14"/>
  <c r="AI368" i="14"/>
  <c r="AH368" i="14"/>
  <c r="AG368" i="14"/>
  <c r="AF368" i="14"/>
  <c r="AE368" i="14"/>
  <c r="AD368" i="14"/>
  <c r="AC368" i="14"/>
  <c r="AB368" i="14"/>
  <c r="AA368" i="14"/>
  <c r="Z368" i="14"/>
  <c r="Y368" i="14"/>
  <c r="X368" i="14"/>
  <c r="W368" i="14"/>
  <c r="V368" i="14"/>
  <c r="U368" i="14"/>
  <c r="T368" i="14"/>
  <c r="S368" i="14"/>
  <c r="R368" i="14"/>
  <c r="Q368" i="14"/>
  <c r="P368" i="14"/>
  <c r="O368" i="14"/>
  <c r="N368" i="14"/>
  <c r="M368" i="14"/>
  <c r="L368" i="14"/>
  <c r="K368" i="14"/>
  <c r="J368" i="14"/>
  <c r="I368" i="14"/>
  <c r="H368" i="14"/>
  <c r="G368" i="14"/>
  <c r="F368" i="14"/>
  <c r="E368" i="14"/>
  <c r="AN367" i="14"/>
  <c r="AL367" i="14"/>
  <c r="AK367" i="14"/>
  <c r="AJ367" i="14"/>
  <c r="AI367" i="14"/>
  <c r="AH367" i="14"/>
  <c r="AG367" i="14"/>
  <c r="AF367" i="14"/>
  <c r="AE367" i="14"/>
  <c r="AD367" i="14"/>
  <c r="AC367" i="14"/>
  <c r="AB367" i="14"/>
  <c r="AA367" i="14"/>
  <c r="Z367" i="14"/>
  <c r="Y367" i="14"/>
  <c r="X367" i="14"/>
  <c r="W367" i="14"/>
  <c r="V367" i="14"/>
  <c r="U367" i="14"/>
  <c r="T367" i="14"/>
  <c r="S367" i="14"/>
  <c r="R367" i="14"/>
  <c r="Q367" i="14"/>
  <c r="P367" i="14"/>
  <c r="O367" i="14"/>
  <c r="N367" i="14"/>
  <c r="M367" i="14"/>
  <c r="L367" i="14"/>
  <c r="K367" i="14"/>
  <c r="J367" i="14"/>
  <c r="I367" i="14"/>
  <c r="H367" i="14"/>
  <c r="G367" i="14"/>
  <c r="F367" i="14"/>
  <c r="AM367" i="14" s="1"/>
  <c r="E367" i="14"/>
  <c r="AL366" i="14"/>
  <c r="AK366" i="14"/>
  <c r="AJ366" i="14"/>
  <c r="AI366" i="14"/>
  <c r="AH366" i="14"/>
  <c r="AG366" i="14"/>
  <c r="AF366" i="14"/>
  <c r="AE366" i="14"/>
  <c r="AD366" i="14"/>
  <c r="AC366" i="14"/>
  <c r="AB366" i="14"/>
  <c r="AA366" i="14"/>
  <c r="Z366" i="14"/>
  <c r="Y366" i="14"/>
  <c r="X366" i="14"/>
  <c r="W366" i="14"/>
  <c r="V366" i="14"/>
  <c r="U366" i="14"/>
  <c r="T366" i="14"/>
  <c r="S366" i="14"/>
  <c r="R366" i="14"/>
  <c r="Q366" i="14"/>
  <c r="P366" i="14"/>
  <c r="O366" i="14"/>
  <c r="N366" i="14"/>
  <c r="M366" i="14"/>
  <c r="L366" i="14"/>
  <c r="K366" i="14"/>
  <c r="J366" i="14"/>
  <c r="I366" i="14"/>
  <c r="H366" i="14"/>
  <c r="G366" i="14"/>
  <c r="AM366" i="14" s="1"/>
  <c r="F366" i="14"/>
  <c r="E366" i="14"/>
  <c r="AL365" i="14"/>
  <c r="AK365" i="14"/>
  <c r="AJ365" i="14"/>
  <c r="AI365" i="14"/>
  <c r="AH365" i="14"/>
  <c r="AG365" i="14"/>
  <c r="AF365" i="14"/>
  <c r="AE365" i="14"/>
  <c r="AD365" i="14"/>
  <c r="AC365" i="14"/>
  <c r="AB365" i="14"/>
  <c r="AA365" i="14"/>
  <c r="Z365" i="14"/>
  <c r="Y365" i="14"/>
  <c r="X365" i="14"/>
  <c r="W365" i="14"/>
  <c r="V365" i="14"/>
  <c r="U365" i="14"/>
  <c r="T365" i="14"/>
  <c r="S365" i="14"/>
  <c r="R365" i="14"/>
  <c r="Q365" i="14"/>
  <c r="P365" i="14"/>
  <c r="O365" i="14"/>
  <c r="N365" i="14"/>
  <c r="M365" i="14"/>
  <c r="L365" i="14"/>
  <c r="K365" i="14"/>
  <c r="J365" i="14"/>
  <c r="I365" i="14"/>
  <c r="H365" i="14"/>
  <c r="G365" i="14"/>
  <c r="F365" i="14"/>
  <c r="E365" i="14"/>
  <c r="AL364" i="14"/>
  <c r="AK364" i="14"/>
  <c r="AJ364" i="14"/>
  <c r="AI364" i="14"/>
  <c r="AH364" i="14"/>
  <c r="AG364" i="14"/>
  <c r="AF364" i="14"/>
  <c r="AE364" i="14"/>
  <c r="AD364" i="14"/>
  <c r="AC364" i="14"/>
  <c r="AB364" i="14"/>
  <c r="AA364" i="14"/>
  <c r="Z364" i="14"/>
  <c r="Y364" i="14"/>
  <c r="X364" i="14"/>
  <c r="W364" i="14"/>
  <c r="V364" i="14"/>
  <c r="U364" i="14"/>
  <c r="T364" i="14"/>
  <c r="S364" i="14"/>
  <c r="R364" i="14"/>
  <c r="Q364" i="14"/>
  <c r="P364" i="14"/>
  <c r="O364" i="14"/>
  <c r="N364" i="14"/>
  <c r="M364" i="14"/>
  <c r="L364" i="14"/>
  <c r="K364" i="14"/>
  <c r="J364" i="14"/>
  <c r="I364" i="14"/>
  <c r="H364" i="14"/>
  <c r="G364" i="14"/>
  <c r="F364" i="14"/>
  <c r="E364" i="14"/>
  <c r="AL363" i="14"/>
  <c r="AK363" i="14"/>
  <c r="AJ363" i="14"/>
  <c r="AI363" i="14"/>
  <c r="AH363" i="14"/>
  <c r="AG363" i="14"/>
  <c r="AF363" i="14"/>
  <c r="AE363" i="14"/>
  <c r="AD363" i="14"/>
  <c r="AC363" i="14"/>
  <c r="AB363" i="14"/>
  <c r="AA363" i="14"/>
  <c r="Z363" i="14"/>
  <c r="Y363" i="14"/>
  <c r="X363" i="14"/>
  <c r="W363" i="14"/>
  <c r="V363" i="14"/>
  <c r="U363" i="14"/>
  <c r="T363" i="14"/>
  <c r="S363" i="14"/>
  <c r="R363" i="14"/>
  <c r="Q363" i="14"/>
  <c r="P363" i="14"/>
  <c r="O363" i="14"/>
  <c r="N363" i="14"/>
  <c r="M363" i="14"/>
  <c r="L363" i="14"/>
  <c r="K363" i="14"/>
  <c r="J363" i="14"/>
  <c r="I363" i="14"/>
  <c r="H363" i="14"/>
  <c r="G363" i="14"/>
  <c r="F363" i="14"/>
  <c r="E363" i="14"/>
  <c r="AL362" i="14"/>
  <c r="AK362" i="14"/>
  <c r="AJ362" i="14"/>
  <c r="AI362" i="14"/>
  <c r="AH362" i="14"/>
  <c r="AG362" i="14"/>
  <c r="AF362" i="14"/>
  <c r="AE362" i="14"/>
  <c r="AE379" i="14" s="1"/>
  <c r="AD362" i="14"/>
  <c r="AC362" i="14"/>
  <c r="AB362" i="14"/>
  <c r="AA362" i="14"/>
  <c r="Z362" i="14"/>
  <c r="Y362" i="14"/>
  <c r="X362" i="14"/>
  <c r="W362" i="14"/>
  <c r="V362" i="14"/>
  <c r="U362" i="14"/>
  <c r="T362" i="14"/>
  <c r="S362" i="14"/>
  <c r="R362" i="14"/>
  <c r="Q362" i="14"/>
  <c r="P362" i="14"/>
  <c r="O362" i="14"/>
  <c r="O379" i="14" s="1"/>
  <c r="N362" i="14"/>
  <c r="M362" i="14"/>
  <c r="L362" i="14"/>
  <c r="K362" i="14"/>
  <c r="J362" i="14"/>
  <c r="I362" i="14"/>
  <c r="H362" i="14"/>
  <c r="G362" i="14"/>
  <c r="G379" i="14" s="1"/>
  <c r="F362" i="14"/>
  <c r="AM362" i="14" s="1"/>
  <c r="E362" i="14"/>
  <c r="AL361" i="14"/>
  <c r="AK361" i="14"/>
  <c r="AJ361" i="14"/>
  <c r="AI361" i="14"/>
  <c r="AH361" i="14"/>
  <c r="AG361" i="14"/>
  <c r="AF361" i="14"/>
  <c r="AE361" i="14"/>
  <c r="AD361" i="14"/>
  <c r="AC361" i="14"/>
  <c r="AB361" i="14"/>
  <c r="AA361" i="14"/>
  <c r="Z361" i="14"/>
  <c r="Y361" i="14"/>
  <c r="X361" i="14"/>
  <c r="W361" i="14"/>
  <c r="V361" i="14"/>
  <c r="U361" i="14"/>
  <c r="T361" i="14"/>
  <c r="S361" i="14"/>
  <c r="R361" i="14"/>
  <c r="Q361" i="14"/>
  <c r="P361" i="14"/>
  <c r="O361" i="14"/>
  <c r="N361" i="14"/>
  <c r="M361" i="14"/>
  <c r="L361" i="14"/>
  <c r="K361" i="14"/>
  <c r="J361" i="14"/>
  <c r="I361" i="14"/>
  <c r="H361" i="14"/>
  <c r="G361" i="14"/>
  <c r="F361" i="14"/>
  <c r="E361" i="14"/>
  <c r="AM361" i="14" s="1"/>
  <c r="AL360" i="14"/>
  <c r="AK360" i="14"/>
  <c r="AJ360" i="14"/>
  <c r="AI360" i="14"/>
  <c r="AH360" i="14"/>
  <c r="AG360" i="14"/>
  <c r="AF360" i="14"/>
  <c r="AE360" i="14"/>
  <c r="AD360" i="14"/>
  <c r="AC360" i="14"/>
  <c r="AB360" i="14"/>
  <c r="AA360" i="14"/>
  <c r="Z360" i="14"/>
  <c r="Y360" i="14"/>
  <c r="X360" i="14"/>
  <c r="W360" i="14"/>
  <c r="V360" i="14"/>
  <c r="U360" i="14"/>
  <c r="T360" i="14"/>
  <c r="S360" i="14"/>
  <c r="R360" i="14"/>
  <c r="Q360" i="14"/>
  <c r="P360" i="14"/>
  <c r="O360" i="14"/>
  <c r="N360" i="14"/>
  <c r="M360" i="14"/>
  <c r="L360" i="14"/>
  <c r="K360" i="14"/>
  <c r="J360" i="14"/>
  <c r="I360" i="14"/>
  <c r="H360" i="14"/>
  <c r="G360" i="14"/>
  <c r="F360" i="14"/>
  <c r="E360" i="14"/>
  <c r="AL359" i="14"/>
  <c r="AL379" i="14" s="1"/>
  <c r="AK359" i="14"/>
  <c r="AJ359" i="14"/>
  <c r="AI359" i="14"/>
  <c r="AH359" i="14"/>
  <c r="AG359" i="14"/>
  <c r="AG379" i="14" s="1"/>
  <c r="AF359" i="14"/>
  <c r="AF379" i="14" s="1"/>
  <c r="AE359" i="14"/>
  <c r="AD359" i="14"/>
  <c r="AD379" i="14" s="1"/>
  <c r="AC359" i="14"/>
  <c r="AB359" i="14"/>
  <c r="AA359" i="14"/>
  <c r="Z359" i="14"/>
  <c r="Y359" i="14"/>
  <c r="Y379" i="14" s="1"/>
  <c r="X359" i="14"/>
  <c r="W359" i="14"/>
  <c r="V359" i="14"/>
  <c r="V379" i="14" s="1"/>
  <c r="U359" i="14"/>
  <c r="T359" i="14"/>
  <c r="S359" i="14"/>
  <c r="R359" i="14"/>
  <c r="Q359" i="14"/>
  <c r="Q379" i="14" s="1"/>
  <c r="P359" i="14"/>
  <c r="P379" i="14" s="1"/>
  <c r="O359" i="14"/>
  <c r="N359" i="14"/>
  <c r="N379" i="14" s="1"/>
  <c r="M359" i="14"/>
  <c r="L359" i="14"/>
  <c r="K359" i="14"/>
  <c r="J359" i="14"/>
  <c r="I359" i="14"/>
  <c r="I379" i="14" s="1"/>
  <c r="H359" i="14"/>
  <c r="H379" i="14" s="1"/>
  <c r="G359" i="14"/>
  <c r="F359" i="14"/>
  <c r="F379" i="14" s="1"/>
  <c r="E359" i="14"/>
  <c r="AJ354" i="14"/>
  <c r="AI354" i="14"/>
  <c r="AJ353" i="14"/>
  <c r="AI353" i="14"/>
  <c r="AJ352" i="14"/>
  <c r="AI352" i="14"/>
  <c r="AJ351" i="14"/>
  <c r="AI351" i="14"/>
  <c r="D350" i="14"/>
  <c r="AF349" i="14"/>
  <c r="AE349" i="14"/>
  <c r="AD349" i="14"/>
  <c r="AC349" i="14"/>
  <c r="AB349" i="14"/>
  <c r="AA349" i="14"/>
  <c r="Z349" i="14"/>
  <c r="Y349" i="14"/>
  <c r="X349" i="14"/>
  <c r="W349" i="14"/>
  <c r="V349" i="14"/>
  <c r="U349" i="14"/>
  <c r="T349" i="14"/>
  <c r="S349" i="14"/>
  <c r="R349" i="14"/>
  <c r="Q349" i="14"/>
  <c r="P349" i="14"/>
  <c r="O349" i="14"/>
  <c r="N349" i="14"/>
  <c r="M349" i="14"/>
  <c r="L349" i="14"/>
  <c r="K349" i="14"/>
  <c r="J349" i="14"/>
  <c r="I349" i="14"/>
  <c r="AG349" i="14" s="1"/>
  <c r="H349" i="14"/>
  <c r="G349" i="14"/>
  <c r="F349" i="14"/>
  <c r="E349" i="14"/>
  <c r="AF348" i="14"/>
  <c r="AE348" i="14"/>
  <c r="AD348" i="14"/>
  <c r="AC348" i="14"/>
  <c r="AB348" i="14"/>
  <c r="AA348" i="14"/>
  <c r="Z348" i="14"/>
  <c r="Y348" i="14"/>
  <c r="X348" i="14"/>
  <c r="W348" i="14"/>
  <c r="V348" i="14"/>
  <c r="U348" i="14"/>
  <c r="T348" i="14"/>
  <c r="S348" i="14"/>
  <c r="R348" i="14"/>
  <c r="Q348" i="14"/>
  <c r="P348" i="14"/>
  <c r="O348" i="14"/>
  <c r="N348" i="14"/>
  <c r="M348" i="14"/>
  <c r="L348" i="14"/>
  <c r="K348" i="14"/>
  <c r="J348" i="14"/>
  <c r="I348" i="14"/>
  <c r="H348" i="14"/>
  <c r="AG348" i="14" s="1"/>
  <c r="G348" i="14"/>
  <c r="F348" i="14"/>
  <c r="E348" i="14"/>
  <c r="AF347" i="14"/>
  <c r="AE347" i="14"/>
  <c r="AD347" i="14"/>
  <c r="AC347" i="14"/>
  <c r="AB347" i="14"/>
  <c r="AA347" i="14"/>
  <c r="Z347" i="14"/>
  <c r="Y347" i="14"/>
  <c r="X347" i="14"/>
  <c r="W347" i="14"/>
  <c r="V347" i="14"/>
  <c r="U347" i="14"/>
  <c r="T347" i="14"/>
  <c r="S347" i="14"/>
  <c r="R347" i="14"/>
  <c r="Q347" i="14"/>
  <c r="P347" i="14"/>
  <c r="O347" i="14"/>
  <c r="N347" i="14"/>
  <c r="M347" i="14"/>
  <c r="L347" i="14"/>
  <c r="K347" i="14"/>
  <c r="J347" i="14"/>
  <c r="I347" i="14"/>
  <c r="AG347" i="14" s="1"/>
  <c r="H347" i="14"/>
  <c r="G347" i="14"/>
  <c r="F347" i="14"/>
  <c r="E347" i="14"/>
  <c r="AF346" i="14"/>
  <c r="AE346" i="14"/>
  <c r="AD346" i="14"/>
  <c r="AC346" i="14"/>
  <c r="AB346" i="14"/>
  <c r="AA346" i="14"/>
  <c r="Z346" i="14"/>
  <c r="Y346" i="14"/>
  <c r="X346" i="14"/>
  <c r="W346" i="14"/>
  <c r="V346" i="14"/>
  <c r="U346" i="14"/>
  <c r="T346" i="14"/>
  <c r="S346" i="14"/>
  <c r="R346" i="14"/>
  <c r="Q346" i="14"/>
  <c r="P346" i="14"/>
  <c r="O346" i="14"/>
  <c r="N346" i="14"/>
  <c r="M346" i="14"/>
  <c r="L346" i="14"/>
  <c r="K346" i="14"/>
  <c r="J346" i="14"/>
  <c r="I346" i="14"/>
  <c r="H346" i="14"/>
  <c r="AG346" i="14" s="1"/>
  <c r="G346" i="14"/>
  <c r="F346" i="14"/>
  <c r="E346" i="14"/>
  <c r="AF345" i="14"/>
  <c r="AE345" i="14"/>
  <c r="AD345" i="14"/>
  <c r="AC345" i="14"/>
  <c r="AB345" i="14"/>
  <c r="AA345" i="14"/>
  <c r="Z345" i="14"/>
  <c r="Y345" i="14"/>
  <c r="X345" i="14"/>
  <c r="W345" i="14"/>
  <c r="V345" i="14"/>
  <c r="U345" i="14"/>
  <c r="T345" i="14"/>
  <c r="S345" i="14"/>
  <c r="R345" i="14"/>
  <c r="Q345" i="14"/>
  <c r="P345" i="14"/>
  <c r="O345" i="14"/>
  <c r="N345" i="14"/>
  <c r="M345" i="14"/>
  <c r="L345" i="14"/>
  <c r="K345" i="14"/>
  <c r="J345" i="14"/>
  <c r="I345" i="14"/>
  <c r="H345" i="14"/>
  <c r="AG345" i="14" s="1"/>
  <c r="G345" i="14"/>
  <c r="F345" i="14"/>
  <c r="E345" i="14"/>
  <c r="AF344" i="14"/>
  <c r="AE344" i="14"/>
  <c r="AD344" i="14"/>
  <c r="AC344" i="14"/>
  <c r="AB344" i="14"/>
  <c r="AA344" i="14"/>
  <c r="Z344" i="14"/>
  <c r="Y344" i="14"/>
  <c r="X344" i="14"/>
  <c r="W344" i="14"/>
  <c r="V344" i="14"/>
  <c r="U344" i="14"/>
  <c r="T344" i="14"/>
  <c r="S344" i="14"/>
  <c r="R344" i="14"/>
  <c r="Q344" i="14"/>
  <c r="P344" i="14"/>
  <c r="O344" i="14"/>
  <c r="N344" i="14"/>
  <c r="M344" i="14"/>
  <c r="L344" i="14"/>
  <c r="K344" i="14"/>
  <c r="J344" i="14"/>
  <c r="I344" i="14"/>
  <c r="H344" i="14"/>
  <c r="AG344" i="14" s="1"/>
  <c r="G344" i="14"/>
  <c r="F344" i="14"/>
  <c r="E344" i="14"/>
  <c r="AF343" i="14"/>
  <c r="AE343" i="14"/>
  <c r="AD343" i="14"/>
  <c r="AC343" i="14"/>
  <c r="AB343" i="14"/>
  <c r="AA343" i="14"/>
  <c r="Z343" i="14"/>
  <c r="Y343" i="14"/>
  <c r="X343" i="14"/>
  <c r="W343" i="14"/>
  <c r="V343" i="14"/>
  <c r="U343" i="14"/>
  <c r="T343" i="14"/>
  <c r="S343" i="14"/>
  <c r="R343" i="14"/>
  <c r="Q343" i="14"/>
  <c r="P343" i="14"/>
  <c r="O343" i="14"/>
  <c r="N343" i="14"/>
  <c r="M343" i="14"/>
  <c r="L343" i="14"/>
  <c r="K343" i="14"/>
  <c r="J343" i="14"/>
  <c r="I343" i="14"/>
  <c r="H343" i="14"/>
  <c r="AG343" i="14" s="1"/>
  <c r="G343" i="14"/>
  <c r="F343" i="14"/>
  <c r="E343" i="14"/>
  <c r="AF342" i="14"/>
  <c r="AE342" i="14"/>
  <c r="AD342" i="14"/>
  <c r="AC342" i="14"/>
  <c r="AB342" i="14"/>
  <c r="AA342" i="14"/>
  <c r="Z342" i="14"/>
  <c r="Y342" i="14"/>
  <c r="X342" i="14"/>
  <c r="W342" i="14"/>
  <c r="V342" i="14"/>
  <c r="U342" i="14"/>
  <c r="T342" i="14"/>
  <c r="S342" i="14"/>
  <c r="R342" i="14"/>
  <c r="Q342" i="14"/>
  <c r="P342" i="14"/>
  <c r="O342" i="14"/>
  <c r="N342" i="14"/>
  <c r="M342" i="14"/>
  <c r="L342" i="14"/>
  <c r="K342" i="14"/>
  <c r="J342" i="14"/>
  <c r="I342" i="14"/>
  <c r="H342" i="14"/>
  <c r="AG342" i="14" s="1"/>
  <c r="G342" i="14"/>
  <c r="F342" i="14"/>
  <c r="E342" i="14"/>
  <c r="AF341" i="14"/>
  <c r="AE341" i="14"/>
  <c r="AD341" i="14"/>
  <c r="AC341" i="14"/>
  <c r="AB341" i="14"/>
  <c r="AA341" i="14"/>
  <c r="Z341" i="14"/>
  <c r="Y341" i="14"/>
  <c r="X341" i="14"/>
  <c r="W341" i="14"/>
  <c r="V341" i="14"/>
  <c r="U341" i="14"/>
  <c r="T341" i="14"/>
  <c r="S341" i="14"/>
  <c r="R341" i="14"/>
  <c r="Q341" i="14"/>
  <c r="P341" i="14"/>
  <c r="O341" i="14"/>
  <c r="N341" i="14"/>
  <c r="M341" i="14"/>
  <c r="L341" i="14"/>
  <c r="K341" i="14"/>
  <c r="J341" i="14"/>
  <c r="I341" i="14"/>
  <c r="AG341" i="14" s="1"/>
  <c r="H341" i="14"/>
  <c r="G341" i="14"/>
  <c r="F341" i="14"/>
  <c r="E341" i="14"/>
  <c r="AF340" i="14"/>
  <c r="AE340" i="14"/>
  <c r="AD340" i="14"/>
  <c r="AC340" i="14"/>
  <c r="AB340" i="14"/>
  <c r="AA340" i="14"/>
  <c r="Z340" i="14"/>
  <c r="Y340" i="14"/>
  <c r="X340" i="14"/>
  <c r="W340" i="14"/>
  <c r="V340" i="14"/>
  <c r="U340" i="14"/>
  <c r="T340" i="14"/>
  <c r="S340" i="14"/>
  <c r="R340" i="14"/>
  <c r="Q340" i="14"/>
  <c r="P340" i="14"/>
  <c r="O340" i="14"/>
  <c r="N340" i="14"/>
  <c r="M340" i="14"/>
  <c r="L340" i="14"/>
  <c r="K340" i="14"/>
  <c r="J340" i="14"/>
  <c r="I340" i="14"/>
  <c r="H340" i="14"/>
  <c r="AG340" i="14" s="1"/>
  <c r="G340" i="14"/>
  <c r="F340" i="14"/>
  <c r="E340" i="14"/>
  <c r="AF339" i="14"/>
  <c r="AE339" i="14"/>
  <c r="AD339" i="14"/>
  <c r="AC339" i="14"/>
  <c r="AB339" i="14"/>
  <c r="AA339" i="14"/>
  <c r="Z339" i="14"/>
  <c r="Y339" i="14"/>
  <c r="X339" i="14"/>
  <c r="W339" i="14"/>
  <c r="V339" i="14"/>
  <c r="U339" i="14"/>
  <c r="T339" i="14"/>
  <c r="S339" i="14"/>
  <c r="R339" i="14"/>
  <c r="Q339" i="14"/>
  <c r="P339" i="14"/>
  <c r="O339" i="14"/>
  <c r="N339" i="14"/>
  <c r="M339" i="14"/>
  <c r="L339" i="14"/>
  <c r="K339" i="14"/>
  <c r="J339" i="14"/>
  <c r="I339" i="14"/>
  <c r="H339" i="14"/>
  <c r="AG339" i="14" s="1"/>
  <c r="G339" i="14"/>
  <c r="F339" i="14"/>
  <c r="E339" i="14"/>
  <c r="AF338" i="14"/>
  <c r="AE338" i="14"/>
  <c r="AD338" i="14"/>
  <c r="AC338" i="14"/>
  <c r="AB338" i="14"/>
  <c r="AA338" i="14"/>
  <c r="Z338" i="14"/>
  <c r="Y338" i="14"/>
  <c r="X338" i="14"/>
  <c r="W338" i="14"/>
  <c r="V338" i="14"/>
  <c r="U338" i="14"/>
  <c r="T338" i="14"/>
  <c r="S338" i="14"/>
  <c r="R338" i="14"/>
  <c r="Q338" i="14"/>
  <c r="P338" i="14"/>
  <c r="O338" i="14"/>
  <c r="N338" i="14"/>
  <c r="M338" i="14"/>
  <c r="L338" i="14"/>
  <c r="K338" i="14"/>
  <c r="J338" i="14"/>
  <c r="I338" i="14"/>
  <c r="H338" i="14"/>
  <c r="G338" i="14"/>
  <c r="F338" i="14"/>
  <c r="E338" i="14"/>
  <c r="AF337" i="14"/>
  <c r="AE337" i="14"/>
  <c r="AD337" i="14"/>
  <c r="AC337" i="14"/>
  <c r="AB337" i="14"/>
  <c r="AA337" i="14"/>
  <c r="Z337" i="14"/>
  <c r="Y337" i="14"/>
  <c r="X337" i="14"/>
  <c r="W337" i="14"/>
  <c r="V337" i="14"/>
  <c r="U337" i="14"/>
  <c r="T337" i="14"/>
  <c r="S337" i="14"/>
  <c r="R337" i="14"/>
  <c r="Q337" i="14"/>
  <c r="P337" i="14"/>
  <c r="O337" i="14"/>
  <c r="N337" i="14"/>
  <c r="M337" i="14"/>
  <c r="L337" i="14"/>
  <c r="K337" i="14"/>
  <c r="J337" i="14"/>
  <c r="I337" i="14"/>
  <c r="H337" i="14"/>
  <c r="G337" i="14"/>
  <c r="F337" i="14"/>
  <c r="E337" i="14"/>
  <c r="AF336" i="14"/>
  <c r="AE336" i="14"/>
  <c r="AD336" i="14"/>
  <c r="AC336" i="14"/>
  <c r="AB336" i="14"/>
  <c r="AA336" i="14"/>
  <c r="Z336" i="14"/>
  <c r="Y336" i="14"/>
  <c r="X336" i="14"/>
  <c r="W336" i="14"/>
  <c r="V336" i="14"/>
  <c r="U336" i="14"/>
  <c r="T336" i="14"/>
  <c r="S336" i="14"/>
  <c r="R336" i="14"/>
  <c r="Q336" i="14"/>
  <c r="P336" i="14"/>
  <c r="O336" i="14"/>
  <c r="N336" i="14"/>
  <c r="M336" i="14"/>
  <c r="L336" i="14"/>
  <c r="K336" i="14"/>
  <c r="J336" i="14"/>
  <c r="I336" i="14"/>
  <c r="H336" i="14"/>
  <c r="AG336" i="14" s="1"/>
  <c r="G336" i="14"/>
  <c r="F336" i="14"/>
  <c r="E336" i="14"/>
  <c r="AF335" i="14"/>
  <c r="AE335" i="14"/>
  <c r="AD335" i="14"/>
  <c r="AC335" i="14"/>
  <c r="AB335" i="14"/>
  <c r="AA335" i="14"/>
  <c r="Z335" i="14"/>
  <c r="Y335" i="14"/>
  <c r="X335" i="14"/>
  <c r="W335" i="14"/>
  <c r="V335" i="14"/>
  <c r="U335" i="14"/>
  <c r="T335" i="14"/>
  <c r="S335" i="14"/>
  <c r="R335" i="14"/>
  <c r="Q335" i="14"/>
  <c r="P335" i="14"/>
  <c r="O335" i="14"/>
  <c r="N335" i="14"/>
  <c r="M335" i="14"/>
  <c r="L335" i="14"/>
  <c r="K335" i="14"/>
  <c r="J335" i="14"/>
  <c r="I335" i="14"/>
  <c r="H335" i="14"/>
  <c r="AG335" i="14" s="1"/>
  <c r="G335" i="14"/>
  <c r="F335" i="14"/>
  <c r="E335" i="14"/>
  <c r="AF334" i="14"/>
  <c r="AE334" i="14"/>
  <c r="AD334" i="14"/>
  <c r="AC334" i="14"/>
  <c r="AB334" i="14"/>
  <c r="AA334" i="14"/>
  <c r="Z334" i="14"/>
  <c r="Y334" i="14"/>
  <c r="X334" i="14"/>
  <c r="W334" i="14"/>
  <c r="V334" i="14"/>
  <c r="U334" i="14"/>
  <c r="T334" i="14"/>
  <c r="S334" i="14"/>
  <c r="R334" i="14"/>
  <c r="Q334" i="14"/>
  <c r="P334" i="14"/>
  <c r="O334" i="14"/>
  <c r="N334" i="14"/>
  <c r="M334" i="14"/>
  <c r="L334" i="14"/>
  <c r="K334" i="14"/>
  <c r="J334" i="14"/>
  <c r="I334" i="14"/>
  <c r="H334" i="14"/>
  <c r="AG334" i="14" s="1"/>
  <c r="G334" i="14"/>
  <c r="F334" i="14"/>
  <c r="E334" i="14"/>
  <c r="AF333" i="14"/>
  <c r="AE333" i="14"/>
  <c r="AD333" i="14"/>
  <c r="AC333" i="14"/>
  <c r="AB333" i="14"/>
  <c r="AA333" i="14"/>
  <c r="Z333" i="14"/>
  <c r="Y333" i="14"/>
  <c r="X333" i="14"/>
  <c r="W333" i="14"/>
  <c r="V333" i="14"/>
  <c r="U333" i="14"/>
  <c r="T333" i="14"/>
  <c r="S333" i="14"/>
  <c r="R333" i="14"/>
  <c r="Q333" i="14"/>
  <c r="P333" i="14"/>
  <c r="O333" i="14"/>
  <c r="N333" i="14"/>
  <c r="M333" i="14"/>
  <c r="L333" i="14"/>
  <c r="K333" i="14"/>
  <c r="J333" i="14"/>
  <c r="I333" i="14"/>
  <c r="H333" i="14"/>
  <c r="AG333" i="14" s="1"/>
  <c r="G333" i="14"/>
  <c r="F333" i="14"/>
  <c r="E333" i="14"/>
  <c r="AF332" i="14"/>
  <c r="AE332" i="14"/>
  <c r="AD332" i="14"/>
  <c r="AC332" i="14"/>
  <c r="AB332" i="14"/>
  <c r="AA332" i="14"/>
  <c r="Z332" i="14"/>
  <c r="Y332" i="14"/>
  <c r="X332" i="14"/>
  <c r="W332" i="14"/>
  <c r="V332" i="14"/>
  <c r="U332" i="14"/>
  <c r="T332" i="14"/>
  <c r="S332" i="14"/>
  <c r="R332" i="14"/>
  <c r="Q332" i="14"/>
  <c r="P332" i="14"/>
  <c r="O332" i="14"/>
  <c r="N332" i="14"/>
  <c r="M332" i="14"/>
  <c r="L332" i="14"/>
  <c r="K332" i="14"/>
  <c r="J332" i="14"/>
  <c r="I332" i="14"/>
  <c r="H332" i="14"/>
  <c r="AG332" i="14" s="1"/>
  <c r="G332" i="14"/>
  <c r="F332" i="14"/>
  <c r="E332" i="14"/>
  <c r="AF331" i="14"/>
  <c r="AE331" i="14"/>
  <c r="AD331" i="14"/>
  <c r="AC331" i="14"/>
  <c r="AB331" i="14"/>
  <c r="AA331" i="14"/>
  <c r="Z331" i="14"/>
  <c r="Y331" i="14"/>
  <c r="X331" i="14"/>
  <c r="W331" i="14"/>
  <c r="V331" i="14"/>
  <c r="U331" i="14"/>
  <c r="T331" i="14"/>
  <c r="S331" i="14"/>
  <c r="R331" i="14"/>
  <c r="Q331" i="14"/>
  <c r="P331" i="14"/>
  <c r="O331" i="14"/>
  <c r="N331" i="14"/>
  <c r="M331" i="14"/>
  <c r="L331" i="14"/>
  <c r="K331" i="14"/>
  <c r="J331" i="14"/>
  <c r="I331" i="14"/>
  <c r="H331" i="14"/>
  <c r="AG331" i="14" s="1"/>
  <c r="G331" i="14"/>
  <c r="F331" i="14"/>
  <c r="E331" i="14"/>
  <c r="AF330" i="14"/>
  <c r="AE330" i="14"/>
  <c r="AD330" i="14"/>
  <c r="AC330" i="14"/>
  <c r="AB330" i="14"/>
  <c r="AA330" i="14"/>
  <c r="Z330" i="14"/>
  <c r="Y330" i="14"/>
  <c r="X330" i="14"/>
  <c r="W330" i="14"/>
  <c r="V330" i="14"/>
  <c r="U330" i="14"/>
  <c r="T330" i="14"/>
  <c r="S330" i="14"/>
  <c r="R330" i="14"/>
  <c r="Q330" i="14"/>
  <c r="P330" i="14"/>
  <c r="O330" i="14"/>
  <c r="N330" i="14"/>
  <c r="M330" i="14"/>
  <c r="L330" i="14"/>
  <c r="K330" i="14"/>
  <c r="J330" i="14"/>
  <c r="I330" i="14"/>
  <c r="H330" i="14"/>
  <c r="AG330" i="14" s="1"/>
  <c r="G330" i="14"/>
  <c r="F330" i="14"/>
  <c r="E330" i="14"/>
  <c r="AF329" i="14"/>
  <c r="AE329" i="14"/>
  <c r="AD329" i="14"/>
  <c r="AC329" i="14"/>
  <c r="AB329" i="14"/>
  <c r="AA329" i="14"/>
  <c r="Z329" i="14"/>
  <c r="Y329" i="14"/>
  <c r="X329" i="14"/>
  <c r="W329" i="14"/>
  <c r="V329" i="14"/>
  <c r="U329" i="14"/>
  <c r="T329" i="14"/>
  <c r="S329" i="14"/>
  <c r="R329" i="14"/>
  <c r="Q329" i="14"/>
  <c r="P329" i="14"/>
  <c r="O329" i="14"/>
  <c r="N329" i="14"/>
  <c r="M329" i="14"/>
  <c r="L329" i="14"/>
  <c r="K329" i="14"/>
  <c r="J329" i="14"/>
  <c r="I329" i="14"/>
  <c r="H329" i="14"/>
  <c r="AG329" i="14" s="1"/>
  <c r="G329" i="14"/>
  <c r="F329" i="14"/>
  <c r="E329" i="14"/>
  <c r="AF328" i="14"/>
  <c r="AE328" i="14"/>
  <c r="AD328" i="14"/>
  <c r="AC328" i="14"/>
  <c r="AB328" i="14"/>
  <c r="AA328" i="14"/>
  <c r="Z328" i="14"/>
  <c r="Y328" i="14"/>
  <c r="X328" i="14"/>
  <c r="W328" i="14"/>
  <c r="V328" i="14"/>
  <c r="U328" i="14"/>
  <c r="T328" i="14"/>
  <c r="S328" i="14"/>
  <c r="R328" i="14"/>
  <c r="Q328" i="14"/>
  <c r="P328" i="14"/>
  <c r="O328" i="14"/>
  <c r="N328" i="14"/>
  <c r="M328" i="14"/>
  <c r="L328" i="14"/>
  <c r="K328" i="14"/>
  <c r="J328" i="14"/>
  <c r="I328" i="14"/>
  <c r="H328" i="14"/>
  <c r="AG328" i="14" s="1"/>
  <c r="G328" i="14"/>
  <c r="F328" i="14"/>
  <c r="E328" i="14"/>
  <c r="AF327" i="14"/>
  <c r="AE327" i="14"/>
  <c r="AD327" i="14"/>
  <c r="AC327" i="14"/>
  <c r="AB327" i="14"/>
  <c r="AA327" i="14"/>
  <c r="Z327" i="14"/>
  <c r="Y327" i="14"/>
  <c r="X327" i="14"/>
  <c r="W327" i="14"/>
  <c r="V327" i="14"/>
  <c r="U327" i="14"/>
  <c r="T327" i="14"/>
  <c r="S327" i="14"/>
  <c r="R327" i="14"/>
  <c r="Q327" i="14"/>
  <c r="P327" i="14"/>
  <c r="O327" i="14"/>
  <c r="N327" i="14"/>
  <c r="M327" i="14"/>
  <c r="L327" i="14"/>
  <c r="K327" i="14"/>
  <c r="J327" i="14"/>
  <c r="I327" i="14"/>
  <c r="H327" i="14"/>
  <c r="AG327" i="14" s="1"/>
  <c r="G327" i="14"/>
  <c r="F327" i="14"/>
  <c r="E327" i="14"/>
  <c r="AF326" i="14"/>
  <c r="AE326" i="14"/>
  <c r="AD326" i="14"/>
  <c r="AC326" i="14"/>
  <c r="AB326" i="14"/>
  <c r="AA326" i="14"/>
  <c r="Z326" i="14"/>
  <c r="Y326" i="14"/>
  <c r="X326" i="14"/>
  <c r="W326" i="14"/>
  <c r="V326" i="14"/>
  <c r="U326" i="14"/>
  <c r="T326" i="14"/>
  <c r="S326" i="14"/>
  <c r="R326" i="14"/>
  <c r="Q326" i="14"/>
  <c r="P326" i="14"/>
  <c r="O326" i="14"/>
  <c r="N326" i="14"/>
  <c r="M326" i="14"/>
  <c r="L326" i="14"/>
  <c r="K326" i="14"/>
  <c r="J326" i="14"/>
  <c r="I326" i="14"/>
  <c r="H326" i="14"/>
  <c r="AG326" i="14" s="1"/>
  <c r="G326" i="14"/>
  <c r="F326" i="14"/>
  <c r="E326" i="14"/>
  <c r="AF325" i="14"/>
  <c r="AE325" i="14"/>
  <c r="AD325" i="14"/>
  <c r="AC325" i="14"/>
  <c r="AB325" i="14"/>
  <c r="AA325" i="14"/>
  <c r="Z325" i="14"/>
  <c r="Y325" i="14"/>
  <c r="X325" i="14"/>
  <c r="W325" i="14"/>
  <c r="V325" i="14"/>
  <c r="U325" i="14"/>
  <c r="T325" i="14"/>
  <c r="S325" i="14"/>
  <c r="R325" i="14"/>
  <c r="Q325" i="14"/>
  <c r="P325" i="14"/>
  <c r="O325" i="14"/>
  <c r="N325" i="14"/>
  <c r="M325" i="14"/>
  <c r="L325" i="14"/>
  <c r="K325" i="14"/>
  <c r="J325" i="14"/>
  <c r="I325" i="14"/>
  <c r="H325" i="14"/>
  <c r="AG325" i="14" s="1"/>
  <c r="G325" i="14"/>
  <c r="F325" i="14"/>
  <c r="E325" i="14"/>
  <c r="AF324" i="14"/>
  <c r="AE324" i="14"/>
  <c r="AD324" i="14"/>
  <c r="AC324" i="14"/>
  <c r="AB324" i="14"/>
  <c r="AA324" i="14"/>
  <c r="Z324" i="14"/>
  <c r="Y324" i="14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AG324" i="14" s="1"/>
  <c r="G324" i="14"/>
  <c r="F324" i="14"/>
  <c r="E324" i="14"/>
  <c r="AF323" i="14"/>
  <c r="AE323" i="14"/>
  <c r="AD323" i="14"/>
  <c r="AC323" i="14"/>
  <c r="AB323" i="14"/>
  <c r="AA323" i="14"/>
  <c r="Z323" i="14"/>
  <c r="Y323" i="14"/>
  <c r="X323" i="14"/>
  <c r="W323" i="14"/>
  <c r="V323" i="14"/>
  <c r="U323" i="14"/>
  <c r="T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AG323" i="14" s="1"/>
  <c r="G323" i="14"/>
  <c r="F323" i="14"/>
  <c r="E323" i="14"/>
  <c r="AF322" i="14"/>
  <c r="AE322" i="14"/>
  <c r="AE350" i="14" s="1"/>
  <c r="AD322" i="14"/>
  <c r="AC322" i="14"/>
  <c r="AB322" i="14"/>
  <c r="AA322" i="14"/>
  <c r="Z322" i="14"/>
  <c r="Y322" i="14"/>
  <c r="X322" i="14"/>
  <c r="W322" i="14"/>
  <c r="W350" i="14" s="1"/>
  <c r="V322" i="14"/>
  <c r="U322" i="14"/>
  <c r="T322" i="14"/>
  <c r="S322" i="14"/>
  <c r="R322" i="14"/>
  <c r="Q322" i="14"/>
  <c r="P322" i="14"/>
  <c r="O322" i="14"/>
  <c r="O350" i="14" s="1"/>
  <c r="N322" i="14"/>
  <c r="M322" i="14"/>
  <c r="L322" i="14"/>
  <c r="K322" i="14"/>
  <c r="J322" i="14"/>
  <c r="I322" i="14"/>
  <c r="H322" i="14"/>
  <c r="G322" i="14"/>
  <c r="G350" i="14" s="1"/>
  <c r="F322" i="14"/>
  <c r="E322" i="14"/>
  <c r="AF321" i="14"/>
  <c r="AE321" i="14"/>
  <c r="AD321" i="14"/>
  <c r="AC321" i="14"/>
  <c r="AB321" i="14"/>
  <c r="AA321" i="14"/>
  <c r="Z321" i="14"/>
  <c r="Y321" i="14"/>
  <c r="X321" i="14"/>
  <c r="W321" i="14"/>
  <c r="V321" i="14"/>
  <c r="U321" i="14"/>
  <c r="T321" i="14"/>
  <c r="S321" i="14"/>
  <c r="R321" i="14"/>
  <c r="Q321" i="14"/>
  <c r="P321" i="14"/>
  <c r="O321" i="14"/>
  <c r="N321" i="14"/>
  <c r="M321" i="14"/>
  <c r="L321" i="14"/>
  <c r="K321" i="14"/>
  <c r="J321" i="14"/>
  <c r="I321" i="14"/>
  <c r="H321" i="14"/>
  <c r="AG321" i="14" s="1"/>
  <c r="G321" i="14"/>
  <c r="F321" i="14"/>
  <c r="E321" i="14"/>
  <c r="AF320" i="14"/>
  <c r="AE320" i="14"/>
  <c r="AD320" i="14"/>
  <c r="AC320" i="14"/>
  <c r="AB320" i="14"/>
  <c r="AA320" i="14"/>
  <c r="Z320" i="14"/>
  <c r="Y320" i="14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K320" i="14"/>
  <c r="J320" i="14"/>
  <c r="I320" i="14"/>
  <c r="H320" i="14"/>
  <c r="AG320" i="14" s="1"/>
  <c r="G320" i="14"/>
  <c r="F320" i="14"/>
  <c r="E320" i="14"/>
  <c r="AF319" i="14"/>
  <c r="AE319" i="14"/>
  <c r="AD319" i="14"/>
  <c r="AC319" i="14"/>
  <c r="AB319" i="14"/>
  <c r="AA319" i="14"/>
  <c r="Z319" i="14"/>
  <c r="Y319" i="14"/>
  <c r="X319" i="14"/>
  <c r="W319" i="14"/>
  <c r="V319" i="14"/>
  <c r="U319" i="14"/>
  <c r="T319" i="14"/>
  <c r="S319" i="14"/>
  <c r="R319" i="14"/>
  <c r="Q319" i="14"/>
  <c r="P319" i="14"/>
  <c r="O319" i="14"/>
  <c r="N319" i="14"/>
  <c r="M319" i="14"/>
  <c r="L319" i="14"/>
  <c r="K319" i="14"/>
  <c r="J319" i="14"/>
  <c r="I319" i="14"/>
  <c r="H319" i="14"/>
  <c r="AG319" i="14" s="1"/>
  <c r="G319" i="14"/>
  <c r="F319" i="14"/>
  <c r="E319" i="14"/>
  <c r="AF318" i="14"/>
  <c r="AE318" i="14"/>
  <c r="AD318" i="14"/>
  <c r="AC318" i="14"/>
  <c r="AB318" i="14"/>
  <c r="AA318" i="14"/>
  <c r="Z318" i="14"/>
  <c r="Y318" i="14"/>
  <c r="X318" i="14"/>
  <c r="W318" i="14"/>
  <c r="V318" i="14"/>
  <c r="U318" i="14"/>
  <c r="T318" i="14"/>
  <c r="S318" i="14"/>
  <c r="R318" i="14"/>
  <c r="Q318" i="14"/>
  <c r="P318" i="14"/>
  <c r="O318" i="14"/>
  <c r="N318" i="14"/>
  <c r="M318" i="14"/>
  <c r="L318" i="14"/>
  <c r="K318" i="14"/>
  <c r="J318" i="14"/>
  <c r="I318" i="14"/>
  <c r="H318" i="14"/>
  <c r="AG318" i="14" s="1"/>
  <c r="G318" i="14"/>
  <c r="F318" i="14"/>
  <c r="E318" i="14"/>
  <c r="AF317" i="14"/>
  <c r="AE317" i="14"/>
  <c r="AD317" i="14"/>
  <c r="AC317" i="14"/>
  <c r="AB317" i="14"/>
  <c r="AA317" i="14"/>
  <c r="Z317" i="14"/>
  <c r="Y317" i="14"/>
  <c r="X317" i="14"/>
  <c r="W317" i="14"/>
  <c r="V317" i="14"/>
  <c r="U317" i="14"/>
  <c r="T317" i="14"/>
  <c r="S317" i="14"/>
  <c r="R317" i="14"/>
  <c r="Q317" i="14"/>
  <c r="P317" i="14"/>
  <c r="O317" i="14"/>
  <c r="N317" i="14"/>
  <c r="M317" i="14"/>
  <c r="L317" i="14"/>
  <c r="K317" i="14"/>
  <c r="J317" i="14"/>
  <c r="I317" i="14"/>
  <c r="H317" i="14"/>
  <c r="AG317" i="14" s="1"/>
  <c r="G317" i="14"/>
  <c r="F317" i="14"/>
  <c r="E317" i="14"/>
  <c r="AF316" i="14"/>
  <c r="AE316" i="14"/>
  <c r="AD316" i="14"/>
  <c r="AC316" i="14"/>
  <c r="AB316" i="14"/>
  <c r="AA316" i="14"/>
  <c r="Z316" i="14"/>
  <c r="Y316" i="14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AG316" i="14" s="1"/>
  <c r="G316" i="14"/>
  <c r="F316" i="14"/>
  <c r="E316" i="14"/>
  <c r="AF315" i="14"/>
  <c r="AE315" i="14"/>
  <c r="AD315" i="14"/>
  <c r="AC315" i="14"/>
  <c r="AB315" i="14"/>
  <c r="AA315" i="14"/>
  <c r="Z315" i="14"/>
  <c r="Y315" i="14"/>
  <c r="X315" i="14"/>
  <c r="W315" i="14"/>
  <c r="V315" i="14"/>
  <c r="U315" i="14"/>
  <c r="T315" i="14"/>
  <c r="S315" i="14"/>
  <c r="R315" i="14"/>
  <c r="Q315" i="14"/>
  <c r="P315" i="14"/>
  <c r="O315" i="14"/>
  <c r="N315" i="14"/>
  <c r="M315" i="14"/>
  <c r="L315" i="14"/>
  <c r="K315" i="14"/>
  <c r="J315" i="14"/>
  <c r="I315" i="14"/>
  <c r="H315" i="14"/>
  <c r="AG315" i="14" s="1"/>
  <c r="G315" i="14"/>
  <c r="F315" i="14"/>
  <c r="E315" i="14"/>
  <c r="AF314" i="14"/>
  <c r="AE314" i="14"/>
  <c r="AD314" i="14"/>
  <c r="AC314" i="14"/>
  <c r="AB314" i="14"/>
  <c r="AA314" i="14"/>
  <c r="Z314" i="14"/>
  <c r="Y314" i="14"/>
  <c r="X314" i="14"/>
  <c r="W314" i="14"/>
  <c r="V314" i="14"/>
  <c r="U314" i="14"/>
  <c r="T314" i="14"/>
  <c r="S314" i="14"/>
  <c r="R314" i="14"/>
  <c r="Q314" i="14"/>
  <c r="P314" i="14"/>
  <c r="O314" i="14"/>
  <c r="N314" i="14"/>
  <c r="M314" i="14"/>
  <c r="L314" i="14"/>
  <c r="K314" i="14"/>
  <c r="J314" i="14"/>
  <c r="I314" i="14"/>
  <c r="H314" i="14"/>
  <c r="AG314" i="14" s="1"/>
  <c r="G314" i="14"/>
  <c r="F314" i="14"/>
  <c r="E314" i="14"/>
  <c r="AF313" i="14"/>
  <c r="AE313" i="14"/>
  <c r="AD313" i="14"/>
  <c r="AC313" i="14"/>
  <c r="AB313" i="14"/>
  <c r="AA313" i="14"/>
  <c r="Z313" i="14"/>
  <c r="Y313" i="14"/>
  <c r="X313" i="14"/>
  <c r="W313" i="14"/>
  <c r="V313" i="14"/>
  <c r="U313" i="14"/>
  <c r="T313" i="14"/>
  <c r="S313" i="14"/>
  <c r="R313" i="14"/>
  <c r="Q313" i="14"/>
  <c r="P313" i="14"/>
  <c r="O313" i="14"/>
  <c r="N313" i="14"/>
  <c r="M313" i="14"/>
  <c r="L313" i="14"/>
  <c r="K313" i="14"/>
  <c r="J313" i="14"/>
  <c r="I313" i="14"/>
  <c r="H313" i="14"/>
  <c r="AG313" i="14" s="1"/>
  <c r="G313" i="14"/>
  <c r="F313" i="14"/>
  <c r="E313" i="14"/>
  <c r="AF312" i="14"/>
  <c r="AF350" i="14" s="1"/>
  <c r="AE312" i="14"/>
  <c r="AD312" i="14"/>
  <c r="AC312" i="14"/>
  <c r="AB312" i="14"/>
  <c r="AA312" i="14"/>
  <c r="Z312" i="14"/>
  <c r="Y312" i="14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K312" i="14"/>
  <c r="J312" i="14"/>
  <c r="I312" i="14"/>
  <c r="H312" i="14"/>
  <c r="AG312" i="14" s="1"/>
  <c r="G312" i="14"/>
  <c r="F312" i="14"/>
  <c r="E312" i="14"/>
  <c r="AF311" i="14"/>
  <c r="AE311" i="14"/>
  <c r="AD311" i="14"/>
  <c r="AD350" i="14" s="1"/>
  <c r="AC311" i="14"/>
  <c r="AB311" i="14"/>
  <c r="AA311" i="14"/>
  <c r="Z311" i="14"/>
  <c r="Y311" i="14"/>
  <c r="X311" i="14"/>
  <c r="W311" i="14"/>
  <c r="V311" i="14"/>
  <c r="V350" i="14" s="1"/>
  <c r="U311" i="14"/>
  <c r="T311" i="14"/>
  <c r="S311" i="14"/>
  <c r="R311" i="14"/>
  <c r="Q311" i="14"/>
  <c r="P311" i="14"/>
  <c r="O311" i="14"/>
  <c r="N311" i="14"/>
  <c r="N350" i="14" s="1"/>
  <c r="M311" i="14"/>
  <c r="L311" i="14"/>
  <c r="K311" i="14"/>
  <c r="J311" i="14"/>
  <c r="I311" i="14"/>
  <c r="H311" i="14"/>
  <c r="G311" i="14"/>
  <c r="F311" i="14"/>
  <c r="F350" i="14" s="1"/>
  <c r="E311" i="14"/>
  <c r="AJ306" i="14"/>
  <c r="AI306" i="14"/>
  <c r="AJ305" i="14"/>
  <c r="AI305" i="14"/>
  <c r="AJ304" i="14"/>
  <c r="AI304" i="14"/>
  <c r="AJ303" i="14"/>
  <c r="AI303" i="14"/>
  <c r="AE302" i="14"/>
  <c r="AA302" i="14"/>
  <c r="W302" i="14"/>
  <c r="S302" i="14"/>
  <c r="R302" i="14"/>
  <c r="O302" i="14"/>
  <c r="J302" i="14"/>
  <c r="G302" i="14"/>
  <c r="D302" i="14"/>
  <c r="AF301" i="14"/>
  <c r="AE301" i="14"/>
  <c r="AD301" i="14"/>
  <c r="AC301" i="14"/>
  <c r="AB301" i="14"/>
  <c r="AA301" i="14"/>
  <c r="Z301" i="14"/>
  <c r="Y301" i="14"/>
  <c r="X301" i="14"/>
  <c r="W301" i="14"/>
  <c r="V301" i="14"/>
  <c r="U301" i="14"/>
  <c r="T301" i="14"/>
  <c r="S301" i="14"/>
  <c r="R301" i="14"/>
  <c r="Q301" i="14"/>
  <c r="P301" i="14"/>
  <c r="O301" i="14"/>
  <c r="N301" i="14"/>
  <c r="M301" i="14"/>
  <c r="L301" i="14"/>
  <c r="K301" i="14"/>
  <c r="J301" i="14"/>
  <c r="I301" i="14"/>
  <c r="AG301" i="14" s="1"/>
  <c r="H301" i="14"/>
  <c r="G301" i="14"/>
  <c r="F301" i="14"/>
  <c r="E301" i="14"/>
  <c r="AF300" i="14"/>
  <c r="AE300" i="14"/>
  <c r="AD300" i="14"/>
  <c r="AC300" i="14"/>
  <c r="AB300" i="14"/>
  <c r="AA300" i="14"/>
  <c r="Z300" i="14"/>
  <c r="Y300" i="14"/>
  <c r="X300" i="14"/>
  <c r="W300" i="14"/>
  <c r="V300" i="14"/>
  <c r="U300" i="14"/>
  <c r="T300" i="14"/>
  <c r="S300" i="14"/>
  <c r="R300" i="14"/>
  <c r="Q300" i="14"/>
  <c r="P300" i="14"/>
  <c r="O300" i="14"/>
  <c r="N300" i="14"/>
  <c r="M300" i="14"/>
  <c r="L300" i="14"/>
  <c r="K300" i="14"/>
  <c r="J300" i="14"/>
  <c r="I300" i="14"/>
  <c r="H300" i="14"/>
  <c r="AG300" i="14" s="1"/>
  <c r="G300" i="14"/>
  <c r="F300" i="14"/>
  <c r="E300" i="14"/>
  <c r="AF299" i="14"/>
  <c r="AE299" i="14"/>
  <c r="AD299" i="14"/>
  <c r="AC299" i="14"/>
  <c r="AB299" i="14"/>
  <c r="AA299" i="14"/>
  <c r="Z299" i="14"/>
  <c r="Y299" i="14"/>
  <c r="X299" i="14"/>
  <c r="W299" i="14"/>
  <c r="V299" i="14"/>
  <c r="U299" i="14"/>
  <c r="T299" i="14"/>
  <c r="S299" i="14"/>
  <c r="R299" i="14"/>
  <c r="Q299" i="14"/>
  <c r="P299" i="14"/>
  <c r="O299" i="14"/>
  <c r="N299" i="14"/>
  <c r="M299" i="14"/>
  <c r="L299" i="14"/>
  <c r="K299" i="14"/>
  <c r="J299" i="14"/>
  <c r="I299" i="14"/>
  <c r="H299" i="14"/>
  <c r="AG299" i="14" s="1"/>
  <c r="G299" i="14"/>
  <c r="F299" i="14"/>
  <c r="E299" i="14"/>
  <c r="AF298" i="14"/>
  <c r="AE298" i="14"/>
  <c r="AD298" i="14"/>
  <c r="AC298" i="14"/>
  <c r="AB298" i="14"/>
  <c r="AA298" i="14"/>
  <c r="Z298" i="14"/>
  <c r="Y298" i="14"/>
  <c r="X298" i="14"/>
  <c r="W298" i="14"/>
  <c r="V298" i="14"/>
  <c r="U298" i="14"/>
  <c r="T298" i="14"/>
  <c r="S298" i="14"/>
  <c r="R298" i="14"/>
  <c r="Q298" i="14"/>
  <c r="P298" i="14"/>
  <c r="O298" i="14"/>
  <c r="N298" i="14"/>
  <c r="M298" i="14"/>
  <c r="L298" i="14"/>
  <c r="K298" i="14"/>
  <c r="J298" i="14"/>
  <c r="I298" i="14"/>
  <c r="AG298" i="14" s="1"/>
  <c r="H298" i="14"/>
  <c r="G298" i="14"/>
  <c r="F298" i="14"/>
  <c r="E298" i="14"/>
  <c r="AF297" i="14"/>
  <c r="AE297" i="14"/>
  <c r="AD297" i="14"/>
  <c r="AC297" i="14"/>
  <c r="AB297" i="14"/>
  <c r="AA297" i="14"/>
  <c r="Z297" i="14"/>
  <c r="Y297" i="14"/>
  <c r="X297" i="14"/>
  <c r="W297" i="14"/>
  <c r="V297" i="14"/>
  <c r="U297" i="14"/>
  <c r="T297" i="14"/>
  <c r="S297" i="14"/>
  <c r="R297" i="14"/>
  <c r="Q297" i="14"/>
  <c r="P297" i="14"/>
  <c r="O297" i="14"/>
  <c r="N297" i="14"/>
  <c r="M297" i="14"/>
  <c r="L297" i="14"/>
  <c r="K297" i="14"/>
  <c r="J297" i="14"/>
  <c r="I297" i="14"/>
  <c r="H297" i="14"/>
  <c r="AG297" i="14" s="1"/>
  <c r="G297" i="14"/>
  <c r="F297" i="14"/>
  <c r="E297" i="14"/>
  <c r="AF296" i="14"/>
  <c r="AE296" i="14"/>
  <c r="AD296" i="14"/>
  <c r="AC296" i="14"/>
  <c r="AB296" i="14"/>
  <c r="AA296" i="14"/>
  <c r="Z296" i="14"/>
  <c r="Y296" i="14"/>
  <c r="X296" i="14"/>
  <c r="W296" i="14"/>
  <c r="V296" i="14"/>
  <c r="U296" i="14"/>
  <c r="T296" i="14"/>
  <c r="S296" i="14"/>
  <c r="R296" i="14"/>
  <c r="Q296" i="14"/>
  <c r="P296" i="14"/>
  <c r="O296" i="14"/>
  <c r="N296" i="14"/>
  <c r="M296" i="14"/>
  <c r="L296" i="14"/>
  <c r="K296" i="14"/>
  <c r="J296" i="14"/>
  <c r="I296" i="14"/>
  <c r="H296" i="14"/>
  <c r="G296" i="14"/>
  <c r="F296" i="14"/>
  <c r="E296" i="14"/>
  <c r="AF295" i="14"/>
  <c r="AE295" i="14"/>
  <c r="AD295" i="14"/>
  <c r="AC295" i="14"/>
  <c r="AB295" i="14"/>
  <c r="AA295" i="14"/>
  <c r="Z295" i="14"/>
  <c r="Y295" i="14"/>
  <c r="X295" i="14"/>
  <c r="W295" i="14"/>
  <c r="V295" i="14"/>
  <c r="U295" i="14"/>
  <c r="T295" i="14"/>
  <c r="S295" i="14"/>
  <c r="R295" i="14"/>
  <c r="Q295" i="14"/>
  <c r="P295" i="14"/>
  <c r="O295" i="14"/>
  <c r="N295" i="14"/>
  <c r="M295" i="14"/>
  <c r="L295" i="14"/>
  <c r="K295" i="14"/>
  <c r="J295" i="14"/>
  <c r="I295" i="14"/>
  <c r="AG295" i="14" s="1"/>
  <c r="H295" i="14"/>
  <c r="G295" i="14"/>
  <c r="F295" i="14"/>
  <c r="E295" i="14"/>
  <c r="AF294" i="14"/>
  <c r="AE294" i="14"/>
  <c r="AD294" i="14"/>
  <c r="AC294" i="14"/>
  <c r="AB294" i="14"/>
  <c r="AA294" i="14"/>
  <c r="Z294" i="14"/>
  <c r="Y294" i="14"/>
  <c r="X294" i="14"/>
  <c r="W294" i="14"/>
  <c r="V294" i="14"/>
  <c r="U294" i="14"/>
  <c r="T294" i="14"/>
  <c r="S294" i="14"/>
  <c r="R294" i="14"/>
  <c r="Q294" i="14"/>
  <c r="P294" i="14"/>
  <c r="O294" i="14"/>
  <c r="N294" i="14"/>
  <c r="M294" i="14"/>
  <c r="L294" i="14"/>
  <c r="K294" i="14"/>
  <c r="J294" i="14"/>
  <c r="I294" i="14"/>
  <c r="H294" i="14"/>
  <c r="AG294" i="14" s="1"/>
  <c r="G294" i="14"/>
  <c r="F294" i="14"/>
  <c r="E294" i="14"/>
  <c r="AF293" i="14"/>
  <c r="AE293" i="14"/>
  <c r="AD293" i="14"/>
  <c r="AC293" i="14"/>
  <c r="AB293" i="14"/>
  <c r="AA293" i="14"/>
  <c r="Z293" i="14"/>
  <c r="Y293" i="14"/>
  <c r="X293" i="14"/>
  <c r="W293" i="14"/>
  <c r="V293" i="14"/>
  <c r="U293" i="14"/>
  <c r="T293" i="14"/>
  <c r="S293" i="14"/>
  <c r="R293" i="14"/>
  <c r="Q293" i="14"/>
  <c r="P293" i="14"/>
  <c r="O293" i="14"/>
  <c r="N293" i="14"/>
  <c r="M293" i="14"/>
  <c r="L293" i="14"/>
  <c r="K293" i="14"/>
  <c r="J293" i="14"/>
  <c r="I293" i="14"/>
  <c r="H293" i="14"/>
  <c r="AG293" i="14" s="1"/>
  <c r="G293" i="14"/>
  <c r="F293" i="14"/>
  <c r="E293" i="14"/>
  <c r="AF292" i="14"/>
  <c r="AE292" i="14"/>
  <c r="AD292" i="14"/>
  <c r="AC292" i="14"/>
  <c r="AB292" i="14"/>
  <c r="AA292" i="14"/>
  <c r="Z292" i="14"/>
  <c r="Y292" i="14"/>
  <c r="X292" i="14"/>
  <c r="W292" i="14"/>
  <c r="V292" i="14"/>
  <c r="U292" i="14"/>
  <c r="T292" i="14"/>
  <c r="S292" i="14"/>
  <c r="R292" i="14"/>
  <c r="Q292" i="14"/>
  <c r="P292" i="14"/>
  <c r="O292" i="14"/>
  <c r="N292" i="14"/>
  <c r="M292" i="14"/>
  <c r="L292" i="14"/>
  <c r="K292" i="14"/>
  <c r="J292" i="14"/>
  <c r="I292" i="14"/>
  <c r="H292" i="14"/>
  <c r="AG292" i="14" s="1"/>
  <c r="G292" i="14"/>
  <c r="F292" i="14"/>
  <c r="E292" i="14"/>
  <c r="AF291" i="14"/>
  <c r="AE291" i="14"/>
  <c r="AD291" i="14"/>
  <c r="AC291" i="14"/>
  <c r="AB291" i="14"/>
  <c r="AA291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K291" i="14"/>
  <c r="J291" i="14"/>
  <c r="I291" i="14"/>
  <c r="AG291" i="14" s="1"/>
  <c r="H291" i="14"/>
  <c r="G291" i="14"/>
  <c r="F291" i="14"/>
  <c r="E291" i="14"/>
  <c r="AF290" i="14"/>
  <c r="AE290" i="14"/>
  <c r="AD290" i="14"/>
  <c r="AC290" i="14"/>
  <c r="AB290" i="14"/>
  <c r="AA290" i="14"/>
  <c r="Z290" i="14"/>
  <c r="Y290" i="14"/>
  <c r="X290" i="14"/>
  <c r="X302" i="14" s="1"/>
  <c r="W290" i="14"/>
  <c r="V290" i="14"/>
  <c r="U290" i="14"/>
  <c r="T290" i="14"/>
  <c r="S290" i="14"/>
  <c r="R290" i="14"/>
  <c r="Q290" i="14"/>
  <c r="P290" i="14"/>
  <c r="O290" i="14"/>
  <c r="N290" i="14"/>
  <c r="M290" i="14"/>
  <c r="L290" i="14"/>
  <c r="K290" i="14"/>
  <c r="J290" i="14"/>
  <c r="I290" i="14"/>
  <c r="AG290" i="14" s="1"/>
  <c r="H290" i="14"/>
  <c r="G290" i="14"/>
  <c r="F290" i="14"/>
  <c r="E290" i="14"/>
  <c r="AF289" i="14"/>
  <c r="AE289" i="14"/>
  <c r="AD289" i="14"/>
  <c r="AC289" i="14"/>
  <c r="AB289" i="14"/>
  <c r="AA289" i="14"/>
  <c r="Z289" i="14"/>
  <c r="Y289" i="14"/>
  <c r="X289" i="14"/>
  <c r="W289" i="14"/>
  <c r="V289" i="14"/>
  <c r="U289" i="14"/>
  <c r="T289" i="14"/>
  <c r="S289" i="14"/>
  <c r="R289" i="14"/>
  <c r="Q289" i="14"/>
  <c r="P289" i="14"/>
  <c r="O289" i="14"/>
  <c r="N289" i="14"/>
  <c r="M289" i="14"/>
  <c r="L289" i="14"/>
  <c r="K289" i="14"/>
  <c r="J289" i="14"/>
  <c r="I289" i="14"/>
  <c r="H289" i="14"/>
  <c r="AG289" i="14" s="1"/>
  <c r="G289" i="14"/>
  <c r="F289" i="14"/>
  <c r="E289" i="14"/>
  <c r="AF288" i="14"/>
  <c r="AF302" i="14" s="1"/>
  <c r="AE288" i="14"/>
  <c r="AD288" i="14"/>
  <c r="AC288" i="14"/>
  <c r="AB288" i="14"/>
  <c r="AA288" i="14"/>
  <c r="Z288" i="14"/>
  <c r="Y288" i="14"/>
  <c r="X288" i="14"/>
  <c r="W288" i="14"/>
  <c r="V288" i="14"/>
  <c r="U288" i="14"/>
  <c r="T288" i="14"/>
  <c r="S288" i="14"/>
  <c r="R288" i="14"/>
  <c r="Q288" i="14"/>
  <c r="P288" i="14"/>
  <c r="O288" i="14"/>
  <c r="N288" i="14"/>
  <c r="M288" i="14"/>
  <c r="L288" i="14"/>
  <c r="K288" i="14"/>
  <c r="J288" i="14"/>
  <c r="I288" i="14"/>
  <c r="H288" i="14"/>
  <c r="H302" i="14" s="1"/>
  <c r="G288" i="14"/>
  <c r="F288" i="14"/>
  <c r="E288" i="14"/>
  <c r="AF287" i="14"/>
  <c r="AE287" i="14"/>
  <c r="AD287" i="14"/>
  <c r="AD302" i="14" s="1"/>
  <c r="AC287" i="14"/>
  <c r="AC302" i="14" s="1"/>
  <c r="AB287" i="14"/>
  <c r="AA287" i="14"/>
  <c r="Z287" i="14"/>
  <c r="Z302" i="14" s="1"/>
  <c r="Y287" i="14"/>
  <c r="X287" i="14"/>
  <c r="W287" i="14"/>
  <c r="V287" i="14"/>
  <c r="V302" i="14" s="1"/>
  <c r="U287" i="14"/>
  <c r="U302" i="14" s="1"/>
  <c r="T287" i="14"/>
  <c r="S287" i="14"/>
  <c r="R287" i="14"/>
  <c r="Q287" i="14"/>
  <c r="P287" i="14"/>
  <c r="O287" i="14"/>
  <c r="N287" i="14"/>
  <c r="N302" i="14" s="1"/>
  <c r="M287" i="14"/>
  <c r="M302" i="14" s="1"/>
  <c r="L287" i="14"/>
  <c r="K287" i="14"/>
  <c r="K302" i="14" s="1"/>
  <c r="J287" i="14"/>
  <c r="I287" i="14"/>
  <c r="H287" i="14"/>
  <c r="G287" i="14"/>
  <c r="F287" i="14"/>
  <c r="F302" i="14" s="1"/>
  <c r="E287" i="14"/>
  <c r="E302" i="14" s="1"/>
  <c r="AF278" i="14"/>
  <c r="AD278" i="14"/>
  <c r="Z278" i="14"/>
  <c r="X278" i="14"/>
  <c r="V278" i="14"/>
  <c r="P278" i="14"/>
  <c r="N278" i="14"/>
  <c r="J278" i="14"/>
  <c r="F278" i="14"/>
  <c r="D278" i="14"/>
  <c r="AF277" i="14"/>
  <c r="AE277" i="14"/>
  <c r="AD277" i="14"/>
  <c r="AC277" i="14"/>
  <c r="AB277" i="14"/>
  <c r="AA277" i="14"/>
  <c r="Z277" i="14"/>
  <c r="Y277" i="14"/>
  <c r="X277" i="14"/>
  <c r="W277" i="14"/>
  <c r="V277" i="14"/>
  <c r="U277" i="14"/>
  <c r="T277" i="14"/>
  <c r="S277" i="14"/>
  <c r="R277" i="14"/>
  <c r="Q277" i="14"/>
  <c r="P277" i="14"/>
  <c r="O277" i="14"/>
  <c r="N277" i="14"/>
  <c r="M277" i="14"/>
  <c r="L277" i="14"/>
  <c r="K277" i="14"/>
  <c r="J277" i="14"/>
  <c r="I277" i="14"/>
  <c r="H277" i="14"/>
  <c r="G277" i="14"/>
  <c r="F277" i="14"/>
  <c r="E277" i="14"/>
  <c r="AG277" i="14" s="1"/>
  <c r="AH277" i="14" s="1"/>
  <c r="AF276" i="14"/>
  <c r="AE276" i="14"/>
  <c r="AD276" i="14"/>
  <c r="AC276" i="14"/>
  <c r="AB276" i="14"/>
  <c r="AA276" i="14"/>
  <c r="Z276" i="14"/>
  <c r="Y276" i="14"/>
  <c r="X276" i="14"/>
  <c r="W276" i="14"/>
  <c r="V276" i="14"/>
  <c r="U276" i="14"/>
  <c r="T276" i="14"/>
  <c r="S276" i="14"/>
  <c r="R276" i="14"/>
  <c r="Q276" i="14"/>
  <c r="P276" i="14"/>
  <c r="O276" i="14"/>
  <c r="N276" i="14"/>
  <c r="M276" i="14"/>
  <c r="L276" i="14"/>
  <c r="K276" i="14"/>
  <c r="J276" i="14"/>
  <c r="I276" i="14"/>
  <c r="H276" i="14"/>
  <c r="G276" i="14"/>
  <c r="F276" i="14"/>
  <c r="E276" i="14"/>
  <c r="AF275" i="14"/>
  <c r="AE275" i="14"/>
  <c r="AD275" i="14"/>
  <c r="AC275" i="14"/>
  <c r="AB275" i="14"/>
  <c r="AA275" i="14"/>
  <c r="Z275" i="14"/>
  <c r="Y275" i="14"/>
  <c r="X275" i="14"/>
  <c r="W275" i="14"/>
  <c r="V275" i="14"/>
  <c r="U275" i="14"/>
  <c r="T275" i="14"/>
  <c r="S275" i="14"/>
  <c r="R275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AF274" i="14"/>
  <c r="AE274" i="14"/>
  <c r="AD274" i="14"/>
  <c r="AC274" i="14"/>
  <c r="AB274" i="14"/>
  <c r="AA274" i="14"/>
  <c r="Z274" i="14"/>
  <c r="Y274" i="14"/>
  <c r="Y278" i="14" s="1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K274" i="14"/>
  <c r="J274" i="14"/>
  <c r="I274" i="14"/>
  <c r="AG274" i="14" s="1"/>
  <c r="H274" i="14"/>
  <c r="G274" i="14"/>
  <c r="F274" i="14"/>
  <c r="E274" i="14"/>
  <c r="AF273" i="14"/>
  <c r="AE273" i="14"/>
  <c r="AD273" i="14"/>
  <c r="AC273" i="14"/>
  <c r="AB273" i="14"/>
  <c r="AA273" i="14"/>
  <c r="Z273" i="14"/>
  <c r="Y273" i="14"/>
  <c r="X273" i="14"/>
  <c r="W273" i="14"/>
  <c r="V273" i="14"/>
  <c r="U273" i="14"/>
  <c r="T273" i="14"/>
  <c r="S273" i="14"/>
  <c r="R273" i="14"/>
  <c r="Q273" i="14"/>
  <c r="P273" i="14"/>
  <c r="O273" i="14"/>
  <c r="N273" i="14"/>
  <c r="M273" i="14"/>
  <c r="L273" i="14"/>
  <c r="K273" i="14"/>
  <c r="J273" i="14"/>
  <c r="I273" i="14"/>
  <c r="AG273" i="14" s="1"/>
  <c r="H273" i="14"/>
  <c r="G273" i="14"/>
  <c r="F273" i="14"/>
  <c r="E273" i="14"/>
  <c r="AF272" i="14"/>
  <c r="AE272" i="14"/>
  <c r="AE278" i="14" s="1"/>
  <c r="AD272" i="14"/>
  <c r="AC272" i="14"/>
  <c r="AB272" i="14"/>
  <c r="AA272" i="14"/>
  <c r="Z272" i="14"/>
  <c r="Y272" i="14"/>
  <c r="X272" i="14"/>
  <c r="W272" i="14"/>
  <c r="W278" i="14" s="1"/>
  <c r="V272" i="14"/>
  <c r="U272" i="14"/>
  <c r="T272" i="14"/>
  <c r="S272" i="14"/>
  <c r="R272" i="14"/>
  <c r="R278" i="14" s="1"/>
  <c r="Q272" i="14"/>
  <c r="P272" i="14"/>
  <c r="O272" i="14"/>
  <c r="O278" i="14" s="1"/>
  <c r="N272" i="14"/>
  <c r="M272" i="14"/>
  <c r="L272" i="14"/>
  <c r="K272" i="14"/>
  <c r="J272" i="14"/>
  <c r="I272" i="14"/>
  <c r="H272" i="14"/>
  <c r="H278" i="14" s="1"/>
  <c r="G272" i="14"/>
  <c r="G278" i="14" s="1"/>
  <c r="F272" i="14"/>
  <c r="E272" i="14"/>
  <c r="AI265" i="14"/>
  <c r="AA263" i="14"/>
  <c r="Z263" i="14"/>
  <c r="Y263" i="14"/>
  <c r="W263" i="14"/>
  <c r="S263" i="14"/>
  <c r="Q263" i="14"/>
  <c r="O263" i="14"/>
  <c r="D263" i="14"/>
  <c r="AF262" i="14"/>
  <c r="AE262" i="14"/>
  <c r="AD262" i="14"/>
  <c r="AC262" i="14"/>
  <c r="AB262" i="14"/>
  <c r="AA262" i="14"/>
  <c r="Z262" i="14"/>
  <c r="Y262" i="14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M263" i="14" s="1"/>
  <c r="L262" i="14"/>
  <c r="L263" i="14" s="1"/>
  <c r="K262" i="14"/>
  <c r="J262" i="14"/>
  <c r="I262" i="14"/>
  <c r="H262" i="14"/>
  <c r="G262" i="14"/>
  <c r="F262" i="14"/>
  <c r="E262" i="14"/>
  <c r="AF261" i="14"/>
  <c r="AE261" i="14"/>
  <c r="AD261" i="14"/>
  <c r="AC261" i="14"/>
  <c r="AB261" i="14"/>
  <c r="AA261" i="14"/>
  <c r="Z261" i="14"/>
  <c r="Y261" i="14"/>
  <c r="X261" i="14"/>
  <c r="W261" i="14"/>
  <c r="V261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AF260" i="14"/>
  <c r="AF263" i="14" s="1"/>
  <c r="AE260" i="14"/>
  <c r="AE263" i="14" s="1"/>
  <c r="AD260" i="14"/>
  <c r="AD263" i="14" s="1"/>
  <c r="AC260" i="14"/>
  <c r="AB260" i="14"/>
  <c r="AA260" i="14"/>
  <c r="Z260" i="14"/>
  <c r="Y260" i="14"/>
  <c r="X260" i="14"/>
  <c r="X263" i="14" s="1"/>
  <c r="W260" i="14"/>
  <c r="V260" i="14"/>
  <c r="V263" i="14" s="1"/>
  <c r="U260" i="14"/>
  <c r="T260" i="14"/>
  <c r="S260" i="14"/>
  <c r="R260" i="14"/>
  <c r="R263" i="14" s="1"/>
  <c r="Q260" i="14"/>
  <c r="P260" i="14"/>
  <c r="P263" i="14" s="1"/>
  <c r="O260" i="14"/>
  <c r="N260" i="14"/>
  <c r="N263" i="14" s="1"/>
  <c r="M260" i="14"/>
  <c r="L260" i="14"/>
  <c r="K260" i="14"/>
  <c r="K263" i="14" s="1"/>
  <c r="J260" i="14"/>
  <c r="J263" i="14" s="1"/>
  <c r="I260" i="14"/>
  <c r="I263" i="14" s="1"/>
  <c r="H260" i="14"/>
  <c r="H263" i="14" s="1"/>
  <c r="G260" i="14"/>
  <c r="G263" i="14" s="1"/>
  <c r="F260" i="14"/>
  <c r="F263" i="14" s="1"/>
  <c r="E260" i="14"/>
  <c r="D251" i="14"/>
  <c r="AF250" i="14"/>
  <c r="AE250" i="14"/>
  <c r="AD250" i="14"/>
  <c r="AC250" i="14"/>
  <c r="AB250" i="14"/>
  <c r="AA250" i="14"/>
  <c r="Z250" i="14"/>
  <c r="Y250" i="14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AF249" i="14"/>
  <c r="AE249" i="14"/>
  <c r="AD249" i="14"/>
  <c r="AC249" i="14"/>
  <c r="AB249" i="14"/>
  <c r="AA249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AF248" i="14"/>
  <c r="AE248" i="14"/>
  <c r="AD248" i="14"/>
  <c r="AC248" i="14"/>
  <c r="AB248" i="14"/>
  <c r="AA248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AF247" i="14"/>
  <c r="AE247" i="14"/>
  <c r="AD247" i="14"/>
  <c r="AC247" i="14"/>
  <c r="AB247" i="14"/>
  <c r="AA247" i="14"/>
  <c r="Z247" i="14"/>
  <c r="Y247" i="14"/>
  <c r="X247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AF246" i="14"/>
  <c r="AE246" i="14"/>
  <c r="AD246" i="14"/>
  <c r="AC246" i="14"/>
  <c r="AB246" i="14"/>
  <c r="AA246" i="14"/>
  <c r="Z246" i="14"/>
  <c r="Y246" i="14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AF245" i="14"/>
  <c r="AE245" i="14"/>
  <c r="AD245" i="14"/>
  <c r="AC245" i="14"/>
  <c r="AB245" i="14"/>
  <c r="AA245" i="14"/>
  <c r="Z245" i="14"/>
  <c r="Y245" i="14"/>
  <c r="X245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AF244" i="14"/>
  <c r="AE244" i="14"/>
  <c r="AD244" i="14"/>
  <c r="AC244" i="14"/>
  <c r="AB244" i="14"/>
  <c r="AA244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AF243" i="14"/>
  <c r="AE243" i="14"/>
  <c r="AD243" i="14"/>
  <c r="AC243" i="14"/>
  <c r="AB243" i="14"/>
  <c r="AA243" i="14"/>
  <c r="Z243" i="14"/>
  <c r="Y243" i="14"/>
  <c r="X243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AF242" i="14"/>
  <c r="AE242" i="14"/>
  <c r="AD242" i="14"/>
  <c r="AC242" i="14"/>
  <c r="AB242" i="14"/>
  <c r="AA242" i="14"/>
  <c r="Z242" i="14"/>
  <c r="Y242" i="14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AI235" i="14"/>
  <c r="U233" i="14"/>
  <c r="T233" i="14"/>
  <c r="L233" i="14"/>
  <c r="D233" i="14"/>
  <c r="AF232" i="14"/>
  <c r="AE232" i="14"/>
  <c r="AD232" i="14"/>
  <c r="AC232" i="14"/>
  <c r="AB232" i="14"/>
  <c r="AA232" i="14"/>
  <c r="Z232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AG232" i="14" s="1"/>
  <c r="AH232" i="14" s="1"/>
  <c r="AF231" i="14"/>
  <c r="AE231" i="14"/>
  <c r="AD231" i="14"/>
  <c r="AC231" i="14"/>
  <c r="AB231" i="14"/>
  <c r="AA231" i="14"/>
  <c r="Z231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AG231" i="14" s="1"/>
  <c r="AH231" i="14" s="1"/>
  <c r="H231" i="14"/>
  <c r="G231" i="14"/>
  <c r="F231" i="14"/>
  <c r="E231" i="14"/>
  <c r="AF230" i="14"/>
  <c r="AE230" i="14"/>
  <c r="AE233" i="14" s="1"/>
  <c r="AD230" i="14"/>
  <c r="AC230" i="14"/>
  <c r="AB230" i="14"/>
  <c r="AA230" i="14"/>
  <c r="Z230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G233" i="14" s="1"/>
  <c r="F230" i="14"/>
  <c r="AG230" i="14" s="1"/>
  <c r="AH230" i="14" s="1"/>
  <c r="E230" i="14"/>
  <c r="AF229" i="14"/>
  <c r="AE229" i="14"/>
  <c r="AD229" i="14"/>
  <c r="AC229" i="14"/>
  <c r="AB229" i="14"/>
  <c r="AA229" i="14"/>
  <c r="Z229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AG229" i="14" s="1"/>
  <c r="AH229" i="14" s="1"/>
  <c r="AF228" i="14"/>
  <c r="AF233" i="14" s="1"/>
  <c r="AE228" i="14"/>
  <c r="AD228" i="14"/>
  <c r="AC228" i="14"/>
  <c r="AB228" i="14"/>
  <c r="AA228" i="14"/>
  <c r="Z228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AG228" i="14" s="1"/>
  <c r="AH228" i="14" s="1"/>
  <c r="G228" i="14"/>
  <c r="F228" i="14"/>
  <c r="E228" i="14"/>
  <c r="AF227" i="14"/>
  <c r="AE227" i="14"/>
  <c r="AD227" i="14"/>
  <c r="AC227" i="14"/>
  <c r="AB227" i="14"/>
  <c r="AA227" i="14"/>
  <c r="Z227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AF226" i="14"/>
  <c r="AE226" i="14"/>
  <c r="AD226" i="14"/>
  <c r="AC226" i="14"/>
  <c r="AB226" i="14"/>
  <c r="AA226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AG226" i="14" s="1"/>
  <c r="AF225" i="14"/>
  <c r="AE225" i="14"/>
  <c r="AD225" i="14"/>
  <c r="AC225" i="14"/>
  <c r="AB225" i="14"/>
  <c r="AA225" i="14"/>
  <c r="Z225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AF224" i="14"/>
  <c r="AE224" i="14"/>
  <c r="AD224" i="14"/>
  <c r="AC224" i="14"/>
  <c r="AB224" i="14"/>
  <c r="AA224" i="14"/>
  <c r="Z224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AG224" i="14" s="1"/>
  <c r="AF223" i="14"/>
  <c r="AE223" i="14"/>
  <c r="AD223" i="14"/>
  <c r="AC223" i="14"/>
  <c r="AB223" i="14"/>
  <c r="AA223" i="14"/>
  <c r="Z223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AF222" i="14"/>
  <c r="AE222" i="14"/>
  <c r="AD222" i="14"/>
  <c r="AC222" i="14"/>
  <c r="AB222" i="14"/>
  <c r="AA222" i="14"/>
  <c r="Z222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AG222" i="14" s="1"/>
  <c r="AF221" i="14"/>
  <c r="AE221" i="14"/>
  <c r="AD221" i="14"/>
  <c r="AC221" i="14"/>
  <c r="AB221" i="14"/>
  <c r="AB233" i="14" s="1"/>
  <c r="AA221" i="14"/>
  <c r="AA233" i="14" s="1"/>
  <c r="Z221" i="14"/>
  <c r="Z233" i="14" s="1"/>
  <c r="Y221" i="14"/>
  <c r="X221" i="14"/>
  <c r="W221" i="14"/>
  <c r="V221" i="14"/>
  <c r="U221" i="14"/>
  <c r="T221" i="14"/>
  <c r="S221" i="14"/>
  <c r="S233" i="14" s="1"/>
  <c r="R221" i="14"/>
  <c r="R233" i="14" s="1"/>
  <c r="Q221" i="14"/>
  <c r="P221" i="14"/>
  <c r="O221" i="14"/>
  <c r="N221" i="14"/>
  <c r="M221" i="14"/>
  <c r="L221" i="14"/>
  <c r="K221" i="14"/>
  <c r="K233" i="14" s="1"/>
  <c r="J221" i="14"/>
  <c r="J233" i="14" s="1"/>
  <c r="I221" i="14"/>
  <c r="H221" i="14"/>
  <c r="G221" i="14"/>
  <c r="F221" i="14"/>
  <c r="E221" i="14"/>
  <c r="AA213" i="14"/>
  <c r="S213" i="14"/>
  <c r="K213" i="14"/>
  <c r="D213" i="14"/>
  <c r="AJ214" i="14" s="1"/>
  <c r="AF212" i="14"/>
  <c r="AE212" i="14"/>
  <c r="AD212" i="14"/>
  <c r="AC212" i="14"/>
  <c r="AB212" i="14"/>
  <c r="AA212" i="14"/>
  <c r="Z212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AG212" i="14" s="1"/>
  <c r="AH212" i="14" s="1"/>
  <c r="AF211" i="14"/>
  <c r="AE211" i="14"/>
  <c r="AD211" i="14"/>
  <c r="AC211" i="14"/>
  <c r="AB211" i="14"/>
  <c r="AA211" i="14"/>
  <c r="Z211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AF210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AF209" i="14"/>
  <c r="AE209" i="14"/>
  <c r="AD209" i="14"/>
  <c r="AC209" i="14"/>
  <c r="AB209" i="14"/>
  <c r="AA209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AF208" i="14"/>
  <c r="AE208" i="14"/>
  <c r="AD208" i="14"/>
  <c r="AC208" i="14"/>
  <c r="AB208" i="14"/>
  <c r="AA208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AF207" i="14"/>
  <c r="AE207" i="14"/>
  <c r="AD207" i="14"/>
  <c r="AC207" i="14"/>
  <c r="AB207" i="14"/>
  <c r="AA207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AF206" i="14"/>
  <c r="AE206" i="14"/>
  <c r="AD206" i="14"/>
  <c r="AC206" i="14"/>
  <c r="AB206" i="14"/>
  <c r="AA206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AG206" i="14" s="1"/>
  <c r="AH206" i="14" s="1"/>
  <c r="AF205" i="14"/>
  <c r="AE205" i="14"/>
  <c r="AD205" i="14"/>
  <c r="AC205" i="14"/>
  <c r="AB205" i="14"/>
  <c r="AA205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AG205" i="14" s="1"/>
  <c r="AH205" i="14" s="1"/>
  <c r="AF204" i="14"/>
  <c r="AE204" i="14"/>
  <c r="AD204" i="14"/>
  <c r="AC204" i="14"/>
  <c r="AB204" i="14"/>
  <c r="AA204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AF203" i="14"/>
  <c r="AE203" i="14"/>
  <c r="AD203" i="14"/>
  <c r="AC203" i="14"/>
  <c r="AB203" i="14"/>
  <c r="AA203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AF202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AF201" i="14"/>
  <c r="AE201" i="14"/>
  <c r="AD201" i="14"/>
  <c r="AC201" i="14"/>
  <c r="AB201" i="14"/>
  <c r="AA201" i="14"/>
  <c r="Z201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AF200" i="14"/>
  <c r="AE200" i="14"/>
  <c r="AD200" i="14"/>
  <c r="AC200" i="14"/>
  <c r="AB200" i="14"/>
  <c r="AA200" i="14"/>
  <c r="Z200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AF199" i="14"/>
  <c r="AE199" i="14"/>
  <c r="AD199" i="14"/>
  <c r="AC199" i="14"/>
  <c r="AB199" i="14"/>
  <c r="AA199" i="14"/>
  <c r="Z199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AF198" i="14"/>
  <c r="AE198" i="14"/>
  <c r="AD198" i="14"/>
  <c r="AC198" i="14"/>
  <c r="AB198" i="14"/>
  <c r="AA198" i="14"/>
  <c r="Z198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AG198" i="14" s="1"/>
  <c r="AH198" i="14" s="1"/>
  <c r="AF197" i="14"/>
  <c r="AE197" i="14"/>
  <c r="AD197" i="14"/>
  <c r="AC197" i="14"/>
  <c r="AB197" i="14"/>
  <c r="AA197" i="14"/>
  <c r="Z197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AG197" i="14" s="1"/>
  <c r="AH197" i="14" s="1"/>
  <c r="AF196" i="14"/>
  <c r="AE196" i="14"/>
  <c r="AD196" i="14"/>
  <c r="AC196" i="14"/>
  <c r="AB196" i="14"/>
  <c r="AA196" i="14"/>
  <c r="Z196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AF195" i="14"/>
  <c r="AE195" i="14"/>
  <c r="AD195" i="14"/>
  <c r="AC195" i="14"/>
  <c r="AB195" i="14"/>
  <c r="AA195" i="14"/>
  <c r="Z195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AF194" i="14"/>
  <c r="AE194" i="14"/>
  <c r="AD194" i="14"/>
  <c r="AC194" i="14"/>
  <c r="AB194" i="14"/>
  <c r="AA194" i="14"/>
  <c r="Z194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AF193" i="14"/>
  <c r="AE193" i="14"/>
  <c r="AD193" i="14"/>
  <c r="AC193" i="14"/>
  <c r="AB193" i="14"/>
  <c r="AA193" i="14"/>
  <c r="Z193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AF192" i="14"/>
  <c r="AE192" i="14"/>
  <c r="AD192" i="14"/>
  <c r="AC192" i="14"/>
  <c r="AB192" i="14"/>
  <c r="AB213" i="14" s="1"/>
  <c r="AA192" i="14"/>
  <c r="Z192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AF191" i="14"/>
  <c r="AE191" i="14"/>
  <c r="AD191" i="14"/>
  <c r="AC191" i="14"/>
  <c r="AB191" i="14"/>
  <c r="AA191" i="14"/>
  <c r="Z191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AF190" i="14"/>
  <c r="AE190" i="14"/>
  <c r="AD190" i="14"/>
  <c r="AC190" i="14"/>
  <c r="AB190" i="14"/>
  <c r="AA190" i="14"/>
  <c r="Z190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AF189" i="14"/>
  <c r="AF213" i="14" s="1"/>
  <c r="AE189" i="14"/>
  <c r="AD189" i="14"/>
  <c r="AC189" i="14"/>
  <c r="AB189" i="14"/>
  <c r="AA189" i="14"/>
  <c r="Z189" i="14"/>
  <c r="Z213" i="14" s="1"/>
  <c r="Y189" i="14"/>
  <c r="Y213" i="14" s="1"/>
  <c r="X189" i="14"/>
  <c r="X213" i="14" s="1"/>
  <c r="W189" i="14"/>
  <c r="V189" i="14"/>
  <c r="U189" i="14"/>
  <c r="T189" i="14"/>
  <c r="S189" i="14"/>
  <c r="R189" i="14"/>
  <c r="R213" i="14" s="1"/>
  <c r="Q189" i="14"/>
  <c r="Q213" i="14" s="1"/>
  <c r="P189" i="14"/>
  <c r="P213" i="14" s="1"/>
  <c r="O189" i="14"/>
  <c r="N189" i="14"/>
  <c r="M189" i="14"/>
  <c r="L189" i="14"/>
  <c r="K189" i="14"/>
  <c r="J189" i="14"/>
  <c r="J213" i="14" s="1"/>
  <c r="I189" i="14"/>
  <c r="I213" i="14" s="1"/>
  <c r="H189" i="14"/>
  <c r="H213" i="14" s="1"/>
  <c r="G189" i="14"/>
  <c r="F189" i="14"/>
  <c r="E189" i="14"/>
  <c r="AI185" i="14"/>
  <c r="AI184" i="14"/>
  <c r="AI182" i="14"/>
  <c r="AH182" i="14"/>
  <c r="D181" i="14"/>
  <c r="AH184" i="14" s="1"/>
  <c r="AE180" i="14"/>
  <c r="AD180" i="14"/>
  <c r="AC180" i="14"/>
  <c r="AB180" i="14"/>
  <c r="AA180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AF180" i="14" s="1"/>
  <c r="G180" i="14"/>
  <c r="F180" i="14"/>
  <c r="E180" i="14"/>
  <c r="AE179" i="14"/>
  <c r="AD179" i="14"/>
  <c r="AC179" i="14"/>
  <c r="AB179" i="14"/>
  <c r="AA179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AF179" i="14" s="1"/>
  <c r="F179" i="14"/>
  <c r="E179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AF178" i="14" s="1"/>
  <c r="E178" i="14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AF177" i="14" s="1"/>
  <c r="F177" i="14"/>
  <c r="E177" i="14"/>
  <c r="AE176" i="14"/>
  <c r="AD176" i="14"/>
  <c r="AC176" i="14"/>
  <c r="AB176" i="14"/>
  <c r="AA176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AF176" i="14" s="1"/>
  <c r="AE175" i="14"/>
  <c r="AD175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AE174" i="14"/>
  <c r="AD174" i="14"/>
  <c r="AC174" i="14"/>
  <c r="AB174" i="14"/>
  <c r="AA174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AE172" i="14"/>
  <c r="AD172" i="14"/>
  <c r="AC172" i="14"/>
  <c r="AB172" i="14"/>
  <c r="AA172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AF172" i="14" s="1"/>
  <c r="G172" i="14"/>
  <c r="F172" i="14"/>
  <c r="E172" i="14"/>
  <c r="AE171" i="14"/>
  <c r="AD171" i="14"/>
  <c r="AC171" i="14"/>
  <c r="AB171" i="14"/>
  <c r="AA171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AF171" i="14" s="1"/>
  <c r="F171" i="14"/>
  <c r="E171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AF170" i="14" s="1"/>
  <c r="E170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Q169" i="14"/>
  <c r="P169" i="14"/>
  <c r="P181" i="14" s="1"/>
  <c r="P182" i="14" s="1"/>
  <c r="P183" i="14" s="1"/>
  <c r="O169" i="14"/>
  <c r="N169" i="14"/>
  <c r="M169" i="14"/>
  <c r="L169" i="14"/>
  <c r="K169" i="14"/>
  <c r="J169" i="14"/>
  <c r="I169" i="14"/>
  <c r="H169" i="14"/>
  <c r="G169" i="14"/>
  <c r="AF169" i="14" s="1"/>
  <c r="F169" i="14"/>
  <c r="E169" i="14"/>
  <c r="AE168" i="14"/>
  <c r="AD168" i="14"/>
  <c r="AC168" i="14"/>
  <c r="AB168" i="14"/>
  <c r="AA168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AF168" i="14" s="1"/>
  <c r="AE167" i="14"/>
  <c r="AD167" i="14"/>
  <c r="AC167" i="14"/>
  <c r="AB167" i="14"/>
  <c r="AA167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AE166" i="14"/>
  <c r="AD166" i="14"/>
  <c r="AC166" i="14"/>
  <c r="AB166" i="14"/>
  <c r="AA166" i="14"/>
  <c r="AA181" i="14" s="1"/>
  <c r="AA182" i="14" s="1"/>
  <c r="AA183" i="14" s="1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K181" i="14" s="1"/>
  <c r="K182" i="14" s="1"/>
  <c r="K183" i="14" s="1"/>
  <c r="J166" i="14"/>
  <c r="I166" i="14"/>
  <c r="H166" i="14"/>
  <c r="G166" i="14"/>
  <c r="F166" i="14"/>
  <c r="E166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AB158" i="14"/>
  <c r="L158" i="14"/>
  <c r="D158" i="14"/>
  <c r="AI161" i="14" s="1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T158" i="14" s="1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AE156" i="14"/>
  <c r="AD156" i="14"/>
  <c r="AC156" i="14"/>
  <c r="AB156" i="14"/>
  <c r="AA156" i="14"/>
  <c r="AA158" i="14" s="1"/>
  <c r="Z156" i="14"/>
  <c r="Y156" i="14"/>
  <c r="X156" i="14"/>
  <c r="W156" i="14"/>
  <c r="V156" i="14"/>
  <c r="U156" i="14"/>
  <c r="T156" i="14"/>
  <c r="S156" i="14"/>
  <c r="S158" i="14" s="1"/>
  <c r="R156" i="14"/>
  <c r="Q156" i="14"/>
  <c r="P156" i="14"/>
  <c r="O156" i="14"/>
  <c r="N156" i="14"/>
  <c r="M156" i="14"/>
  <c r="L156" i="14"/>
  <c r="K156" i="14"/>
  <c r="K158" i="14" s="1"/>
  <c r="J156" i="14"/>
  <c r="I156" i="14"/>
  <c r="H156" i="14"/>
  <c r="G156" i="14"/>
  <c r="F156" i="14"/>
  <c r="E156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AF154" i="14" s="1"/>
  <c r="AG154" i="14" s="1"/>
  <c r="G154" i="14"/>
  <c r="F154" i="14"/>
  <c r="E154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AF153" i="14" s="1"/>
  <c r="AG153" i="14" s="1"/>
  <c r="F153" i="14"/>
  <c r="E153" i="14"/>
  <c r="AE152" i="14"/>
  <c r="AD152" i="14"/>
  <c r="AC152" i="14"/>
  <c r="AB152" i="14"/>
  <c r="AA152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F152" i="14"/>
  <c r="AF152" i="14" s="1"/>
  <c r="AG152" i="14" s="1"/>
  <c r="E152" i="14"/>
  <c r="AE151" i="14"/>
  <c r="AE158" i="14" s="1"/>
  <c r="AD151" i="14"/>
  <c r="AC151" i="14"/>
  <c r="AC158" i="14" s="1"/>
  <c r="AB151" i="14"/>
  <c r="AA151" i="14"/>
  <c r="Z151" i="14"/>
  <c r="Z158" i="14" s="1"/>
  <c r="Y151" i="14"/>
  <c r="X151" i="14"/>
  <c r="X158" i="14" s="1"/>
  <c r="W151" i="14"/>
  <c r="W158" i="14" s="1"/>
  <c r="V151" i="14"/>
  <c r="U151" i="14"/>
  <c r="U158" i="14" s="1"/>
  <c r="T151" i="14"/>
  <c r="S151" i="14"/>
  <c r="R151" i="14"/>
  <c r="R158" i="14" s="1"/>
  <c r="Q151" i="14"/>
  <c r="P151" i="14"/>
  <c r="P158" i="14" s="1"/>
  <c r="O151" i="14"/>
  <c r="O158" i="14" s="1"/>
  <c r="N151" i="14"/>
  <c r="M151" i="14"/>
  <c r="M158" i="14" s="1"/>
  <c r="L151" i="14"/>
  <c r="K151" i="14"/>
  <c r="J151" i="14"/>
  <c r="J158" i="14" s="1"/>
  <c r="I151" i="14"/>
  <c r="H151" i="14"/>
  <c r="H158" i="14" s="1"/>
  <c r="G151" i="14"/>
  <c r="G158" i="14" s="1"/>
  <c r="F151" i="14"/>
  <c r="E151" i="14"/>
  <c r="AH143" i="14"/>
  <c r="D141" i="14"/>
  <c r="AG138" i="14" s="1"/>
  <c r="AG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AG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AE139" i="14" s="1"/>
  <c r="AF139" i="14" s="1"/>
  <c r="E139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AG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AE136" i="14" s="1"/>
  <c r="AF136" i="14" s="1"/>
  <c r="E136" i="14"/>
  <c r="AG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AE135" i="14" s="1"/>
  <c r="AF135" i="14" s="1"/>
  <c r="F135" i="14"/>
  <c r="E135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AG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AG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AE131" i="14" s="1"/>
  <c r="AF131" i="14" s="1"/>
  <c r="E131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AE130" i="14" s="1"/>
  <c r="AF130" i="14" s="1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AG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AG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AE127" i="14" s="1"/>
  <c r="AF127" i="14" s="1"/>
  <c r="E127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AE126" i="14" s="1"/>
  <c r="AF126" i="14" s="1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AG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AE124" i="14" s="1"/>
  <c r="AH124" i="14" s="1"/>
  <c r="E124" i="14"/>
  <c r="AG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AE123" i="14" s="1"/>
  <c r="AF123" i="14" s="1"/>
  <c r="E123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AE122" i="14" s="1"/>
  <c r="AF122" i="14" s="1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AG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AG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AE119" i="14" s="1"/>
  <c r="AF119" i="14" s="1"/>
  <c r="E119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AE118" i="14" s="1"/>
  <c r="AF118" i="14" s="1"/>
  <c r="F118" i="14"/>
  <c r="E118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AE117" i="14" s="1"/>
  <c r="AF117" i="14" s="1"/>
  <c r="AG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AG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AE115" i="14" s="1"/>
  <c r="AF115" i="14" s="1"/>
  <c r="E115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AE114" i="14" s="1"/>
  <c r="AF114" i="14" s="1"/>
  <c r="F114" i="14"/>
  <c r="E114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AG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AG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AE111" i="14" s="1"/>
  <c r="AF111" i="14" s="1"/>
  <c r="E111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AE110" i="14" s="1"/>
  <c r="AF110" i="14" s="1"/>
  <c r="F110" i="14"/>
  <c r="E110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AG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AG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AE107" i="14" s="1"/>
  <c r="AF107" i="14" s="1"/>
  <c r="E107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AE106" i="14" s="1"/>
  <c r="AF106" i="14" s="1"/>
  <c r="F106" i="14"/>
  <c r="E106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AG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AG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AE103" i="14" s="1"/>
  <c r="AF103" i="14" s="1"/>
  <c r="E103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AE102" i="14" s="1"/>
  <c r="AF102" i="14" s="1"/>
  <c r="F102" i="14"/>
  <c r="E102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AG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AG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AE99" i="14" s="1"/>
  <c r="AF99" i="14" s="1"/>
  <c r="E99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AE98" i="14" s="1"/>
  <c r="AF98" i="14" s="1"/>
  <c r="F98" i="14"/>
  <c r="E98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AG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AG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AE95" i="14" s="1"/>
  <c r="AF95" i="14" s="1"/>
  <c r="E95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AE94" i="14" s="1"/>
  <c r="AF94" i="14" s="1"/>
  <c r="F94" i="14"/>
  <c r="E94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AG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AG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AE91" i="14" s="1"/>
  <c r="AF91" i="14" s="1"/>
  <c r="E91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AE90" i="14" s="1"/>
  <c r="AF90" i="14" s="1"/>
  <c r="F90" i="14"/>
  <c r="E90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AG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AG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AE87" i="14" s="1"/>
  <c r="AF87" i="14" s="1"/>
  <c r="E87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AE86" i="14" s="1"/>
  <c r="AF86" i="14" s="1"/>
  <c r="F86" i="14"/>
  <c r="E86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AG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AG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AE83" i="14" s="1"/>
  <c r="AF83" i="14" s="1"/>
  <c r="E83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AE82" i="14" s="1"/>
  <c r="AF82" i="14" s="1"/>
  <c r="F82" i="14"/>
  <c r="E82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AG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AG79" i="14"/>
  <c r="AE79" i="14"/>
  <c r="AF79" i="14" s="1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AE78" i="14" s="1"/>
  <c r="AF78" i="14" s="1"/>
  <c r="F78" i="14"/>
  <c r="E78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AG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AG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AE75" i="14" s="1"/>
  <c r="AF75" i="14" s="1"/>
  <c r="E75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AE74" i="14" s="1"/>
  <c r="AF74" i="14" s="1"/>
  <c r="F74" i="14"/>
  <c r="E74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AG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AG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AE71" i="14" s="1"/>
  <c r="AF71" i="14" s="1"/>
  <c r="E71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AE70" i="14" s="1"/>
  <c r="AF70" i="14" s="1"/>
  <c r="F70" i="14"/>
  <c r="E70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AG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AG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AE67" i="14" s="1"/>
  <c r="AF67" i="14" s="1"/>
  <c r="E67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AE66" i="14" s="1"/>
  <c r="AF66" i="14" s="1"/>
  <c r="F66" i="14"/>
  <c r="E66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AG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AG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AE63" i="14" s="1"/>
  <c r="AF63" i="14" s="1"/>
  <c r="E63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AE62" i="14" s="1"/>
  <c r="AF62" i="14" s="1"/>
  <c r="F62" i="14"/>
  <c r="E62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AG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AG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AE59" i="14" s="1"/>
  <c r="AF59" i="14" s="1"/>
  <c r="E59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AE58" i="14" s="1"/>
  <c r="F58" i="14"/>
  <c r="E58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AG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AG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AE55" i="14" s="1"/>
  <c r="AF55" i="14" s="1"/>
  <c r="E55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AE54" i="14" s="1"/>
  <c r="F54" i="14"/>
  <c r="E54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AG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AG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AE51" i="14" s="1"/>
  <c r="AF51" i="14" s="1"/>
  <c r="E51" i="14"/>
  <c r="AG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AE50" i="14" s="1"/>
  <c r="AG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AG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AG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AE47" i="14" s="1"/>
  <c r="E47" i="14"/>
  <c r="AG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E46" i="14" s="1"/>
  <c r="AG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AG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AG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AE43" i="14" s="1"/>
  <c r="E43" i="14"/>
  <c r="AG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AE42" i="14" s="1"/>
  <c r="AG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AG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AE40" i="14" s="1"/>
  <c r="AH40" i="14" s="1"/>
  <c r="AG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AE39" i="14" s="1"/>
  <c r="F39" i="14"/>
  <c r="E39" i="14"/>
  <c r="AG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AE38" i="14" s="1"/>
  <c r="E38" i="14"/>
  <c r="AG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AG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AG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AE35" i="14" s="1"/>
  <c r="E35" i="14"/>
  <c r="AG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AE34" i="14" s="1"/>
  <c r="AG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AG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AG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AE31" i="14" s="1"/>
  <c r="E31" i="14"/>
  <c r="AG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AE30" i="14" s="1"/>
  <c r="AG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AG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AG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AE27" i="14" s="1"/>
  <c r="E27" i="14"/>
  <c r="AG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AE26" i="14" s="1"/>
  <c r="AG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AG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AE24" i="14" s="1"/>
  <c r="AH24" i="14" s="1"/>
  <c r="AG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AE23" i="14" s="1"/>
  <c r="F23" i="14"/>
  <c r="E23" i="14"/>
  <c r="AG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E22" i="14" s="1"/>
  <c r="F22" i="14"/>
  <c r="E22" i="14"/>
  <c r="AG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AG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AG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AE19" i="14" s="1"/>
  <c r="E19" i="14"/>
  <c r="AG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AE18" i="14" s="1"/>
  <c r="AG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AE17" i="14" s="1"/>
  <c r="AG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AE16" i="14" s="1"/>
  <c r="F16" i="14"/>
  <c r="E16" i="14"/>
  <c r="AG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AE15" i="14" s="1"/>
  <c r="AG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AE14" i="14" s="1"/>
  <c r="AG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AE13" i="14" s="1"/>
  <c r="AG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E12" i="14" s="1"/>
  <c r="F12" i="14"/>
  <c r="E12" i="14"/>
  <c r="AG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AE11" i="14" s="1"/>
  <c r="AG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AE10" i="14" s="1"/>
  <c r="AG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AE9" i="14" s="1"/>
  <c r="AG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E8" i="14" s="1"/>
  <c r="F8" i="14"/>
  <c r="E8" i="14"/>
  <c r="AG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AE7" i="14" s="1"/>
  <c r="AG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AE6" i="14" s="1"/>
  <c r="AG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AE5" i="14" s="1"/>
  <c r="AG4" i="14"/>
  <c r="AD4" i="14"/>
  <c r="AC4" i="14"/>
  <c r="AB4" i="14"/>
  <c r="AA4" i="14"/>
  <c r="Z4" i="14"/>
  <c r="Z141" i="14" s="1"/>
  <c r="Y4" i="14"/>
  <c r="Y141" i="14" s="1"/>
  <c r="X4" i="14"/>
  <c r="W4" i="14"/>
  <c r="W141" i="14" s="1"/>
  <c r="V4" i="14"/>
  <c r="U4" i="14"/>
  <c r="T4" i="14"/>
  <c r="S4" i="14"/>
  <c r="R4" i="14"/>
  <c r="R141" i="14" s="1"/>
  <c r="Q4" i="14"/>
  <c r="Q141" i="14" s="1"/>
  <c r="P4" i="14"/>
  <c r="O4" i="14"/>
  <c r="O141" i="14" s="1"/>
  <c r="N4" i="14"/>
  <c r="M4" i="14"/>
  <c r="L4" i="14"/>
  <c r="K4" i="14"/>
  <c r="J4" i="14"/>
  <c r="J141" i="14" s="1"/>
  <c r="I4" i="14"/>
  <c r="I141" i="14" s="1"/>
  <c r="H4" i="14"/>
  <c r="G4" i="14"/>
  <c r="G141" i="14" s="1"/>
  <c r="F4" i="14"/>
  <c r="E350" i="14" l="1"/>
  <c r="M350" i="14"/>
  <c r="U350" i="14"/>
  <c r="AC350" i="14"/>
  <c r="K350" i="14"/>
  <c r="S350" i="14"/>
  <c r="AA350" i="14"/>
  <c r="L350" i="14"/>
  <c r="T350" i="14"/>
  <c r="AB350" i="14"/>
  <c r="AG322" i="14"/>
  <c r="AH322" i="14" s="1"/>
  <c r="AH105" i="15"/>
  <c r="AH122" i="15"/>
  <c r="AF118" i="15"/>
  <c r="AH86" i="15"/>
  <c r="AH92" i="15"/>
  <c r="AF92" i="15"/>
  <c r="AH99" i="15"/>
  <c r="AF16" i="15"/>
  <c r="AH16" i="15"/>
  <c r="AF14" i="15"/>
  <c r="AH14" i="15"/>
  <c r="AF50" i="15"/>
  <c r="AH50" i="15"/>
  <c r="AF6" i="15"/>
  <c r="AH6" i="15"/>
  <c r="AF42" i="15"/>
  <c r="AH42" i="15"/>
  <c r="AF95" i="15"/>
  <c r="AH95" i="15"/>
  <c r="AH47" i="15"/>
  <c r="AF47" i="15"/>
  <c r="AF35" i="15"/>
  <c r="AH35" i="15"/>
  <c r="AH7" i="15"/>
  <c r="AF7" i="15"/>
  <c r="AH121" i="15"/>
  <c r="AF121" i="15"/>
  <c r="AH21" i="15"/>
  <c r="AF21" i="15"/>
  <c r="AH11" i="15"/>
  <c r="AF11" i="15"/>
  <c r="AF5" i="15"/>
  <c r="AH5" i="15"/>
  <c r="AH49" i="15"/>
  <c r="AF49" i="15"/>
  <c r="AH19" i="15"/>
  <c r="AF19" i="15"/>
  <c r="AF98" i="15"/>
  <c r="AH98" i="15"/>
  <c r="AF33" i="15"/>
  <c r="AH33" i="15"/>
  <c r="AF46" i="15"/>
  <c r="AH46" i="15"/>
  <c r="AH119" i="15"/>
  <c r="AF119" i="15"/>
  <c r="AF41" i="15"/>
  <c r="AH41" i="15"/>
  <c r="AF13" i="15"/>
  <c r="AH13" i="15"/>
  <c r="AF103" i="15"/>
  <c r="AH103" i="15"/>
  <c r="D130" i="15"/>
  <c r="AE129" i="15"/>
  <c r="AH129" i="15" s="1"/>
  <c r="K251" i="14"/>
  <c r="S251" i="14"/>
  <c r="AA251" i="14"/>
  <c r="F251" i="14"/>
  <c r="V251" i="14"/>
  <c r="M251" i="14"/>
  <c r="J251" i="14"/>
  <c r="R251" i="14"/>
  <c r="Z251" i="14"/>
  <c r="L251" i="14"/>
  <c r="T251" i="14"/>
  <c r="AB251" i="14"/>
  <c r="U251" i="14"/>
  <c r="N251" i="14"/>
  <c r="AD251" i="14"/>
  <c r="AG243" i="14"/>
  <c r="AH243" i="14" s="1"/>
  <c r="AG245" i="14"/>
  <c r="AH245" i="14" s="1"/>
  <c r="E251" i="14"/>
  <c r="AC251" i="14"/>
  <c r="AG246" i="14"/>
  <c r="AH246" i="14" s="1"/>
  <c r="AG248" i="14"/>
  <c r="AH248" i="14" s="1"/>
  <c r="AG250" i="14"/>
  <c r="AH250" i="14" s="1"/>
  <c r="AF5" i="14"/>
  <c r="AH5" i="14"/>
  <c r="AH23" i="14"/>
  <c r="AF23" i="14"/>
  <c r="AH7" i="14"/>
  <c r="AF7" i="14"/>
  <c r="AH15" i="14"/>
  <c r="AF15" i="14"/>
  <c r="AF58" i="14"/>
  <c r="AH58" i="14"/>
  <c r="AF10" i="14"/>
  <c r="AH10" i="14"/>
  <c r="AF12" i="14"/>
  <c r="AH12" i="14"/>
  <c r="AF18" i="14"/>
  <c r="AH18" i="14"/>
  <c r="AF26" i="14"/>
  <c r="AH26" i="14"/>
  <c r="AH31" i="14"/>
  <c r="AF31" i="14"/>
  <c r="AF34" i="14"/>
  <c r="AH34" i="14"/>
  <c r="AF42" i="14"/>
  <c r="AH42" i="14"/>
  <c r="AH47" i="14"/>
  <c r="AF47" i="14"/>
  <c r="AF50" i="14"/>
  <c r="AH50" i="14"/>
  <c r="AI172" i="14"/>
  <c r="AH172" i="14"/>
  <c r="AG172" i="14"/>
  <c r="AI180" i="14"/>
  <c r="AH180" i="14"/>
  <c r="AG180" i="14"/>
  <c r="AH274" i="14"/>
  <c r="AJ274" i="14"/>
  <c r="AI274" i="14"/>
  <c r="AH11" i="14"/>
  <c r="AF11" i="14"/>
  <c r="AF6" i="14"/>
  <c r="AH6" i="14"/>
  <c r="AH8" i="14"/>
  <c r="AF8" i="14"/>
  <c r="AF14" i="14"/>
  <c r="AH14" i="14"/>
  <c r="AF16" i="14"/>
  <c r="AH16" i="14"/>
  <c r="AH19" i="14"/>
  <c r="AF19" i="14"/>
  <c r="AH27" i="14"/>
  <c r="AF27" i="14"/>
  <c r="AF30" i="14"/>
  <c r="AH30" i="14"/>
  <c r="AH35" i="14"/>
  <c r="AF35" i="14"/>
  <c r="AH43" i="14"/>
  <c r="AF43" i="14"/>
  <c r="AF46" i="14"/>
  <c r="AH46" i="14"/>
  <c r="AF13" i="14"/>
  <c r="AH13" i="14"/>
  <c r="AH39" i="14"/>
  <c r="AF39" i="14"/>
  <c r="AF9" i="14"/>
  <c r="AH9" i="14"/>
  <c r="AF17" i="14"/>
  <c r="AH17" i="14"/>
  <c r="AF38" i="14"/>
  <c r="AH38" i="14"/>
  <c r="AF54" i="14"/>
  <c r="AH54" i="14"/>
  <c r="AF22" i="14"/>
  <c r="AH22" i="14"/>
  <c r="AH169" i="14"/>
  <c r="AG169" i="14"/>
  <c r="AI169" i="14"/>
  <c r="AH177" i="14"/>
  <c r="AG177" i="14"/>
  <c r="AE4" i="14"/>
  <c r="X141" i="14"/>
  <c r="AE21" i="14"/>
  <c r="AE33" i="14"/>
  <c r="AG203" i="14"/>
  <c r="AH203" i="14" s="1"/>
  <c r="AE28" i="14"/>
  <c r="AE37" i="14"/>
  <c r="AE53" i="14"/>
  <c r="E141" i="14"/>
  <c r="M141" i="14"/>
  <c r="U141" i="14"/>
  <c r="AC141" i="14"/>
  <c r="AE36" i="14"/>
  <c r="AE52" i="14"/>
  <c r="AE56" i="14"/>
  <c r="AE60" i="14"/>
  <c r="AE116" i="14"/>
  <c r="AE140" i="14"/>
  <c r="AF140" i="14" s="1"/>
  <c r="AF151" i="14"/>
  <c r="AG151" i="14" s="1"/>
  <c r="E158" i="14"/>
  <c r="S181" i="14"/>
  <c r="S182" i="14" s="1"/>
  <c r="S183" i="14" s="1"/>
  <c r="AI178" i="14"/>
  <c r="AH178" i="14"/>
  <c r="AG178" i="14"/>
  <c r="H141" i="14"/>
  <c r="AE49" i="14"/>
  <c r="X181" i="14"/>
  <c r="X182" i="14" s="1"/>
  <c r="X183" i="14" s="1"/>
  <c r="AG190" i="14"/>
  <c r="AH190" i="14" s="1"/>
  <c r="AI336" i="14"/>
  <c r="AJ336" i="14"/>
  <c r="AH336" i="14"/>
  <c r="AF24" i="14"/>
  <c r="F141" i="14"/>
  <c r="N141" i="14"/>
  <c r="V141" i="14"/>
  <c r="AD141" i="14"/>
  <c r="AE29" i="14"/>
  <c r="AE45" i="14"/>
  <c r="AE64" i="14"/>
  <c r="AE68" i="14"/>
  <c r="AE72" i="14"/>
  <c r="AE76" i="14"/>
  <c r="AE80" i="14"/>
  <c r="AE84" i="14"/>
  <c r="AE88" i="14"/>
  <c r="AE92" i="14"/>
  <c r="AE96" i="14"/>
  <c r="AE100" i="14"/>
  <c r="AE104" i="14"/>
  <c r="AE108" i="14"/>
  <c r="AE112" i="14"/>
  <c r="AE121" i="14"/>
  <c r="AE128" i="14"/>
  <c r="AE133" i="14"/>
  <c r="AE138" i="14"/>
  <c r="AF138" i="14" s="1"/>
  <c r="F158" i="14"/>
  <c r="N158" i="14"/>
  <c r="V158" i="14"/>
  <c r="AD158" i="14"/>
  <c r="AF155" i="14"/>
  <c r="AF157" i="14"/>
  <c r="AI171" i="14"/>
  <c r="AH171" i="14"/>
  <c r="AG171" i="14"/>
  <c r="AG195" i="14"/>
  <c r="AH195" i="14" s="1"/>
  <c r="F233" i="14"/>
  <c r="AF40" i="14"/>
  <c r="AE44" i="14"/>
  <c r="AE129" i="14"/>
  <c r="AE134" i="14"/>
  <c r="AF134" i="14" s="1"/>
  <c r="AF156" i="14"/>
  <c r="AG156" i="14" s="1"/>
  <c r="AE69" i="14"/>
  <c r="AE73" i="14"/>
  <c r="AE77" i="14"/>
  <c r="AE81" i="14"/>
  <c r="AE85" i="14"/>
  <c r="AE89" i="14"/>
  <c r="AE93" i="14"/>
  <c r="AE97" i="14"/>
  <c r="AE101" i="14"/>
  <c r="AE105" i="14"/>
  <c r="AE109" i="14"/>
  <c r="AE113" i="14"/>
  <c r="AH117" i="14"/>
  <c r="AF124" i="14"/>
  <c r="AH161" i="14"/>
  <c r="AH159" i="14"/>
  <c r="AI152" i="14"/>
  <c r="AI160" i="14"/>
  <c r="AI153" i="14"/>
  <c r="AH152" i="14"/>
  <c r="AI162" i="14"/>
  <c r="AH160" i="14"/>
  <c r="AI154" i="14"/>
  <c r="AH153" i="14"/>
  <c r="AH162" i="14"/>
  <c r="AI155" i="14"/>
  <c r="AH154" i="14"/>
  <c r="AH157" i="14"/>
  <c r="AI159" i="14"/>
  <c r="AI170" i="14"/>
  <c r="AH170" i="14"/>
  <c r="AG170" i="14"/>
  <c r="AG211" i="14"/>
  <c r="AH211" i="14" s="1"/>
  <c r="P141" i="14"/>
  <c r="H181" i="14"/>
  <c r="H182" i="14" s="1"/>
  <c r="H183" i="14" s="1"/>
  <c r="AI295" i="14"/>
  <c r="AH295" i="14"/>
  <c r="AJ295" i="14"/>
  <c r="AE57" i="14"/>
  <c r="AE61" i="14"/>
  <c r="AE65" i="14"/>
  <c r="K141" i="14"/>
  <c r="S141" i="14"/>
  <c r="AA141" i="14"/>
  <c r="AE20" i="14"/>
  <c r="AE32" i="14"/>
  <c r="AE48" i="14"/>
  <c r="AE120" i="14"/>
  <c r="AE132" i="14"/>
  <c r="AF132" i="14" s="1"/>
  <c r="AE137" i="14"/>
  <c r="I181" i="14"/>
  <c r="I182" i="14" s="1"/>
  <c r="I183" i="14" s="1"/>
  <c r="Q181" i="14"/>
  <c r="Q182" i="14" s="1"/>
  <c r="Q183" i="14" s="1"/>
  <c r="Y181" i="14"/>
  <c r="Y182" i="14" s="1"/>
  <c r="Y183" i="14" s="1"/>
  <c r="AI179" i="14"/>
  <c r="AH179" i="14"/>
  <c r="AG179" i="14"/>
  <c r="L213" i="14"/>
  <c r="T213" i="14"/>
  <c r="L141" i="14"/>
  <c r="T141" i="14"/>
  <c r="AB141" i="14"/>
  <c r="AE25" i="14"/>
  <c r="AE41" i="14"/>
  <c r="AE125" i="14"/>
  <c r="I158" i="14"/>
  <c r="Q158" i="14"/>
  <c r="Y158" i="14"/>
  <c r="J181" i="14"/>
  <c r="J182" i="14" s="1"/>
  <c r="J183" i="14" s="1"/>
  <c r="R181" i="14"/>
  <c r="R182" i="14" s="1"/>
  <c r="R183" i="14" s="1"/>
  <c r="Z181" i="14"/>
  <c r="Z182" i="14" s="1"/>
  <c r="Z183" i="14" s="1"/>
  <c r="AI290" i="14"/>
  <c r="AH290" i="14"/>
  <c r="AJ290" i="14"/>
  <c r="AI298" i="14"/>
  <c r="AH298" i="14"/>
  <c r="AJ298" i="14"/>
  <c r="AH62" i="14"/>
  <c r="AH66" i="14"/>
  <c r="AH70" i="14"/>
  <c r="AH74" i="14"/>
  <c r="AH78" i="14"/>
  <c r="AH82" i="14"/>
  <c r="AH86" i="14"/>
  <c r="AH90" i="14"/>
  <c r="AH94" i="14"/>
  <c r="AH98" i="14"/>
  <c r="AH102" i="14"/>
  <c r="AH106" i="14"/>
  <c r="AH110" i="14"/>
  <c r="AH114" i="14"/>
  <c r="AH118" i="14"/>
  <c r="AH122" i="14"/>
  <c r="AH126" i="14"/>
  <c r="AH130" i="14"/>
  <c r="AH134" i="14"/>
  <c r="AH138" i="14"/>
  <c r="AH145" i="14"/>
  <c r="G181" i="14"/>
  <c r="G182" i="14" s="1"/>
  <c r="G183" i="14" s="1"/>
  <c r="O181" i="14"/>
  <c r="O182" i="14" s="1"/>
  <c r="O183" i="14" s="1"/>
  <c r="W181" i="14"/>
  <c r="W182" i="14" s="1"/>
  <c r="W183" i="14" s="1"/>
  <c r="AE181" i="14"/>
  <c r="AE182" i="14" s="1"/>
  <c r="AE183" i="14" s="1"/>
  <c r="AG196" i="14"/>
  <c r="AG204" i="14"/>
  <c r="AH204" i="14" s="1"/>
  <c r="AH222" i="14"/>
  <c r="AJ222" i="14"/>
  <c r="AI222" i="14"/>
  <c r="AH224" i="14"/>
  <c r="AJ224" i="14"/>
  <c r="AI224" i="14"/>
  <c r="AH226" i="14"/>
  <c r="AJ226" i="14"/>
  <c r="AI226" i="14"/>
  <c r="AI294" i="14"/>
  <c r="AH294" i="14"/>
  <c r="AJ294" i="14"/>
  <c r="AH312" i="14"/>
  <c r="AJ312" i="14"/>
  <c r="AI312" i="14"/>
  <c r="AH314" i="14"/>
  <c r="AJ314" i="14"/>
  <c r="AI314" i="14"/>
  <c r="AH316" i="14"/>
  <c r="AJ316" i="14"/>
  <c r="AI316" i="14"/>
  <c r="AH318" i="14"/>
  <c r="AJ318" i="14"/>
  <c r="AI318" i="14"/>
  <c r="AH320" i="14"/>
  <c r="AJ320" i="14"/>
  <c r="AI320" i="14"/>
  <c r="AH324" i="14"/>
  <c r="AJ324" i="14"/>
  <c r="AI324" i="14"/>
  <c r="AH326" i="14"/>
  <c r="AJ326" i="14"/>
  <c r="AI326" i="14"/>
  <c r="AH328" i="14"/>
  <c r="AJ328" i="14"/>
  <c r="AI328" i="14"/>
  <c r="AH330" i="14"/>
  <c r="AJ330" i="14"/>
  <c r="AI330" i="14"/>
  <c r="AH332" i="14"/>
  <c r="AJ332" i="14"/>
  <c r="AI332" i="14"/>
  <c r="AI334" i="14"/>
  <c r="AG350" i="14"/>
  <c r="AI350" i="14" s="1"/>
  <c r="AH334" i="14"/>
  <c r="AJ334" i="14"/>
  <c r="AG53" i="14"/>
  <c r="AG57" i="14"/>
  <c r="AG61" i="14"/>
  <c r="AG65" i="14"/>
  <c r="AG69" i="14"/>
  <c r="AG73" i="14"/>
  <c r="AG77" i="14"/>
  <c r="AG81" i="14"/>
  <c r="AG85" i="14"/>
  <c r="AG89" i="14"/>
  <c r="AG93" i="14"/>
  <c r="AG97" i="14"/>
  <c r="AG101" i="14"/>
  <c r="AG105" i="14"/>
  <c r="AG109" i="14"/>
  <c r="AG113" i="14"/>
  <c r="AG117" i="14"/>
  <c r="AG121" i="14"/>
  <c r="AG125" i="14"/>
  <c r="AG129" i="14"/>
  <c r="AG133" i="14"/>
  <c r="AG137" i="14"/>
  <c r="AH146" i="14"/>
  <c r="AF167" i="14"/>
  <c r="AF175" i="14"/>
  <c r="AG193" i="14"/>
  <c r="AJ197" i="14"/>
  <c r="AG201" i="14"/>
  <c r="AJ205" i="14"/>
  <c r="AG209" i="14"/>
  <c r="AG262" i="14"/>
  <c r="AH262" i="14" s="1"/>
  <c r="AG276" i="14"/>
  <c r="AH276" i="14" s="1"/>
  <c r="AH132" i="14"/>
  <c r="AH136" i="14"/>
  <c r="AF166" i="14"/>
  <c r="AF174" i="14"/>
  <c r="AG192" i="14"/>
  <c r="AH192" i="14" s="1"/>
  <c r="AG200" i="14"/>
  <c r="AH200" i="14" s="1"/>
  <c r="AJ204" i="14"/>
  <c r="AG208" i="14"/>
  <c r="AH208" i="14" s="1"/>
  <c r="AJ212" i="14"/>
  <c r="AG221" i="14"/>
  <c r="E233" i="14"/>
  <c r="M233" i="14"/>
  <c r="AC233" i="14"/>
  <c r="AG223" i="14"/>
  <c r="AG225" i="14"/>
  <c r="AG227" i="14"/>
  <c r="AH227" i="14" s="1"/>
  <c r="AG244" i="14"/>
  <c r="AH244" i="14" s="1"/>
  <c r="L181" i="14"/>
  <c r="L182" i="14" s="1"/>
  <c r="L183" i="14" s="1"/>
  <c r="T181" i="14"/>
  <c r="T182" i="14" s="1"/>
  <c r="T183" i="14" s="1"/>
  <c r="AB181" i="14"/>
  <c r="AB182" i="14" s="1"/>
  <c r="AB183" i="14" s="1"/>
  <c r="AG168" i="14"/>
  <c r="AI168" i="14"/>
  <c r="AH168" i="14"/>
  <c r="AG176" i="14"/>
  <c r="AI176" i="14"/>
  <c r="AG189" i="14"/>
  <c r="AH189" i="14" s="1"/>
  <c r="E213" i="14"/>
  <c r="M213" i="14"/>
  <c r="U213" i="14"/>
  <c r="AC213" i="14"/>
  <c r="AJ215" i="14"/>
  <c r="AJ216" i="14"/>
  <c r="AI215" i="14"/>
  <c r="AI216" i="14"/>
  <c r="AJ217" i="14"/>
  <c r="AI214" i="14"/>
  <c r="AI212" i="14"/>
  <c r="AI210" i="14"/>
  <c r="AI209" i="14"/>
  <c r="AI206" i="14"/>
  <c r="AI205" i="14"/>
  <c r="AI203" i="14"/>
  <c r="AI202" i="14"/>
  <c r="AI201" i="14"/>
  <c r="AI200" i="14"/>
  <c r="AI199" i="14"/>
  <c r="AI198" i="14"/>
  <c r="AI197" i="14"/>
  <c r="AI196" i="14"/>
  <c r="AI192" i="14"/>
  <c r="AI191" i="14"/>
  <c r="AI190" i="14"/>
  <c r="AI217" i="14"/>
  <c r="N233" i="14"/>
  <c r="V233" i="14"/>
  <c r="AD233" i="14"/>
  <c r="T278" i="14"/>
  <c r="AI291" i="14"/>
  <c r="AH291" i="14"/>
  <c r="AJ291" i="14"/>
  <c r="AH51" i="14"/>
  <c r="AH55" i="14"/>
  <c r="AH59" i="14"/>
  <c r="AH63" i="14"/>
  <c r="AH67" i="14"/>
  <c r="AH71" i="14"/>
  <c r="AH75" i="14"/>
  <c r="AH79" i="14"/>
  <c r="AH83" i="14"/>
  <c r="AH87" i="14"/>
  <c r="AH91" i="14"/>
  <c r="AH95" i="14"/>
  <c r="AH99" i="14"/>
  <c r="AH103" i="14"/>
  <c r="AH107" i="14"/>
  <c r="AH111" i="14"/>
  <c r="AH115" i="14"/>
  <c r="AH119" i="14"/>
  <c r="AH123" i="14"/>
  <c r="AH127" i="14"/>
  <c r="AH131" i="14"/>
  <c r="AH135" i="14"/>
  <c r="AH139" i="14"/>
  <c r="AH142" i="14"/>
  <c r="AH144" i="14"/>
  <c r="E181" i="14"/>
  <c r="M181" i="14"/>
  <c r="M182" i="14" s="1"/>
  <c r="M183" i="14" s="1"/>
  <c r="U181" i="14"/>
  <c r="U182" i="14" s="1"/>
  <c r="U183" i="14" s="1"/>
  <c r="AC181" i="14"/>
  <c r="AC182" i="14" s="1"/>
  <c r="AC183" i="14" s="1"/>
  <c r="AF173" i="14"/>
  <c r="F213" i="14"/>
  <c r="N213" i="14"/>
  <c r="V213" i="14"/>
  <c r="AD213" i="14"/>
  <c r="AJ190" i="14"/>
  <c r="AG194" i="14"/>
  <c r="AI194" i="14" s="1"/>
  <c r="AJ198" i="14"/>
  <c r="AG202" i="14"/>
  <c r="AJ206" i="14"/>
  <c r="AG210" i="14"/>
  <c r="O233" i="14"/>
  <c r="W233" i="14"/>
  <c r="G251" i="14"/>
  <c r="AG242" i="14"/>
  <c r="AH242" i="14" s="1"/>
  <c r="O251" i="14"/>
  <c r="W251" i="14"/>
  <c r="AE251" i="14"/>
  <c r="AH273" i="14"/>
  <c r="AI273" i="14"/>
  <c r="AI301" i="14"/>
  <c r="AH301" i="14"/>
  <c r="AJ301" i="14"/>
  <c r="AJ341" i="14"/>
  <c r="AI341" i="14"/>
  <c r="AH341" i="14"/>
  <c r="AJ349" i="14"/>
  <c r="AI349" i="14"/>
  <c r="AH349" i="14"/>
  <c r="AG54" i="14"/>
  <c r="AG58" i="14"/>
  <c r="AG62" i="14"/>
  <c r="AG66" i="14"/>
  <c r="AG70" i="14"/>
  <c r="AG74" i="14"/>
  <c r="AG78" i="14"/>
  <c r="AG82" i="14"/>
  <c r="AG86" i="14"/>
  <c r="AG90" i="14"/>
  <c r="AG94" i="14"/>
  <c r="AG98" i="14"/>
  <c r="AG102" i="14"/>
  <c r="AG106" i="14"/>
  <c r="AG110" i="14"/>
  <c r="AG114" i="14"/>
  <c r="AG118" i="14"/>
  <c r="AG122" i="14"/>
  <c r="AG126" i="14"/>
  <c r="AG130" i="14"/>
  <c r="AG134" i="14"/>
  <c r="F181" i="14"/>
  <c r="F182" i="14" s="1"/>
  <c r="F183" i="14" s="1"/>
  <c r="N181" i="14"/>
  <c r="N182" i="14" s="1"/>
  <c r="N183" i="14" s="1"/>
  <c r="V181" i="14"/>
  <c r="V182" i="14" s="1"/>
  <c r="V183" i="14" s="1"/>
  <c r="AD181" i="14"/>
  <c r="AD182" i="14" s="1"/>
  <c r="AD183" i="14" s="1"/>
  <c r="G213" i="14"/>
  <c r="O213" i="14"/>
  <c r="W213" i="14"/>
  <c r="AE213" i="14"/>
  <c r="AG191" i="14"/>
  <c r="AJ195" i="14"/>
  <c r="AG199" i="14"/>
  <c r="AJ203" i="14"/>
  <c r="AG207" i="14"/>
  <c r="H233" i="14"/>
  <c r="P233" i="14"/>
  <c r="X233" i="14"/>
  <c r="H251" i="14"/>
  <c r="P251" i="14"/>
  <c r="X251" i="14"/>
  <c r="AF251" i="14"/>
  <c r="AH176" i="14"/>
  <c r="AI177" i="14"/>
  <c r="AH183" i="14"/>
  <c r="AJ235" i="14"/>
  <c r="AJ237" i="14"/>
  <c r="AJ234" i="14"/>
  <c r="AJ232" i="14"/>
  <c r="AJ231" i="14"/>
  <c r="AJ230" i="14"/>
  <c r="AJ229" i="14"/>
  <c r="AJ228" i="14"/>
  <c r="AJ227" i="14"/>
  <c r="AI237" i="14"/>
  <c r="AI234" i="14"/>
  <c r="AI232" i="14"/>
  <c r="AI231" i="14"/>
  <c r="AI230" i="14"/>
  <c r="AI229" i="14"/>
  <c r="AI228" i="14"/>
  <c r="AI227" i="14"/>
  <c r="AG247" i="14"/>
  <c r="AH247" i="14" s="1"/>
  <c r="AG249" i="14"/>
  <c r="AH249" i="14" s="1"/>
  <c r="AJ254" i="14"/>
  <c r="AI253" i="14"/>
  <c r="AI254" i="14"/>
  <c r="AI255" i="14"/>
  <c r="AJ252" i="14"/>
  <c r="AJ246" i="14"/>
  <c r="AJ253" i="14"/>
  <c r="AI252" i="14"/>
  <c r="AI246" i="14"/>
  <c r="AJ255" i="14"/>
  <c r="T263" i="14"/>
  <c r="AB263" i="14"/>
  <c r="AI266" i="14"/>
  <c r="AI264" i="14"/>
  <c r="AJ267" i="14"/>
  <c r="AI267" i="14"/>
  <c r="AJ266" i="14"/>
  <c r="AJ265" i="14"/>
  <c r="AJ264" i="14"/>
  <c r="AI260" i="14"/>
  <c r="AJ281" i="14"/>
  <c r="AG296" i="14"/>
  <c r="AJ339" i="14"/>
  <c r="AI339" i="14"/>
  <c r="AH339" i="14"/>
  <c r="AP362" i="14"/>
  <c r="AO362" i="14"/>
  <c r="AN362" i="14"/>
  <c r="AF165" i="14"/>
  <c r="AI183" i="14"/>
  <c r="AH185" i="14"/>
  <c r="AG260" i="14"/>
  <c r="U263" i="14"/>
  <c r="AC263" i="14"/>
  <c r="E263" i="14"/>
  <c r="AA278" i="14"/>
  <c r="AI293" i="14"/>
  <c r="AH293" i="14"/>
  <c r="AJ293" i="14"/>
  <c r="AI300" i="14"/>
  <c r="AH300" i="14"/>
  <c r="AJ300" i="14"/>
  <c r="AJ343" i="14"/>
  <c r="AI343" i="14"/>
  <c r="AH343" i="14"/>
  <c r="AJ345" i="14"/>
  <c r="AI345" i="14"/>
  <c r="AH345" i="14"/>
  <c r="I251" i="14"/>
  <c r="Q251" i="14"/>
  <c r="Y251" i="14"/>
  <c r="AI282" i="14"/>
  <c r="AI280" i="14"/>
  <c r="AJ280" i="14"/>
  <c r="AJ272" i="14"/>
  <c r="AJ282" i="14"/>
  <c r="AJ273" i="14"/>
  <c r="AJ279" i="14"/>
  <c r="AJ277" i="14"/>
  <c r="AI276" i="14"/>
  <c r="AI279" i="14"/>
  <c r="AI277" i="14"/>
  <c r="AI297" i="14"/>
  <c r="AH297" i="14"/>
  <c r="AJ297" i="14"/>
  <c r="L278" i="14"/>
  <c r="AG275" i="14"/>
  <c r="AI275" i="14" s="1"/>
  <c r="I302" i="14"/>
  <c r="Q302" i="14"/>
  <c r="Y302" i="14"/>
  <c r="AG287" i="14"/>
  <c r="AI292" i="14"/>
  <c r="AH292" i="14"/>
  <c r="AJ292" i="14"/>
  <c r="AI299" i="14"/>
  <c r="AH299" i="14"/>
  <c r="AJ299" i="14"/>
  <c r="AJ346" i="14"/>
  <c r="AI346" i="14"/>
  <c r="AH346" i="14"/>
  <c r="I233" i="14"/>
  <c r="Q233" i="14"/>
  <c r="Y233" i="14"/>
  <c r="AI236" i="14"/>
  <c r="AG261" i="14"/>
  <c r="AI289" i="14"/>
  <c r="AH289" i="14"/>
  <c r="AJ289" i="14"/>
  <c r="AJ236" i="14"/>
  <c r="I278" i="14"/>
  <c r="Q278" i="14"/>
  <c r="AG272" i="14"/>
  <c r="AJ276" i="14"/>
  <c r="AI281" i="14"/>
  <c r="AG337" i="14"/>
  <c r="E278" i="14"/>
  <c r="M278" i="14"/>
  <c r="U278" i="14"/>
  <c r="AC278" i="14"/>
  <c r="AG288" i="14"/>
  <c r="AJ342" i="14"/>
  <c r="AI342" i="14"/>
  <c r="AH342" i="14"/>
  <c r="AJ344" i="14"/>
  <c r="AI344" i="14"/>
  <c r="AH344" i="14"/>
  <c r="AP375" i="14"/>
  <c r="AO375" i="14"/>
  <c r="P302" i="14"/>
  <c r="AJ348" i="14"/>
  <c r="AI348" i="14"/>
  <c r="AH348" i="14"/>
  <c r="AN375" i="14"/>
  <c r="L302" i="14"/>
  <c r="T302" i="14"/>
  <c r="AB302" i="14"/>
  <c r="AP366" i="14"/>
  <c r="AO366" i="14"/>
  <c r="AN366" i="14"/>
  <c r="AP370" i="14"/>
  <c r="AO370" i="14"/>
  <c r="AN370" i="14"/>
  <c r="K278" i="14"/>
  <c r="S278" i="14"/>
  <c r="AG338" i="14"/>
  <c r="AJ347" i="14"/>
  <c r="AI347" i="14"/>
  <c r="AH347" i="14"/>
  <c r="AP367" i="14"/>
  <c r="AO367" i="14"/>
  <c r="AB278" i="14"/>
  <c r="AG311" i="14"/>
  <c r="H350" i="14"/>
  <c r="P350" i="14"/>
  <c r="X350" i="14"/>
  <c r="AH313" i="14"/>
  <c r="AJ313" i="14"/>
  <c r="AI313" i="14"/>
  <c r="AH315" i="14"/>
  <c r="AJ315" i="14"/>
  <c r="AI315" i="14"/>
  <c r="AH317" i="14"/>
  <c r="AJ317" i="14"/>
  <c r="AI317" i="14"/>
  <c r="AH319" i="14"/>
  <c r="AJ319" i="14"/>
  <c r="AI319" i="14"/>
  <c r="AH321" i="14"/>
  <c r="AJ321" i="14"/>
  <c r="AI321" i="14"/>
  <c r="AH323" i="14"/>
  <c r="AJ323" i="14"/>
  <c r="AI323" i="14"/>
  <c r="AH325" i="14"/>
  <c r="AJ325" i="14"/>
  <c r="AI325" i="14"/>
  <c r="AH327" i="14"/>
  <c r="AJ327" i="14"/>
  <c r="AI327" i="14"/>
  <c r="AH329" i="14"/>
  <c r="AJ329" i="14"/>
  <c r="AI329" i="14"/>
  <c r="AH331" i="14"/>
  <c r="AJ331" i="14"/>
  <c r="AI331" i="14"/>
  <c r="AH333" i="14"/>
  <c r="AJ333" i="14"/>
  <c r="AI333" i="14"/>
  <c r="AI335" i="14"/>
  <c r="AJ335" i="14"/>
  <c r="AH335" i="14"/>
  <c r="AJ340" i="14"/>
  <c r="AI340" i="14"/>
  <c r="AH340" i="14"/>
  <c r="AP374" i="14"/>
  <c r="AO374" i="14"/>
  <c r="AN374" i="14"/>
  <c r="AP378" i="14"/>
  <c r="AO378" i="14"/>
  <c r="AN378" i="14"/>
  <c r="L379" i="14"/>
  <c r="T379" i="14"/>
  <c r="AB379" i="14"/>
  <c r="AJ379" i="14"/>
  <c r="AO361" i="14"/>
  <c r="AN361" i="14"/>
  <c r="AP361" i="14"/>
  <c r="AO369" i="14"/>
  <c r="AN369" i="14"/>
  <c r="AP369" i="14"/>
  <c r="AO377" i="14"/>
  <c r="AN377" i="14"/>
  <c r="AP377" i="14"/>
  <c r="E379" i="14"/>
  <c r="M379" i="14"/>
  <c r="U379" i="14"/>
  <c r="AC379" i="14"/>
  <c r="AK379" i="14"/>
  <c r="AM364" i="14"/>
  <c r="AO372" i="14"/>
  <c r="AN372" i="14"/>
  <c r="AM365" i="14"/>
  <c r="AM373" i="14"/>
  <c r="AM360" i="14"/>
  <c r="AM368" i="14"/>
  <c r="AM376" i="14"/>
  <c r="I350" i="14"/>
  <c r="Q350" i="14"/>
  <c r="Y350" i="14"/>
  <c r="J379" i="14"/>
  <c r="R379" i="14"/>
  <c r="Z379" i="14"/>
  <c r="AH379" i="14"/>
  <c r="AM363" i="14"/>
  <c r="AM371" i="14"/>
  <c r="J350" i="14"/>
  <c r="R350" i="14"/>
  <c r="Z350" i="14"/>
  <c r="K379" i="14"/>
  <c r="S379" i="14"/>
  <c r="AA379" i="14"/>
  <c r="AI379" i="14"/>
  <c r="AM359" i="14"/>
  <c r="AP381" i="14"/>
  <c r="AI322" i="14" l="1"/>
  <c r="AJ322" i="14"/>
  <c r="AB130" i="15"/>
  <c r="AB131" i="15" s="1"/>
  <c r="AF129" i="15"/>
  <c r="T130" i="15"/>
  <c r="T131" i="15" s="1"/>
  <c r="F130" i="15"/>
  <c r="F131" i="15" s="1"/>
  <c r="M130" i="15"/>
  <c r="M131" i="15" s="1"/>
  <c r="J130" i="15"/>
  <c r="J131" i="15" s="1"/>
  <c r="E130" i="15"/>
  <c r="E131" i="15" s="1"/>
  <c r="P130" i="15"/>
  <c r="P131" i="15" s="1"/>
  <c r="AA130" i="15"/>
  <c r="AA131" i="15" s="1"/>
  <c r="Q130" i="15"/>
  <c r="Q131" i="15" s="1"/>
  <c r="R130" i="15"/>
  <c r="R131" i="15" s="1"/>
  <c r="L130" i="15"/>
  <c r="L131" i="15" s="1"/>
  <c r="K130" i="15"/>
  <c r="K131" i="15" s="1"/>
  <c r="X130" i="15"/>
  <c r="X131" i="15" s="1"/>
  <c r="AC130" i="15"/>
  <c r="AC131" i="15" s="1"/>
  <c r="Y130" i="15"/>
  <c r="Y131" i="15" s="1"/>
  <c r="S130" i="15"/>
  <c r="S131" i="15" s="1"/>
  <c r="N130" i="15"/>
  <c r="N131" i="15" s="1"/>
  <c r="G130" i="15"/>
  <c r="G131" i="15" s="1"/>
  <c r="Z130" i="15"/>
  <c r="Z131" i="15" s="1"/>
  <c r="U130" i="15"/>
  <c r="U131" i="15" s="1"/>
  <c r="O130" i="15"/>
  <c r="O131" i="15" s="1"/>
  <c r="H130" i="15"/>
  <c r="H131" i="15" s="1"/>
  <c r="I130" i="15"/>
  <c r="I131" i="15" s="1"/>
  <c r="AD130" i="15"/>
  <c r="AD131" i="15" s="1"/>
  <c r="V130" i="15"/>
  <c r="V131" i="15" s="1"/>
  <c r="W130" i="15"/>
  <c r="W131" i="15" s="1"/>
  <c r="AI244" i="14"/>
  <c r="AJ250" i="14"/>
  <c r="AJ247" i="14"/>
  <c r="AI250" i="14"/>
  <c r="AI248" i="14"/>
  <c r="AI249" i="14"/>
  <c r="AJ248" i="14"/>
  <c r="AJ249" i="14"/>
  <c r="AI245" i="14"/>
  <c r="AJ243" i="14"/>
  <c r="AJ245" i="14"/>
  <c r="AI243" i="14"/>
  <c r="AI247" i="14"/>
  <c r="AG251" i="14"/>
  <c r="AH251" i="14" s="1"/>
  <c r="AJ251" i="14"/>
  <c r="AO373" i="14"/>
  <c r="AN373" i="14"/>
  <c r="AP373" i="14"/>
  <c r="AG165" i="14"/>
  <c r="AI165" i="14"/>
  <c r="AH165" i="14"/>
  <c r="AH32" i="14"/>
  <c r="AF32" i="14"/>
  <c r="AH108" i="14"/>
  <c r="AF108" i="14"/>
  <c r="D380" i="14"/>
  <c r="AH380" i="14" s="1"/>
  <c r="AH381" i="14" s="1"/>
  <c r="AH261" i="14"/>
  <c r="AJ261" i="14"/>
  <c r="S380" i="14"/>
  <c r="S381" i="14" s="1"/>
  <c r="AO368" i="14"/>
  <c r="AN368" i="14"/>
  <c r="AP368" i="14"/>
  <c r="AC380" i="14"/>
  <c r="AC381" i="14" s="1"/>
  <c r="AB380" i="14"/>
  <c r="AB381" i="14" s="1"/>
  <c r="AJ350" i="14"/>
  <c r="Y303" i="14"/>
  <c r="Y304" i="14" s="1"/>
  <c r="AI262" i="14"/>
  <c r="W214" i="14"/>
  <c r="W215" i="14" s="1"/>
  <c r="AI189" i="14"/>
  <c r="U214" i="14"/>
  <c r="U215" i="14" s="1"/>
  <c r="AH140" i="14"/>
  <c r="AH175" i="14"/>
  <c r="AG175" i="14"/>
  <c r="AI175" i="14"/>
  <c r="AJ192" i="14"/>
  <c r="AH120" i="14"/>
  <c r="AF120" i="14"/>
  <c r="AF61" i="14"/>
  <c r="AH61" i="14"/>
  <c r="AF101" i="14"/>
  <c r="AH101" i="14"/>
  <c r="AF69" i="14"/>
  <c r="AH69" i="14"/>
  <c r="AH155" i="14"/>
  <c r="AG155" i="14"/>
  <c r="AG158" i="14" s="1"/>
  <c r="AF121" i="14"/>
  <c r="AH121" i="14"/>
  <c r="AF84" i="14"/>
  <c r="AH84" i="14"/>
  <c r="AH36" i="14"/>
  <c r="AF36" i="14"/>
  <c r="L380" i="14"/>
  <c r="L381" i="14" s="1"/>
  <c r="Q252" i="14"/>
  <c r="Q253" i="14" s="1"/>
  <c r="AI296" i="14"/>
  <c r="AH296" i="14"/>
  <c r="AJ296" i="14"/>
  <c r="AH207" i="14"/>
  <c r="AJ207" i="14"/>
  <c r="D303" i="14"/>
  <c r="I303" i="14" s="1"/>
  <c r="I304" i="14" s="1"/>
  <c r="AC279" i="14"/>
  <c r="AC280" i="14" s="1"/>
  <c r="AI242" i="14"/>
  <c r="AH275" i="14"/>
  <c r="AJ275" i="14"/>
  <c r="AP359" i="14"/>
  <c r="AM379" i="14"/>
  <c r="AO359" i="14"/>
  <c r="AN359" i="14"/>
  <c r="K380" i="14"/>
  <c r="K381" i="14" s="1"/>
  <c r="Z380" i="14"/>
  <c r="Z381" i="14" s="1"/>
  <c r="AO360" i="14"/>
  <c r="AN360" i="14"/>
  <c r="AP360" i="14"/>
  <c r="U380" i="14"/>
  <c r="U381" i="14" s="1"/>
  <c r="AI288" i="14"/>
  <c r="AH288" i="14"/>
  <c r="AJ288" i="14"/>
  <c r="Q303" i="14"/>
  <c r="Q304" i="14" s="1"/>
  <c r="AJ244" i="14"/>
  <c r="AJ211" i="14"/>
  <c r="O214" i="14"/>
  <c r="O215" i="14" s="1"/>
  <c r="AH202" i="14"/>
  <c r="AJ202" i="14"/>
  <c r="AG173" i="14"/>
  <c r="AI173" i="14"/>
  <c r="AH173" i="14"/>
  <c r="M214" i="14"/>
  <c r="M215" i="14" s="1"/>
  <c r="AH201" i="14"/>
  <c r="AJ201" i="14"/>
  <c r="AH167" i="14"/>
  <c r="AG167" i="14"/>
  <c r="AI167" i="14"/>
  <c r="AF125" i="14"/>
  <c r="AH125" i="14"/>
  <c r="AF48" i="14"/>
  <c r="AH48" i="14"/>
  <c r="AF57" i="14"/>
  <c r="AH57" i="14"/>
  <c r="AF97" i="14"/>
  <c r="AH97" i="14"/>
  <c r="AH112" i="14"/>
  <c r="AF112" i="14"/>
  <c r="AF80" i="14"/>
  <c r="AH80" i="14"/>
  <c r="AF158" i="14"/>
  <c r="E159" i="14"/>
  <c r="D159" i="14"/>
  <c r="AE141" i="14"/>
  <c r="AH141" i="14" s="1"/>
  <c r="AH4" i="14"/>
  <c r="AF4" i="14"/>
  <c r="AH194" i="14"/>
  <c r="AJ194" i="14"/>
  <c r="AI208" i="14"/>
  <c r="AH223" i="14"/>
  <c r="AJ223" i="14"/>
  <c r="AI223" i="14"/>
  <c r="AH193" i="14"/>
  <c r="AJ193" i="14"/>
  <c r="AF25" i="14"/>
  <c r="AH25" i="14"/>
  <c r="AH20" i="14"/>
  <c r="AF20" i="14"/>
  <c r="AF89" i="14"/>
  <c r="AH89" i="14"/>
  <c r="N159" i="14"/>
  <c r="N160" i="14" s="1"/>
  <c r="AH104" i="14"/>
  <c r="AF104" i="14"/>
  <c r="AH72" i="14"/>
  <c r="AF72" i="14"/>
  <c r="AF33" i="14"/>
  <c r="AH33" i="14"/>
  <c r="G252" i="14"/>
  <c r="G253" i="14" s="1"/>
  <c r="AI193" i="14"/>
  <c r="AJ189" i="14"/>
  <c r="AJ208" i="14"/>
  <c r="AH151" i="14"/>
  <c r="AF85" i="14"/>
  <c r="AH85" i="14"/>
  <c r="F159" i="14"/>
  <c r="F160" i="14" s="1"/>
  <c r="AF100" i="14"/>
  <c r="AH100" i="14"/>
  <c r="AH68" i="14"/>
  <c r="AF68" i="14"/>
  <c r="AF49" i="14"/>
  <c r="AH49" i="14"/>
  <c r="AH116" i="14"/>
  <c r="AF116" i="14"/>
  <c r="D142" i="14"/>
  <c r="U142" i="14" s="1"/>
  <c r="U143" i="14" s="1"/>
  <c r="AH21" i="14"/>
  <c r="AF21" i="14"/>
  <c r="E182" i="14"/>
  <c r="D182" i="14"/>
  <c r="AF181" i="14"/>
  <c r="AF113" i="14"/>
  <c r="AH113" i="14"/>
  <c r="AF81" i="14"/>
  <c r="AH81" i="14"/>
  <c r="AH96" i="14"/>
  <c r="AF96" i="14"/>
  <c r="AH64" i="14"/>
  <c r="AF64" i="14"/>
  <c r="AI156" i="14"/>
  <c r="AH60" i="14"/>
  <c r="AF60" i="14"/>
  <c r="AF53" i="14"/>
  <c r="AH53" i="14"/>
  <c r="M380" i="14"/>
  <c r="M381" i="14" s="1"/>
  <c r="AI207" i="14"/>
  <c r="E214" i="14"/>
  <c r="D214" i="14"/>
  <c r="AG213" i="14"/>
  <c r="AF93" i="14"/>
  <c r="AH93" i="14"/>
  <c r="AH76" i="14"/>
  <c r="AF76" i="14"/>
  <c r="J380" i="14"/>
  <c r="J381" i="14" s="1"/>
  <c r="AH311" i="14"/>
  <c r="AJ311" i="14"/>
  <c r="AI311" i="14"/>
  <c r="U279" i="14"/>
  <c r="U280" i="14" s="1"/>
  <c r="D264" i="14"/>
  <c r="AH199" i="14"/>
  <c r="AJ199" i="14"/>
  <c r="AB303" i="14"/>
  <c r="AB304" i="14" s="1"/>
  <c r="Q279" i="14"/>
  <c r="Q280" i="14" s="1"/>
  <c r="L279" i="14"/>
  <c r="L280" i="14" s="1"/>
  <c r="AC264" i="14"/>
  <c r="AC265" i="14" s="1"/>
  <c r="AI380" i="14"/>
  <c r="AI381" i="14" s="1"/>
  <c r="AP371" i="14"/>
  <c r="AN371" i="14"/>
  <c r="AO371" i="14"/>
  <c r="AO364" i="14"/>
  <c r="AN364" i="14"/>
  <c r="AP364" i="14"/>
  <c r="AJ338" i="14"/>
  <c r="AI338" i="14"/>
  <c r="AH338" i="14"/>
  <c r="T303" i="14"/>
  <c r="T304" i="14" s="1"/>
  <c r="D279" i="14"/>
  <c r="E279" i="14"/>
  <c r="AH191" i="14"/>
  <c r="AJ191" i="14"/>
  <c r="V214" i="14"/>
  <c r="V215" i="14" s="1"/>
  <c r="AI195" i="14"/>
  <c r="AI211" i="14"/>
  <c r="D252" i="14"/>
  <c r="AF252" i="14" s="1"/>
  <c r="AF253" i="14" s="1"/>
  <c r="AG233" i="14"/>
  <c r="D234" i="14"/>
  <c r="H234" i="14" s="1"/>
  <c r="H235" i="14" s="1"/>
  <c r="AG174" i="14"/>
  <c r="AH174" i="14"/>
  <c r="AI174" i="14"/>
  <c r="D351" i="14"/>
  <c r="J351" i="14" s="1"/>
  <c r="J352" i="14" s="1"/>
  <c r="AJ200" i="14"/>
  <c r="Y159" i="14"/>
  <c r="Y160" i="14" s="1"/>
  <c r="T214" i="14"/>
  <c r="T215" i="14" s="1"/>
  <c r="AF137" i="14"/>
  <c r="AH137" i="14"/>
  <c r="AI151" i="14"/>
  <c r="AF109" i="14"/>
  <c r="AH109" i="14"/>
  <c r="AF77" i="14"/>
  <c r="AH77" i="14"/>
  <c r="AF129" i="14"/>
  <c r="AH129" i="14"/>
  <c r="AF133" i="14"/>
  <c r="AH133" i="14"/>
  <c r="AH92" i="14"/>
  <c r="AF92" i="14"/>
  <c r="AF45" i="14"/>
  <c r="AH45" i="14"/>
  <c r="AH56" i="14"/>
  <c r="AF56" i="14"/>
  <c r="AF37" i="14"/>
  <c r="AH37" i="14"/>
  <c r="R380" i="14"/>
  <c r="R381" i="14" s="1"/>
  <c r="AH225" i="14"/>
  <c r="AJ225" i="14"/>
  <c r="AI225" i="14"/>
  <c r="AF41" i="14"/>
  <c r="AH41" i="14"/>
  <c r="AO365" i="14"/>
  <c r="AN365" i="14"/>
  <c r="AP365" i="14"/>
  <c r="AG278" i="14"/>
  <c r="AH272" i="14"/>
  <c r="AH278" i="14" s="1"/>
  <c r="AD214" i="14"/>
  <c r="AD215" i="14" s="1"/>
  <c r="AA380" i="14"/>
  <c r="AA381" i="14" s="1"/>
  <c r="AP363" i="14"/>
  <c r="AN363" i="14"/>
  <c r="AO363" i="14"/>
  <c r="AO376" i="14"/>
  <c r="AN376" i="14"/>
  <c r="AP376" i="14"/>
  <c r="AK380" i="14"/>
  <c r="AK381" i="14" s="1"/>
  <c r="AJ380" i="14"/>
  <c r="AJ381" i="14" s="1"/>
  <c r="L303" i="14"/>
  <c r="L304" i="14" s="1"/>
  <c r="AJ337" i="14"/>
  <c r="AI337" i="14"/>
  <c r="AH337" i="14"/>
  <c r="AH350" i="14" s="1"/>
  <c r="AJ262" i="14"/>
  <c r="AI287" i="14"/>
  <c r="AH287" i="14"/>
  <c r="AH302" i="14" s="1"/>
  <c r="AG302" i="14"/>
  <c r="AJ287" i="14"/>
  <c r="AI272" i="14"/>
  <c r="AG263" i="14"/>
  <c r="AH260" i="14"/>
  <c r="AH263" i="14" s="1"/>
  <c r="AJ260" i="14"/>
  <c r="AI261" i="14"/>
  <c r="AJ242" i="14"/>
  <c r="AH210" i="14"/>
  <c r="AJ210" i="14"/>
  <c r="N214" i="14"/>
  <c r="N215" i="14" s="1"/>
  <c r="T279" i="14"/>
  <c r="T280" i="14" s="1"/>
  <c r="AI204" i="14"/>
  <c r="AC214" i="14"/>
  <c r="AC215" i="14" s="1"/>
  <c r="AH221" i="14"/>
  <c r="AJ221" i="14"/>
  <c r="AI221" i="14"/>
  <c r="AG166" i="14"/>
  <c r="AH166" i="14"/>
  <c r="AI166" i="14"/>
  <c r="AH209" i="14"/>
  <c r="AJ209" i="14"/>
  <c r="AH196" i="14"/>
  <c r="AJ196" i="14"/>
  <c r="Q159" i="14"/>
  <c r="Q160" i="14" s="1"/>
  <c r="L214" i="14"/>
  <c r="L215" i="14" s="1"/>
  <c r="AF65" i="14"/>
  <c r="AH65" i="14"/>
  <c r="AF105" i="14"/>
  <c r="AH105" i="14"/>
  <c r="AF73" i="14"/>
  <c r="AH73" i="14"/>
  <c r="AF44" i="14"/>
  <c r="AH44" i="14"/>
  <c r="AG157" i="14"/>
  <c r="AI157" i="14"/>
  <c r="AH128" i="14"/>
  <c r="AF128" i="14"/>
  <c r="AF88" i="14"/>
  <c r="AH88" i="14"/>
  <c r="AF29" i="14"/>
  <c r="AH29" i="14"/>
  <c r="AH52" i="14"/>
  <c r="AF52" i="14"/>
  <c r="AF28" i="14"/>
  <c r="AH28" i="14"/>
  <c r="Q351" i="14" l="1"/>
  <c r="Q352" i="14" s="1"/>
  <c r="I351" i="14"/>
  <c r="I352" i="14" s="1"/>
  <c r="R351" i="14"/>
  <c r="R352" i="14" s="1"/>
  <c r="H351" i="14"/>
  <c r="H352" i="14" s="1"/>
  <c r="D131" i="15"/>
  <c r="D132" i="15"/>
  <c r="L142" i="14"/>
  <c r="L143" i="14" s="1"/>
  <c r="H142" i="14"/>
  <c r="H143" i="14" s="1"/>
  <c r="AK250" i="14"/>
  <c r="P252" i="14"/>
  <c r="P253" i="14" s="1"/>
  <c r="I252" i="14"/>
  <c r="I253" i="14" s="1"/>
  <c r="O252" i="14"/>
  <c r="O253" i="14" s="1"/>
  <c r="W252" i="14"/>
  <c r="W253" i="14" s="1"/>
  <c r="AI251" i="14"/>
  <c r="P234" i="14"/>
  <c r="P235" i="14" s="1"/>
  <c r="E280" i="14"/>
  <c r="M234" i="14"/>
  <c r="M235" i="14" s="1"/>
  <c r="P264" i="14"/>
  <c r="P265" i="14" s="1"/>
  <c r="K264" i="14"/>
  <c r="K265" i="14" s="1"/>
  <c r="W264" i="14"/>
  <c r="W265" i="14" s="1"/>
  <c r="Z264" i="14"/>
  <c r="Z265" i="14" s="1"/>
  <c r="Y264" i="14"/>
  <c r="Y265" i="14" s="1"/>
  <c r="AE264" i="14"/>
  <c r="AE265" i="14" s="1"/>
  <c r="AA264" i="14"/>
  <c r="AA265" i="14" s="1"/>
  <c r="AF264" i="14"/>
  <c r="AF265" i="14" s="1"/>
  <c r="Q264" i="14"/>
  <c r="Q265" i="14" s="1"/>
  <c r="N264" i="14"/>
  <c r="N265" i="14" s="1"/>
  <c r="F264" i="14"/>
  <c r="F265" i="14" s="1"/>
  <c r="O264" i="14"/>
  <c r="O265" i="14" s="1"/>
  <c r="J264" i="14"/>
  <c r="J265" i="14" s="1"/>
  <c r="V264" i="14"/>
  <c r="V265" i="14" s="1"/>
  <c r="AD264" i="14"/>
  <c r="AD265" i="14" s="1"/>
  <c r="M264" i="14"/>
  <c r="M265" i="14" s="1"/>
  <c r="R264" i="14"/>
  <c r="R265" i="14" s="1"/>
  <c r="L264" i="14"/>
  <c r="L265" i="14" s="1"/>
  <c r="G264" i="14"/>
  <c r="G265" i="14" s="1"/>
  <c r="H264" i="14"/>
  <c r="H265" i="14" s="1"/>
  <c r="I264" i="14"/>
  <c r="I265" i="14" s="1"/>
  <c r="S264" i="14"/>
  <c r="S265" i="14" s="1"/>
  <c r="X264" i="14"/>
  <c r="X265" i="14" s="1"/>
  <c r="E183" i="14"/>
  <c r="D183" i="14"/>
  <c r="AC234" i="14"/>
  <c r="AC235" i="14" s="1"/>
  <c r="F142" i="14"/>
  <c r="F143" i="14" s="1"/>
  <c r="V142" i="14"/>
  <c r="V143" i="14" s="1"/>
  <c r="AN379" i="14"/>
  <c r="AI302" i="14"/>
  <c r="AJ302" i="14"/>
  <c r="P142" i="14"/>
  <c r="P143" i="14" s="1"/>
  <c r="O234" i="14"/>
  <c r="O235" i="14" s="1"/>
  <c r="AE279" i="14"/>
  <c r="AE280" i="14" s="1"/>
  <c r="O279" i="14"/>
  <c r="O280" i="14" s="1"/>
  <c r="W279" i="14"/>
  <c r="W280" i="14" s="1"/>
  <c r="F279" i="14"/>
  <c r="F280" i="14" s="1"/>
  <c r="H279" i="14"/>
  <c r="H280" i="14" s="1"/>
  <c r="G279" i="14"/>
  <c r="G280" i="14" s="1"/>
  <c r="AD279" i="14"/>
  <c r="AD280" i="14" s="1"/>
  <c r="Y279" i="14"/>
  <c r="Y280" i="14" s="1"/>
  <c r="X279" i="14"/>
  <c r="X280" i="14" s="1"/>
  <c r="Z279" i="14"/>
  <c r="Z280" i="14" s="1"/>
  <c r="J279" i="14"/>
  <c r="J280" i="14" s="1"/>
  <c r="R279" i="14"/>
  <c r="R280" i="14" s="1"/>
  <c r="N279" i="14"/>
  <c r="N280" i="14" s="1"/>
  <c r="P279" i="14"/>
  <c r="P280" i="14" s="1"/>
  <c r="V279" i="14"/>
  <c r="V280" i="14" s="1"/>
  <c r="AF279" i="14"/>
  <c r="AF280" i="14" s="1"/>
  <c r="E264" i="14"/>
  <c r="I234" i="14"/>
  <c r="I235" i="14" s="1"/>
  <c r="AF141" i="14"/>
  <c r="Q234" i="14"/>
  <c r="Q235" i="14" s="1"/>
  <c r="AA279" i="14"/>
  <c r="AA280" i="14" s="1"/>
  <c r="K279" i="14"/>
  <c r="K280" i="14" s="1"/>
  <c r="L234" i="14"/>
  <c r="L235" i="14" s="1"/>
  <c r="AA234" i="14"/>
  <c r="AA235" i="14" s="1"/>
  <c r="AF234" i="14"/>
  <c r="AF235" i="14" s="1"/>
  <c r="T234" i="14"/>
  <c r="T235" i="14" s="1"/>
  <c r="K234" i="14"/>
  <c r="K235" i="14" s="1"/>
  <c r="J234" i="14"/>
  <c r="J235" i="14" s="1"/>
  <c r="AE234" i="14"/>
  <c r="AE235" i="14" s="1"/>
  <c r="S234" i="14"/>
  <c r="G234" i="14"/>
  <c r="G235" i="14" s="1"/>
  <c r="Z234" i="14"/>
  <c r="Z235" i="14" s="1"/>
  <c r="R234" i="14"/>
  <c r="R235" i="14" s="1"/>
  <c r="U234" i="14"/>
  <c r="U235" i="14" s="1"/>
  <c r="AB234" i="14"/>
  <c r="AB235" i="14" s="1"/>
  <c r="AA142" i="14"/>
  <c r="AA143" i="14" s="1"/>
  <c r="V234" i="14"/>
  <c r="V235" i="14" s="1"/>
  <c r="AP379" i="14"/>
  <c r="AO379" i="14"/>
  <c r="AB264" i="14"/>
  <c r="AB265" i="14" s="1"/>
  <c r="O303" i="14"/>
  <c r="O304" i="14" s="1"/>
  <c r="AD303" i="14"/>
  <c r="AD304" i="14" s="1"/>
  <c r="J303" i="14"/>
  <c r="J304" i="14" s="1"/>
  <c r="N303" i="14"/>
  <c r="N304" i="14" s="1"/>
  <c r="AF303" i="14"/>
  <c r="AF304" i="14" s="1"/>
  <c r="AE303" i="14"/>
  <c r="S303" i="14"/>
  <c r="S304" i="14" s="1"/>
  <c r="V303" i="14"/>
  <c r="V304" i="14" s="1"/>
  <c r="X303" i="14"/>
  <c r="X304" i="14" s="1"/>
  <c r="R303" i="14"/>
  <c r="R304" i="14" s="1"/>
  <c r="AA303" i="14"/>
  <c r="AA304" i="14" s="1"/>
  <c r="E303" i="14"/>
  <c r="G303" i="14"/>
  <c r="G304" i="14" s="1"/>
  <c r="U303" i="14"/>
  <c r="U304" i="14" s="1"/>
  <c r="H303" i="14"/>
  <c r="H304" i="14" s="1"/>
  <c r="W303" i="14"/>
  <c r="W304" i="14" s="1"/>
  <c r="Z303" i="14"/>
  <c r="Z304" i="14" s="1"/>
  <c r="K303" i="14"/>
  <c r="K304" i="14" s="1"/>
  <c r="AC303" i="14"/>
  <c r="AC304" i="14" s="1"/>
  <c r="F303" i="14"/>
  <c r="F304" i="14" s="1"/>
  <c r="M303" i="14"/>
  <c r="M304" i="14" s="1"/>
  <c r="Z351" i="14"/>
  <c r="Z352" i="14" s="1"/>
  <c r="AJ233" i="14"/>
  <c r="AI233" i="14"/>
  <c r="AH233" i="14"/>
  <c r="AJ213" i="14"/>
  <c r="AI213" i="14"/>
  <c r="AH213" i="14"/>
  <c r="X142" i="14"/>
  <c r="X143" i="14" s="1"/>
  <c r="S142" i="14"/>
  <c r="S143" i="14" s="1"/>
  <c r="E142" i="14"/>
  <c r="AB142" i="14"/>
  <c r="AB143" i="14" s="1"/>
  <c r="AC142" i="14"/>
  <c r="AC143" i="14" s="1"/>
  <c r="N234" i="14"/>
  <c r="N235" i="14" s="1"/>
  <c r="AJ263" i="14"/>
  <c r="AI263" i="14"/>
  <c r="F234" i="14"/>
  <c r="F235" i="14" s="1"/>
  <c r="AA252" i="14"/>
  <c r="AA253" i="14" s="1"/>
  <c r="T252" i="14"/>
  <c r="T253" i="14" s="1"/>
  <c r="S252" i="14"/>
  <c r="S253" i="14" s="1"/>
  <c r="E252" i="14"/>
  <c r="R252" i="14"/>
  <c r="R253" i="14" s="1"/>
  <c r="AD252" i="14"/>
  <c r="AD253" i="14" s="1"/>
  <c r="K252" i="14"/>
  <c r="K253" i="14" s="1"/>
  <c r="U252" i="14"/>
  <c r="U253" i="14" s="1"/>
  <c r="AC252" i="14"/>
  <c r="AC253" i="14" s="1"/>
  <c r="F252" i="14"/>
  <c r="F253" i="14" s="1"/>
  <c r="N252" i="14"/>
  <c r="N253" i="14" s="1"/>
  <c r="Z252" i="14"/>
  <c r="Z253" i="14" s="1"/>
  <c r="L252" i="14"/>
  <c r="L253" i="14" s="1"/>
  <c r="J252" i="14"/>
  <c r="J253" i="14" s="1"/>
  <c r="M252" i="14"/>
  <c r="M253" i="14" s="1"/>
  <c r="AB252" i="14"/>
  <c r="AB253" i="14" s="1"/>
  <c r="V252" i="14"/>
  <c r="V253" i="14" s="1"/>
  <c r="X234" i="14"/>
  <c r="X235" i="14" s="1"/>
  <c r="K214" i="14"/>
  <c r="K215" i="14" s="1"/>
  <c r="AA214" i="14"/>
  <c r="AA215" i="14" s="1"/>
  <c r="Z214" i="14"/>
  <c r="Z215" i="14" s="1"/>
  <c r="I214" i="14"/>
  <c r="I215" i="14" s="1"/>
  <c r="Q214" i="14"/>
  <c r="Q215" i="14" s="1"/>
  <c r="X214" i="14"/>
  <c r="X215" i="14" s="1"/>
  <c r="H214" i="14"/>
  <c r="H215" i="14" s="1"/>
  <c r="AB214" i="14"/>
  <c r="J214" i="14"/>
  <c r="J215" i="14" s="1"/>
  <c r="P214" i="14"/>
  <c r="P215" i="14" s="1"/>
  <c r="S214" i="14"/>
  <c r="S215" i="14" s="1"/>
  <c r="AF214" i="14"/>
  <c r="Y214" i="14"/>
  <c r="Y215" i="14" s="1"/>
  <c r="R214" i="14"/>
  <c r="R215" i="14" s="1"/>
  <c r="T142" i="14"/>
  <c r="T143" i="14" s="1"/>
  <c r="AD234" i="14"/>
  <c r="AD235" i="14" s="1"/>
  <c r="AB159" i="14"/>
  <c r="AB160" i="14" s="1"/>
  <c r="W159" i="14"/>
  <c r="W160" i="14" s="1"/>
  <c r="U159" i="14"/>
  <c r="U160" i="14" s="1"/>
  <c r="AE159" i="14"/>
  <c r="AE160" i="14" s="1"/>
  <c r="AC159" i="14"/>
  <c r="AC160" i="14" s="1"/>
  <c r="P159" i="14"/>
  <c r="P160" i="14" s="1"/>
  <c r="K159" i="14"/>
  <c r="K160" i="14" s="1"/>
  <c r="S159" i="14"/>
  <c r="S160" i="14" s="1"/>
  <c r="T159" i="14"/>
  <c r="T160" i="14" s="1"/>
  <c r="AA159" i="14"/>
  <c r="AA160" i="14" s="1"/>
  <c r="X159" i="14"/>
  <c r="X160" i="14" s="1"/>
  <c r="R159" i="14"/>
  <c r="R160" i="14" s="1"/>
  <c r="J159" i="14"/>
  <c r="J160" i="14" s="1"/>
  <c r="L159" i="14"/>
  <c r="L160" i="14" s="1"/>
  <c r="G159" i="14"/>
  <c r="G160" i="14" s="1"/>
  <c r="M159" i="14"/>
  <c r="M160" i="14" s="1"/>
  <c r="Z159" i="14"/>
  <c r="Z160" i="14" s="1"/>
  <c r="O159" i="14"/>
  <c r="O160" i="14" s="1"/>
  <c r="H159" i="14"/>
  <c r="H160" i="14" s="1"/>
  <c r="AD159" i="14"/>
  <c r="AD160" i="14" s="1"/>
  <c r="S279" i="14"/>
  <c r="S280" i="14" s="1"/>
  <c r="I159" i="14"/>
  <c r="I160" i="14" s="1"/>
  <c r="Y234" i="14"/>
  <c r="Y235" i="14" s="1"/>
  <c r="G214" i="14"/>
  <c r="G215" i="14" s="1"/>
  <c r="I142" i="14"/>
  <c r="I143" i="14" s="1"/>
  <c r="Q142" i="14"/>
  <c r="Q143" i="14" s="1"/>
  <c r="Y142" i="14"/>
  <c r="Y143" i="14" s="1"/>
  <c r="J142" i="14"/>
  <c r="J143" i="14" s="1"/>
  <c r="R142" i="14"/>
  <c r="R143" i="14" s="1"/>
  <c r="W142" i="14"/>
  <c r="W143" i="14" s="1"/>
  <c r="O142" i="14"/>
  <c r="O143" i="14" s="1"/>
  <c r="Z142" i="14"/>
  <c r="Z143" i="14" s="1"/>
  <c r="G142" i="14"/>
  <c r="G143" i="14" s="1"/>
  <c r="K142" i="14"/>
  <c r="K143" i="14" s="1"/>
  <c r="O351" i="14"/>
  <c r="O352" i="14" s="1"/>
  <c r="E351" i="14"/>
  <c r="AD351" i="14"/>
  <c r="AD352" i="14" s="1"/>
  <c r="N351" i="14"/>
  <c r="N352" i="14" s="1"/>
  <c r="V351" i="14"/>
  <c r="V352" i="14" s="1"/>
  <c r="L351" i="14"/>
  <c r="L352" i="14" s="1"/>
  <c r="W351" i="14"/>
  <c r="W352" i="14" s="1"/>
  <c r="U351" i="14"/>
  <c r="U352" i="14" s="1"/>
  <c r="AF351" i="14"/>
  <c r="AF352" i="14" s="1"/>
  <c r="AC351" i="14"/>
  <c r="AC352" i="14" s="1"/>
  <c r="M351" i="14"/>
  <c r="T351" i="14"/>
  <c r="T352" i="14" s="1"/>
  <c r="AE351" i="14"/>
  <c r="S351" i="14"/>
  <c r="S352" i="14" s="1"/>
  <c r="AB351" i="14"/>
  <c r="AB352" i="14" s="1"/>
  <c r="G351" i="14"/>
  <c r="G352" i="14" s="1"/>
  <c r="K351" i="14"/>
  <c r="K352" i="14" s="1"/>
  <c r="F351" i="14"/>
  <c r="F352" i="14" s="1"/>
  <c r="AA351" i="14"/>
  <c r="AA352" i="14" s="1"/>
  <c r="U264" i="14"/>
  <c r="U265" i="14" s="1"/>
  <c r="AB279" i="14"/>
  <c r="AB280" i="14" s="1"/>
  <c r="E215" i="14"/>
  <c r="AI181" i="14"/>
  <c r="AH181" i="14"/>
  <c r="AG181" i="14"/>
  <c r="E160" i="14"/>
  <c r="T264" i="14"/>
  <c r="T265" i="14" s="1"/>
  <c r="P351" i="14"/>
  <c r="P352" i="14" s="1"/>
  <c r="W234" i="14"/>
  <c r="W235" i="14" s="1"/>
  <c r="Y351" i="14"/>
  <c r="Y352" i="14" s="1"/>
  <c r="V159" i="14"/>
  <c r="V160" i="14" s="1"/>
  <c r="AD142" i="14"/>
  <c r="AD143" i="14" s="1"/>
  <c r="F214" i="14"/>
  <c r="F215" i="14" s="1"/>
  <c r="X351" i="14"/>
  <c r="X352" i="14" s="1"/>
  <c r="Q380" i="14"/>
  <c r="Q381" i="14" s="1"/>
  <c r="P380" i="14"/>
  <c r="P381" i="14" s="1"/>
  <c r="AL380" i="14"/>
  <c r="AL381" i="14" s="1"/>
  <c r="I380" i="14"/>
  <c r="I381" i="14" s="1"/>
  <c r="G380" i="14"/>
  <c r="G381" i="14" s="1"/>
  <c r="Y380" i="14"/>
  <c r="Y381" i="14" s="1"/>
  <c r="N380" i="14"/>
  <c r="N381" i="14" s="1"/>
  <c r="F380" i="14"/>
  <c r="F381" i="14" s="1"/>
  <c r="X380" i="14"/>
  <c r="X381" i="14" s="1"/>
  <c r="V380" i="14"/>
  <c r="V381" i="14" s="1"/>
  <c r="W380" i="14"/>
  <c r="W381" i="14" s="1"/>
  <c r="AF380" i="14"/>
  <c r="AF381" i="14" s="1"/>
  <c r="AG380" i="14"/>
  <c r="AG381" i="14" s="1"/>
  <c r="AE380" i="14"/>
  <c r="AE381" i="14" s="1"/>
  <c r="AD380" i="14"/>
  <c r="AD381" i="14" s="1"/>
  <c r="O380" i="14"/>
  <c r="O381" i="14" s="1"/>
  <c r="H380" i="14"/>
  <c r="H381" i="14" s="1"/>
  <c r="E234" i="14"/>
  <c r="N142" i="14"/>
  <c r="N143" i="14" s="1"/>
  <c r="AE214" i="14"/>
  <c r="AE215" i="14" s="1"/>
  <c r="P303" i="14"/>
  <c r="P304" i="14" s="1"/>
  <c r="AJ278" i="14"/>
  <c r="AI278" i="14"/>
  <c r="I279" i="14"/>
  <c r="I280" i="14" s="1"/>
  <c r="M142" i="14"/>
  <c r="M143" i="14" s="1"/>
  <c r="AI158" i="14"/>
  <c r="AH158" i="14"/>
  <c r="Y252" i="14"/>
  <c r="Y253" i="14" s="1"/>
  <c r="T380" i="14"/>
  <c r="T381" i="14" s="1"/>
  <c r="H252" i="14"/>
  <c r="H253" i="14" s="1"/>
  <c r="X252" i="14"/>
  <c r="X253" i="14" s="1"/>
  <c r="AE252" i="14"/>
  <c r="AE253" i="14" s="1"/>
  <c r="M279" i="14"/>
  <c r="M280" i="14" s="1"/>
  <c r="E380" i="14"/>
  <c r="L132" i="15" l="1"/>
  <c r="E132" i="15"/>
  <c r="G132" i="15"/>
  <c r="AB132" i="15"/>
  <c r="S132" i="15"/>
  <c r="I132" i="15"/>
  <c r="M132" i="15"/>
  <c r="F132" i="15"/>
  <c r="T132" i="15"/>
  <c r="R132" i="15"/>
  <c r="K132" i="15"/>
  <c r="J132" i="15"/>
  <c r="P132" i="15"/>
  <c r="X132" i="15"/>
  <c r="Z132" i="15"/>
  <c r="N132" i="15"/>
  <c r="W132" i="15"/>
  <c r="Q132" i="15"/>
  <c r="AD132" i="15"/>
  <c r="V132" i="15"/>
  <c r="Y132" i="15"/>
  <c r="O132" i="15"/>
  <c r="U132" i="15"/>
  <c r="H132" i="15"/>
  <c r="AC132" i="15"/>
  <c r="AA132" i="15"/>
  <c r="D215" i="14"/>
  <c r="J216" i="14"/>
  <c r="E253" i="14"/>
  <c r="D253" i="14"/>
  <c r="D304" i="14"/>
  <c r="E304" i="14"/>
  <c r="AE216" i="14"/>
  <c r="D216" i="14"/>
  <c r="J281" i="14"/>
  <c r="W281" i="14"/>
  <c r="E184" i="14"/>
  <c r="D184" i="14"/>
  <c r="O281" i="14"/>
  <c r="X281" i="14"/>
  <c r="D280" i="14"/>
  <c r="D161" i="14"/>
  <c r="M161" i="14" s="1"/>
  <c r="E161" i="14"/>
  <c r="P161" i="14"/>
  <c r="E381" i="14"/>
  <c r="D381" i="14"/>
  <c r="D160" i="14"/>
  <c r="R216" i="14"/>
  <c r="E265" i="14"/>
  <c r="D265" i="14"/>
  <c r="M281" i="14"/>
  <c r="AB281" i="14"/>
  <c r="D143" i="14"/>
  <c r="E143" i="14"/>
  <c r="AF281" i="14"/>
  <c r="Y281" i="14"/>
  <c r="D281" i="14"/>
  <c r="R281" i="14" s="1"/>
  <c r="V281" i="14"/>
  <c r="I216" i="14"/>
  <c r="E235" i="14"/>
  <c r="D235" i="14"/>
  <c r="S216" i="14"/>
  <c r="Z216" i="14"/>
  <c r="K281" i="14"/>
  <c r="P281" i="14"/>
  <c r="G281" i="14"/>
  <c r="H216" i="14"/>
  <c r="D352" i="14"/>
  <c r="E352" i="14"/>
  <c r="P216" i="14"/>
  <c r="AA216" i="14"/>
  <c r="AA281" i="14"/>
  <c r="N281" i="14"/>
  <c r="H281" i="14"/>
  <c r="AB161" i="14" l="1"/>
  <c r="AA161" i="14"/>
  <c r="AC161" i="14"/>
  <c r="O161" i="14"/>
  <c r="K161" i="14"/>
  <c r="S161" i="14"/>
  <c r="T161" i="14"/>
  <c r="Z161" i="14"/>
  <c r="H161" i="14"/>
  <c r="U161" i="14"/>
  <c r="AE161" i="14"/>
  <c r="J161" i="14"/>
  <c r="V161" i="14"/>
  <c r="R161" i="14"/>
  <c r="X161" i="14"/>
  <c r="W161" i="14"/>
  <c r="AD161" i="14"/>
  <c r="D133" i="15"/>
  <c r="D353" i="14"/>
  <c r="D144" i="14"/>
  <c r="AA184" i="14"/>
  <c r="K184" i="14"/>
  <c r="P184" i="14"/>
  <c r="Z184" i="14"/>
  <c r="S184" i="14"/>
  <c r="AE184" i="14"/>
  <c r="L184" i="14"/>
  <c r="Q184" i="14"/>
  <c r="G184" i="14"/>
  <c r="O184" i="14"/>
  <c r="U184" i="14"/>
  <c r="R184" i="14"/>
  <c r="J184" i="14"/>
  <c r="H184" i="14"/>
  <c r="W184" i="14"/>
  <c r="AB184" i="14"/>
  <c r="AC184" i="14"/>
  <c r="Y184" i="14"/>
  <c r="F184" i="14"/>
  <c r="D185" i="14" s="1"/>
  <c r="I184" i="14"/>
  <c r="V184" i="14"/>
  <c r="T184" i="14"/>
  <c r="N184" i="14"/>
  <c r="M184" i="14"/>
  <c r="X184" i="14"/>
  <c r="AD184" i="14"/>
  <c r="D305" i="14"/>
  <c r="E305" i="14"/>
  <c r="AE281" i="14"/>
  <c r="Z281" i="14"/>
  <c r="F281" i="14"/>
  <c r="D266" i="14"/>
  <c r="AF216" i="14"/>
  <c r="AB216" i="14"/>
  <c r="L216" i="14"/>
  <c r="U216" i="14"/>
  <c r="N216" i="14"/>
  <c r="V216" i="14"/>
  <c r="T216" i="14"/>
  <c r="O216" i="14"/>
  <c r="AD216" i="14"/>
  <c r="M216" i="14"/>
  <c r="W216" i="14"/>
  <c r="AC216" i="14"/>
  <c r="D382" i="14"/>
  <c r="E216" i="14"/>
  <c r="D254" i="14"/>
  <c r="E254" i="14" s="1"/>
  <c r="AC281" i="14"/>
  <c r="U281" i="14"/>
  <c r="T281" i="14"/>
  <c r="Q281" i="14"/>
  <c r="L281" i="14"/>
  <c r="S281" i="14"/>
  <c r="Y161" i="14"/>
  <c r="F161" i="14"/>
  <c r="D162" i="14" s="1"/>
  <c r="N161" i="14"/>
  <c r="Q161" i="14"/>
  <c r="F216" i="14"/>
  <c r="G161" i="14"/>
  <c r="L161" i="14"/>
  <c r="E236" i="14"/>
  <c r="D236" i="14"/>
  <c r="Q216" i="14"/>
  <c r="G216" i="14"/>
  <c r="I281" i="14"/>
  <c r="X216" i="14"/>
  <c r="AD281" i="14"/>
  <c r="E281" i="14"/>
  <c r="Y216" i="14"/>
  <c r="I161" i="14"/>
  <c r="K216" i="14"/>
  <c r="S236" i="14" l="1"/>
  <c r="H236" i="14"/>
  <c r="U236" i="14"/>
  <c r="P236" i="14"/>
  <c r="R236" i="14"/>
  <c r="M236" i="14"/>
  <c r="AC236" i="14"/>
  <c r="K236" i="14"/>
  <c r="T236" i="14"/>
  <c r="AF236" i="14"/>
  <c r="Z236" i="14"/>
  <c r="V236" i="14"/>
  <c r="G236" i="14"/>
  <c r="O236" i="14"/>
  <c r="J236" i="14"/>
  <c r="X236" i="14"/>
  <c r="Q236" i="14"/>
  <c r="AA236" i="14"/>
  <c r="L236" i="14"/>
  <c r="W236" i="14"/>
  <c r="AB236" i="14"/>
  <c r="Y236" i="14"/>
  <c r="I236" i="14"/>
  <c r="D237" i="14" s="1"/>
  <c r="N236" i="14"/>
  <c r="F236" i="14"/>
  <c r="AD236" i="14"/>
  <c r="AE236" i="14"/>
  <c r="I254" i="14"/>
  <c r="P254" i="14"/>
  <c r="O254" i="14"/>
  <c r="G254" i="14"/>
  <c r="AF254" i="14"/>
  <c r="W254" i="14"/>
  <c r="Q254" i="14"/>
  <c r="X254" i="14"/>
  <c r="AD254" i="14"/>
  <c r="AB254" i="14"/>
  <c r="K254" i="14"/>
  <c r="Z254" i="14"/>
  <c r="AE254" i="14"/>
  <c r="AA254" i="14"/>
  <c r="M254" i="14"/>
  <c r="H254" i="14"/>
  <c r="N254" i="14"/>
  <c r="T254" i="14"/>
  <c r="AC254" i="14"/>
  <c r="U254" i="14"/>
  <c r="V254" i="14"/>
  <c r="S254" i="14"/>
  <c r="J254" i="14"/>
  <c r="R254" i="14"/>
  <c r="Y254" i="14"/>
  <c r="F254" i="14"/>
  <c r="L254" i="14"/>
  <c r="AE305" i="14"/>
  <c r="L305" i="14"/>
  <c r="T305" i="14"/>
  <c r="Y305" i="14"/>
  <c r="Q305" i="14"/>
  <c r="I305" i="14"/>
  <c r="AB305" i="14"/>
  <c r="AD305" i="14"/>
  <c r="O305" i="14"/>
  <c r="V305" i="14"/>
  <c r="M305" i="14"/>
  <c r="G305" i="14"/>
  <c r="S305" i="14"/>
  <c r="R305" i="14"/>
  <c r="P305" i="14"/>
  <c r="AF305" i="14"/>
  <c r="J305" i="14"/>
  <c r="X305" i="14"/>
  <c r="H305" i="14"/>
  <c r="U305" i="14"/>
  <c r="N305" i="14"/>
  <c r="F305" i="14"/>
  <c r="D306" i="14" s="1"/>
  <c r="W305" i="14"/>
  <c r="AC305" i="14"/>
  <c r="AA305" i="14"/>
  <c r="K305" i="14"/>
  <c r="Z305" i="14"/>
  <c r="AC266" i="14"/>
  <c r="Q266" i="14"/>
  <c r="H266" i="14"/>
  <c r="G266" i="14"/>
  <c r="U266" i="14"/>
  <c r="F266" i="14"/>
  <c r="Z266" i="14"/>
  <c r="T266" i="14"/>
  <c r="P266" i="14"/>
  <c r="I266" i="14"/>
  <c r="O266" i="14"/>
  <c r="W266" i="14"/>
  <c r="S266" i="14"/>
  <c r="AE266" i="14"/>
  <c r="Y266" i="14"/>
  <c r="AB266" i="14"/>
  <c r="AF266" i="14"/>
  <c r="J266" i="14"/>
  <c r="X266" i="14"/>
  <c r="R266" i="14"/>
  <c r="K266" i="14"/>
  <c r="AA266" i="14"/>
  <c r="L266" i="14"/>
  <c r="N266" i="14"/>
  <c r="M266" i="14"/>
  <c r="AD266" i="14"/>
  <c r="V266" i="14"/>
  <c r="E266" i="14"/>
  <c r="AB382" i="14"/>
  <c r="AJ382" i="14"/>
  <c r="AH382" i="14"/>
  <c r="AA382" i="14"/>
  <c r="L382" i="14"/>
  <c r="AI382" i="14"/>
  <c r="AC382" i="14"/>
  <c r="AK382" i="14"/>
  <c r="M382" i="14"/>
  <c r="U382" i="14"/>
  <c r="R382" i="14"/>
  <c r="S382" i="14"/>
  <c r="K382" i="14"/>
  <c r="J382" i="14"/>
  <c r="Z382" i="14"/>
  <c r="T382" i="14"/>
  <c r="F382" i="14"/>
  <c r="G382" i="14"/>
  <c r="V382" i="14"/>
  <c r="P382" i="14"/>
  <c r="N382" i="14"/>
  <c r="I382" i="14"/>
  <c r="H382" i="14"/>
  <c r="AD382" i="14"/>
  <c r="O382" i="14"/>
  <c r="AG382" i="14"/>
  <c r="X382" i="14"/>
  <c r="Y382" i="14"/>
  <c r="W382" i="14"/>
  <c r="AL382" i="14"/>
  <c r="AE382" i="14"/>
  <c r="Q382" i="14"/>
  <c r="AF382" i="14"/>
  <c r="H144" i="14"/>
  <c r="U144" i="14"/>
  <c r="L144" i="14"/>
  <c r="G144" i="14"/>
  <c r="F144" i="14"/>
  <c r="V144" i="14"/>
  <c r="I144" i="14"/>
  <c r="R144" i="14"/>
  <c r="AD144" i="14"/>
  <c r="AA144" i="14"/>
  <c r="W144" i="14"/>
  <c r="X144" i="14"/>
  <c r="O144" i="14"/>
  <c r="AC144" i="14"/>
  <c r="AB144" i="14"/>
  <c r="J144" i="14"/>
  <c r="T144" i="14"/>
  <c r="Y144" i="14"/>
  <c r="N144" i="14"/>
  <c r="Q144" i="14"/>
  <c r="Z144" i="14"/>
  <c r="P144" i="14"/>
  <c r="K144" i="14"/>
  <c r="M144" i="14"/>
  <c r="S144" i="14"/>
  <c r="D282" i="14"/>
  <c r="E382" i="14"/>
  <c r="E144" i="14"/>
  <c r="AE353" i="14"/>
  <c r="J353" i="14"/>
  <c r="R353" i="14"/>
  <c r="Q353" i="14"/>
  <c r="H353" i="14"/>
  <c r="I353" i="14"/>
  <c r="X353" i="14"/>
  <c r="AF353" i="14"/>
  <c r="AD353" i="14"/>
  <c r="Z353" i="14"/>
  <c r="O353" i="14"/>
  <c r="N353" i="14"/>
  <c r="Y353" i="14"/>
  <c r="K353" i="14"/>
  <c r="M353" i="14"/>
  <c r="AB353" i="14"/>
  <c r="V353" i="14"/>
  <c r="T353" i="14"/>
  <c r="F353" i="14"/>
  <c r="AC353" i="14"/>
  <c r="W353" i="14"/>
  <c r="L353" i="14"/>
  <c r="G353" i="14"/>
  <c r="P353" i="14"/>
  <c r="U353" i="14"/>
  <c r="AA353" i="14"/>
  <c r="S353" i="14"/>
  <c r="D217" i="14"/>
  <c r="E353" i="14"/>
  <c r="D255" i="14" l="1"/>
  <c r="D145" i="14"/>
  <c r="D383" i="14"/>
  <c r="D354" i="14"/>
  <c r="D267" i="14"/>
  <c r="D9" i="1"/>
  <c r="G26" i="13"/>
  <c r="I27" i="13"/>
  <c r="I26" i="13"/>
  <c r="K25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H9" i="13"/>
  <c r="H10" i="13"/>
  <c r="H11" i="13"/>
  <c r="H14" i="13"/>
  <c r="H25" i="13"/>
  <c r="H16" i="13"/>
  <c r="H17" i="13"/>
  <c r="H18" i="13"/>
  <c r="H22" i="13"/>
  <c r="H23" i="13"/>
  <c r="H24" i="13"/>
  <c r="H8" i="13"/>
  <c r="I25" i="13"/>
  <c r="J10" i="13" s="1"/>
  <c r="G25" i="13"/>
  <c r="T33" i="5"/>
  <c r="Q303" i="5"/>
  <c r="Q311" i="5" s="1"/>
  <c r="L311" i="5"/>
  <c r="I311" i="5"/>
  <c r="H311" i="5"/>
  <c r="G311" i="5"/>
  <c r="F311" i="5"/>
  <c r="O311" i="5"/>
  <c r="J311" i="5"/>
  <c r="Q125" i="5"/>
  <c r="Q124" i="5"/>
  <c r="Q289" i="5"/>
  <c r="Q288" i="5"/>
  <c r="Q286" i="5"/>
  <c r="Q285" i="5"/>
  <c r="Q265" i="5"/>
  <c r="Q264" i="5"/>
  <c r="Q218" i="5"/>
  <c r="Q217" i="5"/>
  <c r="Q208" i="5"/>
  <c r="Q207" i="5"/>
  <c r="Q209" i="5" s="1"/>
  <c r="Q187" i="5"/>
  <c r="Q188" i="5"/>
  <c r="Q172" i="5"/>
  <c r="Q171" i="5"/>
  <c r="Q150" i="5"/>
  <c r="Q149" i="5"/>
  <c r="Q147" i="5"/>
  <c r="Q146" i="5"/>
  <c r="Q70" i="5"/>
  <c r="Q69" i="5"/>
  <c r="Q50" i="5"/>
  <c r="Q49" i="5"/>
  <c r="M19" i="5"/>
  <c r="F275" i="5"/>
  <c r="U25" i="5" l="1"/>
  <c r="R302" i="5"/>
  <c r="S302" i="5" s="1"/>
  <c r="R307" i="5"/>
  <c r="S307" i="5" s="1"/>
  <c r="R309" i="5"/>
  <c r="S309" i="5" s="1"/>
  <c r="R310" i="5"/>
  <c r="S310" i="5" s="1"/>
  <c r="R308" i="5"/>
  <c r="S308" i="5" s="1"/>
  <c r="R304" i="5"/>
  <c r="S304" i="5" s="1"/>
  <c r="R305" i="5"/>
  <c r="S305" i="5" s="1"/>
  <c r="R306" i="5"/>
  <c r="S306" i="5" s="1"/>
  <c r="L13" i="13"/>
  <c r="M13" i="13" s="1"/>
  <c r="L21" i="13"/>
  <c r="L14" i="13"/>
  <c r="M14" i="13" s="1"/>
  <c r="L22" i="13"/>
  <c r="M22" i="13" s="1"/>
  <c r="L20" i="13"/>
  <c r="L15" i="13"/>
  <c r="L24" i="13"/>
  <c r="M24" i="13" s="1"/>
  <c r="L23" i="13"/>
  <c r="M23" i="13" s="1"/>
  <c r="L16" i="13"/>
  <c r="M16" i="13" s="1"/>
  <c r="L9" i="13"/>
  <c r="L17" i="13"/>
  <c r="M17" i="13" s="1"/>
  <c r="L12" i="13"/>
  <c r="L10" i="13"/>
  <c r="L18" i="13"/>
  <c r="L11" i="13"/>
  <c r="L19" i="13"/>
  <c r="M19" i="13" s="1"/>
  <c r="J9" i="13"/>
  <c r="J23" i="13"/>
  <c r="J17" i="13"/>
  <c r="J15" i="13"/>
  <c r="J24" i="13"/>
  <c r="J16" i="13"/>
  <c r="J22" i="13"/>
  <c r="J14" i="13"/>
  <c r="J21" i="13"/>
  <c r="J13" i="13"/>
  <c r="J20" i="13"/>
  <c r="J12" i="13"/>
  <c r="J19" i="13"/>
  <c r="J11" i="13"/>
  <c r="J8" i="13"/>
  <c r="J18" i="13"/>
  <c r="R301" i="5"/>
  <c r="R303" i="5"/>
  <c r="S303" i="5" s="1"/>
  <c r="P311" i="5"/>
  <c r="M311" i="5"/>
  <c r="K311" i="5"/>
  <c r="L25" i="13" l="1"/>
  <c r="S301" i="5"/>
  <c r="S311" i="5" s="1"/>
  <c r="R311" i="5"/>
  <c r="N311" i="5"/>
  <c r="F57" i="5"/>
  <c r="M25" i="13" l="1"/>
  <c r="N8" i="13" s="1"/>
  <c r="O8" i="13" s="1"/>
  <c r="P8" i="13" s="1"/>
  <c r="J25" i="13"/>
  <c r="N18" i="13" l="1"/>
  <c r="O18" i="13" s="1"/>
  <c r="N12" i="13"/>
  <c r="O12" i="13" s="1"/>
  <c r="N20" i="13"/>
  <c r="O20" i="13" s="1"/>
  <c r="N21" i="13"/>
  <c r="O21" i="13" s="1"/>
  <c r="N9" i="13"/>
  <c r="N19" i="13"/>
  <c r="N13" i="13"/>
  <c r="N15" i="13"/>
  <c r="N16" i="13"/>
  <c r="O16" i="13" s="1"/>
  <c r="N23" i="13"/>
  <c r="N22" i="13"/>
  <c r="N14" i="13"/>
  <c r="O14" i="13" s="1"/>
  <c r="N11" i="13"/>
  <c r="N24" i="13"/>
  <c r="N10" i="13"/>
  <c r="N17" i="13"/>
  <c r="J134" i="5"/>
  <c r="O25" i="13" l="1"/>
  <c r="N25" i="13"/>
  <c r="P33" i="5"/>
  <c r="R33" i="5"/>
  <c r="F18" i="5"/>
  <c r="Q78" i="5"/>
  <c r="O188" i="5"/>
  <c r="O187" i="5"/>
  <c r="O183" i="5"/>
  <c r="O165" i="5"/>
  <c r="O176" i="5" s="1"/>
  <c r="O124" i="5"/>
  <c r="O125" i="5"/>
  <c r="J154" i="5"/>
  <c r="J153" i="5"/>
  <c r="J152" i="5"/>
  <c r="J151" i="5"/>
  <c r="J148" i="5"/>
  <c r="J147" i="5"/>
  <c r="J146" i="5"/>
  <c r="J145" i="5"/>
  <c r="J143" i="5"/>
  <c r="J142" i="5"/>
  <c r="J141" i="5"/>
  <c r="J125" i="5"/>
  <c r="J124" i="5"/>
  <c r="J123" i="5"/>
  <c r="J122" i="5"/>
  <c r="J121" i="5"/>
  <c r="J120" i="5"/>
  <c r="J259" i="5"/>
  <c r="J18" i="5"/>
  <c r="L236" i="5"/>
  <c r="G176" i="5"/>
  <c r="F4" i="12"/>
  <c r="F5" i="12"/>
  <c r="F6" i="12"/>
  <c r="F7" i="12"/>
  <c r="F8" i="12"/>
  <c r="F9" i="12"/>
  <c r="F10" i="12"/>
  <c r="F11" i="12"/>
  <c r="F12" i="12"/>
  <c r="F13" i="12"/>
  <c r="F14" i="12"/>
  <c r="F15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3" i="12"/>
  <c r="F34" i="12"/>
  <c r="F35" i="12"/>
  <c r="F36" i="12"/>
  <c r="F37" i="12"/>
  <c r="F38" i="12"/>
  <c r="F39" i="12"/>
  <c r="F40" i="12"/>
  <c r="F43" i="12"/>
  <c r="F44" i="12"/>
  <c r="F45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3" i="12"/>
  <c r="D15" i="12"/>
  <c r="E15" i="12"/>
  <c r="C30" i="12"/>
  <c r="D30" i="12"/>
  <c r="E30" i="12"/>
  <c r="C45" i="12"/>
  <c r="D45" i="12"/>
  <c r="E45" i="12"/>
  <c r="C61" i="12"/>
  <c r="D61" i="12"/>
  <c r="E61" i="12"/>
  <c r="C77" i="12"/>
  <c r="D77" i="12"/>
  <c r="E77" i="12"/>
  <c r="C92" i="12"/>
  <c r="D92" i="12"/>
  <c r="E92" i="12"/>
  <c r="C108" i="12"/>
  <c r="D108" i="12"/>
  <c r="E108" i="12"/>
  <c r="C124" i="12"/>
  <c r="D124" i="12"/>
  <c r="E124" i="12"/>
  <c r="C139" i="12"/>
  <c r="D139" i="12"/>
  <c r="E139" i="12"/>
  <c r="C155" i="12"/>
  <c r="D155" i="12"/>
  <c r="E155" i="12"/>
  <c r="C171" i="12"/>
  <c r="D171" i="12"/>
  <c r="E171" i="12"/>
  <c r="C15" i="12"/>
  <c r="O286" i="5"/>
  <c r="O285" i="5"/>
  <c r="O265" i="5"/>
  <c r="O264" i="5"/>
  <c r="O245" i="5"/>
  <c r="O244" i="5"/>
  <c r="J294" i="5"/>
  <c r="J293" i="5"/>
  <c r="J292" i="5"/>
  <c r="J291" i="5"/>
  <c r="J286" i="5"/>
  <c r="J285" i="5"/>
  <c r="J284" i="5"/>
  <c r="J283" i="5"/>
  <c r="J282" i="5"/>
  <c r="J281" i="5"/>
  <c r="J274" i="5"/>
  <c r="J273" i="5"/>
  <c r="J272" i="5"/>
  <c r="J271" i="5"/>
  <c r="J264" i="5"/>
  <c r="J263" i="5"/>
  <c r="J262" i="5"/>
  <c r="J261" i="5"/>
  <c r="L295" i="5"/>
  <c r="G295" i="5"/>
  <c r="F295" i="5"/>
  <c r="H295" i="5"/>
  <c r="L275" i="5"/>
  <c r="G275" i="5"/>
  <c r="J265" i="5"/>
  <c r="Q275" i="5"/>
  <c r="H275" i="5"/>
  <c r="L253" i="5"/>
  <c r="G253" i="5"/>
  <c r="F253" i="5"/>
  <c r="M253" i="5"/>
  <c r="J253" i="5"/>
  <c r="L31" i="5"/>
  <c r="L30" i="5"/>
  <c r="M30" i="5" s="1"/>
  <c r="J31" i="5"/>
  <c r="J30" i="5"/>
  <c r="L78" i="5"/>
  <c r="G78" i="5"/>
  <c r="F78" i="5"/>
  <c r="G236" i="5"/>
  <c r="F236" i="5"/>
  <c r="L219" i="5"/>
  <c r="I219" i="5"/>
  <c r="H219" i="5"/>
  <c r="G219" i="5"/>
  <c r="F219" i="5"/>
  <c r="L209" i="5"/>
  <c r="G209" i="5"/>
  <c r="F209" i="5"/>
  <c r="H209" i="5"/>
  <c r="U32" i="5" l="1"/>
  <c r="R272" i="5"/>
  <c r="R274" i="5"/>
  <c r="R260" i="5"/>
  <c r="S260" i="5" s="1"/>
  <c r="R259" i="5"/>
  <c r="R264" i="5"/>
  <c r="R265" i="5"/>
  <c r="R261" i="5"/>
  <c r="R273" i="5"/>
  <c r="R64" i="5"/>
  <c r="R71" i="5"/>
  <c r="R65" i="5"/>
  <c r="R76" i="5"/>
  <c r="R77" i="5"/>
  <c r="R75" i="5"/>
  <c r="S75" i="5" s="1"/>
  <c r="R208" i="5"/>
  <c r="S208" i="5" s="1"/>
  <c r="R204" i="5"/>
  <c r="R205" i="5"/>
  <c r="S205" i="5" s="1"/>
  <c r="R206" i="5"/>
  <c r="S206" i="5" s="1"/>
  <c r="R207" i="5"/>
  <c r="S207" i="5" s="1"/>
  <c r="M266" i="5"/>
  <c r="M259" i="5"/>
  <c r="L33" i="5"/>
  <c r="M265" i="5"/>
  <c r="M264" i="5"/>
  <c r="M274" i="5"/>
  <c r="M263" i="5"/>
  <c r="M272" i="5"/>
  <c r="M262" i="5"/>
  <c r="M269" i="5"/>
  <c r="M261" i="5"/>
  <c r="M268" i="5"/>
  <c r="M267" i="5"/>
  <c r="O236" i="5"/>
  <c r="Q236" i="5"/>
  <c r="J236" i="5"/>
  <c r="R262" i="5"/>
  <c r="O295" i="5"/>
  <c r="O275" i="5"/>
  <c r="O253" i="5"/>
  <c r="J275" i="5"/>
  <c r="I295" i="5"/>
  <c r="J295" i="5"/>
  <c r="I275" i="5"/>
  <c r="I253" i="5"/>
  <c r="K253" i="5"/>
  <c r="H253" i="5"/>
  <c r="Q253" i="5"/>
  <c r="J78" i="5"/>
  <c r="R69" i="5"/>
  <c r="O78" i="5"/>
  <c r="J209" i="5"/>
  <c r="O209" i="5"/>
  <c r="O219" i="5"/>
  <c r="Q219" i="5"/>
  <c r="R215" i="5" s="1"/>
  <c r="S215" i="5" s="1"/>
  <c r="J219" i="5"/>
  <c r="L198" i="5"/>
  <c r="G198" i="5"/>
  <c r="L176" i="5"/>
  <c r="F176" i="5"/>
  <c r="L135" i="5"/>
  <c r="L155" i="5" s="1"/>
  <c r="G135" i="5"/>
  <c r="G155" i="5" s="1"/>
  <c r="F135" i="5"/>
  <c r="F155" i="5" s="1"/>
  <c r="J133" i="5"/>
  <c r="J132" i="5"/>
  <c r="J131" i="5"/>
  <c r="J129" i="5"/>
  <c r="L114" i="5"/>
  <c r="G114" i="5"/>
  <c r="F114" i="5"/>
  <c r="L94" i="5"/>
  <c r="G94" i="5"/>
  <c r="F94" i="5"/>
  <c r="S64" i="5" l="1"/>
  <c r="S204" i="5"/>
  <c r="R209" i="5"/>
  <c r="R218" i="5"/>
  <c r="R217" i="5"/>
  <c r="R216" i="5"/>
  <c r="S216" i="5" s="1"/>
  <c r="R74" i="5"/>
  <c r="R70" i="5"/>
  <c r="P287" i="5"/>
  <c r="P289" i="5"/>
  <c r="P282" i="5"/>
  <c r="P290" i="5"/>
  <c r="P281" i="5"/>
  <c r="P288" i="5"/>
  <c r="P283" i="5"/>
  <c r="P291" i="5"/>
  <c r="P284" i="5"/>
  <c r="P292" i="5"/>
  <c r="P285" i="5"/>
  <c r="P293" i="5"/>
  <c r="P286" i="5"/>
  <c r="P294" i="5"/>
  <c r="K272" i="5"/>
  <c r="K266" i="5"/>
  <c r="K273" i="5"/>
  <c r="K259" i="5"/>
  <c r="K274" i="5"/>
  <c r="K261" i="5"/>
  <c r="K262" i="5"/>
  <c r="K263" i="5"/>
  <c r="K269" i="5"/>
  <c r="K264" i="5"/>
  <c r="K271" i="5"/>
  <c r="K265" i="5"/>
  <c r="P266" i="5"/>
  <c r="P269" i="5"/>
  <c r="P267" i="5"/>
  <c r="P270" i="5"/>
  <c r="S270" i="5" s="1"/>
  <c r="P268" i="5"/>
  <c r="P272" i="5"/>
  <c r="P261" i="5"/>
  <c r="P273" i="5"/>
  <c r="P262" i="5"/>
  <c r="P274" i="5"/>
  <c r="P263" i="5"/>
  <c r="P259" i="5"/>
  <c r="P271" i="5"/>
  <c r="P265" i="5"/>
  <c r="P264" i="5"/>
  <c r="O198" i="5"/>
  <c r="O155" i="5"/>
  <c r="J198" i="5"/>
  <c r="J135" i="5"/>
  <c r="K133" i="5" s="1"/>
  <c r="Q114" i="5"/>
  <c r="Q198" i="5"/>
  <c r="J176" i="5"/>
  <c r="I209" i="5"/>
  <c r="Q176" i="5"/>
  <c r="O135" i="5"/>
  <c r="J94" i="5"/>
  <c r="J114" i="5"/>
  <c r="O114" i="5"/>
  <c r="O94" i="5"/>
  <c r="Q94" i="5"/>
  <c r="S259" i="5" l="1"/>
  <c r="R78" i="5"/>
  <c r="R193" i="5"/>
  <c r="S193" i="5" s="1"/>
  <c r="R195" i="5"/>
  <c r="K131" i="5"/>
  <c r="K132" i="5"/>
  <c r="J155" i="5"/>
  <c r="K151" i="5" s="1"/>
  <c r="K134" i="5"/>
  <c r="K120" i="5"/>
  <c r="K125" i="5"/>
  <c r="K124" i="5"/>
  <c r="K121" i="5"/>
  <c r="K122" i="5"/>
  <c r="K123" i="5"/>
  <c r="K129" i="5"/>
  <c r="R185" i="5"/>
  <c r="S185" i="5" s="1"/>
  <c r="R188" i="5"/>
  <c r="R187" i="5"/>
  <c r="P186" i="5"/>
  <c r="P184" i="5"/>
  <c r="S184" i="5" s="1"/>
  <c r="P148" i="5"/>
  <c r="P149" i="5"/>
  <c r="P141" i="5"/>
  <c r="P150" i="5"/>
  <c r="P142" i="5"/>
  <c r="P151" i="5"/>
  <c r="P154" i="5"/>
  <c r="P143" i="5"/>
  <c r="P153" i="5"/>
  <c r="P147" i="5"/>
  <c r="P145" i="5"/>
  <c r="P152" i="5"/>
  <c r="P146" i="5"/>
  <c r="P128" i="5"/>
  <c r="P121" i="5"/>
  <c r="P129" i="5"/>
  <c r="P122" i="5"/>
  <c r="P130" i="5"/>
  <c r="S130" i="5" s="1"/>
  <c r="P126" i="5"/>
  <c r="P123" i="5"/>
  <c r="P131" i="5"/>
  <c r="P134" i="5"/>
  <c r="P120" i="5"/>
  <c r="P132" i="5"/>
  <c r="P125" i="5"/>
  <c r="P133" i="5"/>
  <c r="S133" i="5" s="1"/>
  <c r="P127" i="5"/>
  <c r="P124" i="5"/>
  <c r="P182" i="5"/>
  <c r="P191" i="5"/>
  <c r="P181" i="5"/>
  <c r="P195" i="5"/>
  <c r="P188" i="5"/>
  <c r="P194" i="5"/>
  <c r="P187" i="5"/>
  <c r="P189" i="5"/>
  <c r="P196" i="5"/>
  <c r="P190" i="5"/>
  <c r="P197" i="5"/>
  <c r="P183" i="5"/>
  <c r="P192" i="5"/>
  <c r="P169" i="5"/>
  <c r="P170" i="5"/>
  <c r="P171" i="5"/>
  <c r="P175" i="5"/>
  <c r="P164" i="5"/>
  <c r="P172" i="5"/>
  <c r="P162" i="5"/>
  <c r="P165" i="5"/>
  <c r="P173" i="5"/>
  <c r="P167" i="5"/>
  <c r="P168" i="5"/>
  <c r="P174" i="5"/>
  <c r="P275" i="5"/>
  <c r="J53" i="5"/>
  <c r="O47" i="5"/>
  <c r="O46" i="5"/>
  <c r="J47" i="5"/>
  <c r="J46" i="5"/>
  <c r="J56" i="5"/>
  <c r="J55" i="5"/>
  <c r="J54" i="5"/>
  <c r="J51" i="5"/>
  <c r="J48" i="5"/>
  <c r="J45" i="5"/>
  <c r="J42" i="5"/>
  <c r="J41" i="5"/>
  <c r="J39" i="5"/>
  <c r="G57" i="5"/>
  <c r="L57" i="5"/>
  <c r="M20" i="5"/>
  <c r="M21" i="5"/>
  <c r="M22" i="5"/>
  <c r="M120" i="5" s="1"/>
  <c r="M23" i="5"/>
  <c r="M26" i="5"/>
  <c r="M27" i="5"/>
  <c r="L11" i="5"/>
  <c r="M28" i="5"/>
  <c r="M31" i="5"/>
  <c r="M18" i="5"/>
  <c r="M39" i="5" s="1"/>
  <c r="M65" i="5" l="1"/>
  <c r="M224" i="5"/>
  <c r="S131" i="5"/>
  <c r="M282" i="5"/>
  <c r="M290" i="5"/>
  <c r="M287" i="5"/>
  <c r="M289" i="5"/>
  <c r="M283" i="5"/>
  <c r="M292" i="5"/>
  <c r="M284" i="5"/>
  <c r="M294" i="5"/>
  <c r="M285" i="5"/>
  <c r="M281" i="5"/>
  <c r="M286" i="5"/>
  <c r="M288" i="5"/>
  <c r="M183" i="5"/>
  <c r="M195" i="5"/>
  <c r="M197" i="5"/>
  <c r="M187" i="5"/>
  <c r="M181" i="5"/>
  <c r="M189" i="5"/>
  <c r="M190" i="5"/>
  <c r="M191" i="5"/>
  <c r="M182" i="5"/>
  <c r="M192" i="5"/>
  <c r="M186" i="5"/>
  <c r="M188" i="5"/>
  <c r="M170" i="5"/>
  <c r="M171" i="5"/>
  <c r="M172" i="5"/>
  <c r="M164" i="5"/>
  <c r="M173" i="5"/>
  <c r="M165" i="5"/>
  <c r="M174" i="5"/>
  <c r="M167" i="5"/>
  <c r="M175" i="5"/>
  <c r="M168" i="5"/>
  <c r="M162" i="5"/>
  <c r="M169" i="5"/>
  <c r="K142" i="5"/>
  <c r="M146" i="5"/>
  <c r="M141" i="5"/>
  <c r="M147" i="5"/>
  <c r="M148" i="5"/>
  <c r="M149" i="5"/>
  <c r="M154" i="5"/>
  <c r="M150" i="5"/>
  <c r="M143" i="5"/>
  <c r="M142" i="5"/>
  <c r="M151" i="5"/>
  <c r="M153" i="5"/>
  <c r="M145" i="5"/>
  <c r="M71" i="5"/>
  <c r="M72" i="5"/>
  <c r="M73" i="5"/>
  <c r="M74" i="5"/>
  <c r="M67" i="5"/>
  <c r="M68" i="5"/>
  <c r="M77" i="5"/>
  <c r="M69" i="5"/>
  <c r="M70" i="5"/>
  <c r="M66" i="5"/>
  <c r="M76" i="5"/>
  <c r="M84" i="5"/>
  <c r="M92" i="5"/>
  <c r="M85" i="5"/>
  <c r="M93" i="5"/>
  <c r="M86" i="5"/>
  <c r="M87" i="5"/>
  <c r="M89" i="5"/>
  <c r="M90" i="5"/>
  <c r="M83" i="5"/>
  <c r="M91" i="5"/>
  <c r="M82" i="5"/>
  <c r="M88" i="5"/>
  <c r="M107" i="5"/>
  <c r="M108" i="5"/>
  <c r="M109" i="5"/>
  <c r="M110" i="5"/>
  <c r="M103" i="5"/>
  <c r="M104" i="5"/>
  <c r="M112" i="5"/>
  <c r="M105" i="5"/>
  <c r="M113" i="5"/>
  <c r="M106" i="5"/>
  <c r="M111" i="5"/>
  <c r="M125" i="5"/>
  <c r="M126" i="5"/>
  <c r="M124" i="5"/>
  <c r="M132" i="5"/>
  <c r="M127" i="5"/>
  <c r="M129" i="5"/>
  <c r="M134" i="5"/>
  <c r="M128" i="5"/>
  <c r="M121" i="5"/>
  <c r="M122" i="5"/>
  <c r="M123" i="5"/>
  <c r="K154" i="5"/>
  <c r="K149" i="5"/>
  <c r="K141" i="5"/>
  <c r="K153" i="5"/>
  <c r="K145" i="5"/>
  <c r="K147" i="5"/>
  <c r="K148" i="5"/>
  <c r="K152" i="5"/>
  <c r="K146" i="5"/>
  <c r="K143" i="5"/>
  <c r="K150" i="5"/>
  <c r="M33" i="5"/>
  <c r="M225" i="5"/>
  <c r="M234" i="5"/>
  <c r="M232" i="5"/>
  <c r="M226" i="5"/>
  <c r="M235" i="5"/>
  <c r="M230" i="5"/>
  <c r="M227" i="5"/>
  <c r="M228" i="5"/>
  <c r="M229" i="5"/>
  <c r="M231" i="5"/>
  <c r="M233" i="5"/>
  <c r="O57" i="5"/>
  <c r="M42" i="5"/>
  <c r="M54" i="5"/>
  <c r="M45" i="5"/>
  <c r="M56" i="5"/>
  <c r="M46" i="5"/>
  <c r="M50" i="5"/>
  <c r="M41" i="5"/>
  <c r="M51" i="5"/>
  <c r="M47" i="5"/>
  <c r="M48" i="5"/>
  <c r="M49" i="5"/>
  <c r="Q57" i="5"/>
  <c r="J57" i="5"/>
  <c r="R45" i="5" l="1"/>
  <c r="R53" i="5"/>
  <c r="R46" i="5"/>
  <c r="R54" i="5"/>
  <c r="R47" i="5"/>
  <c r="R55" i="5"/>
  <c r="R40" i="5"/>
  <c r="S40" i="5" s="1"/>
  <c r="R48" i="5"/>
  <c r="R56" i="5"/>
  <c r="R41" i="5"/>
  <c r="R42" i="5"/>
  <c r="R43" i="5"/>
  <c r="S43" i="5" s="1"/>
  <c r="R51" i="5"/>
  <c r="R44" i="5"/>
  <c r="S44" i="5" s="1"/>
  <c r="R52" i="5"/>
  <c r="R49" i="5"/>
  <c r="R50" i="5"/>
  <c r="R166" i="5"/>
  <c r="S166" i="5" s="1"/>
  <c r="R170" i="5"/>
  <c r="R163" i="5"/>
  <c r="S163" i="5" s="1"/>
  <c r="R165" i="5"/>
  <c r="R164" i="5"/>
  <c r="R39" i="5"/>
  <c r="P252" i="5"/>
  <c r="S252" i="5" s="1"/>
  <c r="P55" i="5"/>
  <c r="P53" i="5"/>
  <c r="M135" i="5"/>
  <c r="N120" i="5" s="1"/>
  <c r="M236" i="5"/>
  <c r="N224" i="5" s="1"/>
  <c r="P49" i="5"/>
  <c r="P52" i="5"/>
  <c r="P245" i="5"/>
  <c r="S245" i="5" s="1"/>
  <c r="P42" i="5"/>
  <c r="P243" i="5"/>
  <c r="S243" i="5" s="1"/>
  <c r="P51" i="5"/>
  <c r="P47" i="5"/>
  <c r="P54" i="5"/>
  <c r="P242" i="5"/>
  <c r="S242" i="5" s="1"/>
  <c r="P46" i="5"/>
  <c r="P248" i="5"/>
  <c r="S248" i="5" s="1"/>
  <c r="P241" i="5"/>
  <c r="S241" i="5" s="1"/>
  <c r="P41" i="5"/>
  <c r="P56" i="5"/>
  <c r="P250" i="5"/>
  <c r="S250" i="5" s="1"/>
  <c r="P48" i="5"/>
  <c r="P244" i="5"/>
  <c r="S244" i="5" s="1"/>
  <c r="P39" i="5"/>
  <c r="P251" i="5"/>
  <c r="S251" i="5" s="1"/>
  <c r="P247" i="5"/>
  <c r="S247" i="5" s="1"/>
  <c r="P50" i="5"/>
  <c r="P246" i="5"/>
  <c r="S246" i="5" s="1"/>
  <c r="P249" i="5"/>
  <c r="S249" i="5" s="1"/>
  <c r="M275" i="5"/>
  <c r="K290" i="5"/>
  <c r="S266" i="5"/>
  <c r="S268" i="5"/>
  <c r="S271" i="5"/>
  <c r="S263" i="5"/>
  <c r="K287" i="5"/>
  <c r="K292" i="5"/>
  <c r="S274" i="5"/>
  <c r="S267" i="5"/>
  <c r="S269" i="5"/>
  <c r="K285" i="5"/>
  <c r="S265" i="5"/>
  <c r="K293" i="5"/>
  <c r="K282" i="5"/>
  <c r="S261" i="5"/>
  <c r="K286" i="5"/>
  <c r="K281" i="5"/>
  <c r="K284" i="5"/>
  <c r="S273" i="5"/>
  <c r="S272" i="5"/>
  <c r="K283" i="5"/>
  <c r="K294" i="5"/>
  <c r="S262" i="5"/>
  <c r="K291" i="5"/>
  <c r="S264" i="5"/>
  <c r="M295" i="5"/>
  <c r="M78" i="5"/>
  <c r="R174" i="5"/>
  <c r="R173" i="5"/>
  <c r="R162" i="5"/>
  <c r="R172" i="5"/>
  <c r="R171" i="5"/>
  <c r="M209" i="5"/>
  <c r="M176" i="5"/>
  <c r="S217" i="5"/>
  <c r="S218" i="5"/>
  <c r="M155" i="5"/>
  <c r="N141" i="5" s="1"/>
  <c r="M198" i="5"/>
  <c r="N189" i="5" s="1"/>
  <c r="M219" i="5"/>
  <c r="M114" i="5"/>
  <c r="N106" i="5" s="1"/>
  <c r="M57" i="5"/>
  <c r="N39" i="5" s="1"/>
  <c r="M94" i="5"/>
  <c r="K49" i="5"/>
  <c r="K50" i="5"/>
  <c r="K54" i="5"/>
  <c r="K47" i="5"/>
  <c r="K48" i="5"/>
  <c r="K55" i="5"/>
  <c r="K56" i="5"/>
  <c r="K39" i="5"/>
  <c r="K41" i="5"/>
  <c r="K51" i="5"/>
  <c r="K42" i="5"/>
  <c r="K45" i="5"/>
  <c r="K53" i="5"/>
  <c r="S53" i="5" s="1"/>
  <c r="K46" i="5"/>
  <c r="S55" i="5" l="1"/>
  <c r="S52" i="5"/>
  <c r="N197" i="5"/>
  <c r="N228" i="5"/>
  <c r="N192" i="5"/>
  <c r="N186" i="5"/>
  <c r="N274" i="5"/>
  <c r="N259" i="5"/>
  <c r="N272" i="5"/>
  <c r="N262" i="5"/>
  <c r="N261" i="5"/>
  <c r="N267" i="5"/>
  <c r="N269" i="5"/>
  <c r="N264" i="5"/>
  <c r="N266" i="5"/>
  <c r="N265" i="5"/>
  <c r="N268" i="5"/>
  <c r="N263" i="5"/>
  <c r="N188" i="5"/>
  <c r="N187" i="5"/>
  <c r="N232" i="5"/>
  <c r="N229" i="5"/>
  <c r="N233" i="5"/>
  <c r="N181" i="5"/>
  <c r="N190" i="5"/>
  <c r="N182" i="5"/>
  <c r="N226" i="5"/>
  <c r="N230" i="5"/>
  <c r="N191" i="5"/>
  <c r="N289" i="5"/>
  <c r="N282" i="5"/>
  <c r="N290" i="5"/>
  <c r="N294" i="5"/>
  <c r="N283" i="5"/>
  <c r="N284" i="5"/>
  <c r="N292" i="5"/>
  <c r="N285" i="5"/>
  <c r="N286" i="5"/>
  <c r="N281" i="5"/>
  <c r="N287" i="5"/>
  <c r="N288" i="5"/>
  <c r="N234" i="5"/>
  <c r="N195" i="5"/>
  <c r="N183" i="5"/>
  <c r="N227" i="5"/>
  <c r="N225" i="5"/>
  <c r="N235" i="5"/>
  <c r="N231" i="5"/>
  <c r="N167" i="5"/>
  <c r="N174" i="5"/>
  <c r="N173" i="5"/>
  <c r="N168" i="5"/>
  <c r="N169" i="5"/>
  <c r="N175" i="5"/>
  <c r="N172" i="5"/>
  <c r="N170" i="5"/>
  <c r="N162" i="5"/>
  <c r="N171" i="5"/>
  <c r="N164" i="5"/>
  <c r="N165" i="5"/>
  <c r="N142" i="5"/>
  <c r="N151" i="5"/>
  <c r="N122" i="5"/>
  <c r="N150" i="5"/>
  <c r="N154" i="5"/>
  <c r="N145" i="5"/>
  <c r="N146" i="5"/>
  <c r="N126" i="5"/>
  <c r="N148" i="5"/>
  <c r="N132" i="5"/>
  <c r="N121" i="5"/>
  <c r="N147" i="5"/>
  <c r="N149" i="5"/>
  <c r="N125" i="5"/>
  <c r="N143" i="5"/>
  <c r="N153" i="5"/>
  <c r="N127" i="5"/>
  <c r="N128" i="5"/>
  <c r="N124" i="5"/>
  <c r="N129" i="5"/>
  <c r="N123" i="5"/>
  <c r="N134" i="5"/>
  <c r="N41" i="5"/>
  <c r="N110" i="5"/>
  <c r="N47" i="5"/>
  <c r="N107" i="5"/>
  <c r="N103" i="5"/>
  <c r="N51" i="5"/>
  <c r="N56" i="5"/>
  <c r="N108" i="5"/>
  <c r="N112" i="5"/>
  <c r="N104" i="5"/>
  <c r="N109" i="5"/>
  <c r="N48" i="5"/>
  <c r="N54" i="5"/>
  <c r="N111" i="5"/>
  <c r="N105" i="5"/>
  <c r="N45" i="5"/>
  <c r="N50" i="5"/>
  <c r="N49" i="5"/>
  <c r="N113" i="5"/>
  <c r="N42" i="5"/>
  <c r="N46" i="5"/>
  <c r="N84" i="5"/>
  <c r="N92" i="5"/>
  <c r="N85" i="5"/>
  <c r="N93" i="5"/>
  <c r="N82" i="5"/>
  <c r="N87" i="5"/>
  <c r="N88" i="5"/>
  <c r="N91" i="5"/>
  <c r="N86" i="5"/>
  <c r="N89" i="5"/>
  <c r="N83" i="5"/>
  <c r="N90" i="5"/>
  <c r="N67" i="5"/>
  <c r="N76" i="5"/>
  <c r="N70" i="5"/>
  <c r="N71" i="5"/>
  <c r="N68" i="5"/>
  <c r="N77" i="5"/>
  <c r="N73" i="5"/>
  <c r="N66" i="5"/>
  <c r="N69" i="5"/>
  <c r="N74" i="5"/>
  <c r="N72" i="5"/>
  <c r="N65" i="5"/>
  <c r="K236" i="5"/>
  <c r="R236" i="5"/>
  <c r="P236" i="5"/>
  <c r="P198" i="5"/>
  <c r="P176" i="5"/>
  <c r="P253" i="5"/>
  <c r="P78" i="5"/>
  <c r="P57" i="5"/>
  <c r="P295" i="5"/>
  <c r="P219" i="5"/>
  <c r="P209" i="5"/>
  <c r="P94" i="5"/>
  <c r="P114" i="5"/>
  <c r="P135" i="5"/>
  <c r="P155" i="5" s="1"/>
  <c r="R253" i="5"/>
  <c r="R275" i="5"/>
  <c r="K295" i="5"/>
  <c r="K275" i="5"/>
  <c r="K78" i="5"/>
  <c r="K198" i="5"/>
  <c r="K176" i="5"/>
  <c r="K135" i="5"/>
  <c r="K155" i="5" s="1"/>
  <c r="K219" i="5"/>
  <c r="K209" i="5"/>
  <c r="R198" i="5"/>
  <c r="R94" i="5"/>
  <c r="R176" i="5"/>
  <c r="R219" i="5"/>
  <c r="K94" i="5"/>
  <c r="K114" i="5"/>
  <c r="R114" i="5"/>
  <c r="R57" i="5"/>
  <c r="K57" i="5"/>
  <c r="J23" i="5"/>
  <c r="J27" i="5"/>
  <c r="J22" i="5"/>
  <c r="J26" i="5"/>
  <c r="F28" i="5"/>
  <c r="G28" i="5" s="1"/>
  <c r="G11" i="5"/>
  <c r="H11" i="5" s="1"/>
  <c r="F27" i="5"/>
  <c r="G27" i="5" s="1"/>
  <c r="F26" i="5"/>
  <c r="G26" i="5" s="1"/>
  <c r="F23" i="5"/>
  <c r="G23" i="5" s="1"/>
  <c r="F22" i="5"/>
  <c r="G22" i="5" s="1"/>
  <c r="G18" i="5"/>
  <c r="F21" i="5"/>
  <c r="G21" i="5" s="1"/>
  <c r="F20" i="5"/>
  <c r="G20" i="5" s="1"/>
  <c r="F19" i="5"/>
  <c r="J9" i="7"/>
  <c r="H9" i="7"/>
  <c r="M9" i="7" s="1"/>
  <c r="L7" i="7"/>
  <c r="F15" i="7"/>
  <c r="G15" i="7"/>
  <c r="I15" i="7"/>
  <c r="E15" i="7"/>
  <c r="H39" i="5" l="1"/>
  <c r="H232" i="5"/>
  <c r="H233" i="5"/>
  <c r="N198" i="5"/>
  <c r="N236" i="5"/>
  <c r="N275" i="5"/>
  <c r="N295" i="5"/>
  <c r="N155" i="5"/>
  <c r="N135" i="5"/>
  <c r="N57" i="5"/>
  <c r="N114" i="5"/>
  <c r="N94" i="5"/>
  <c r="N78" i="5"/>
  <c r="J33" i="5"/>
  <c r="G19" i="5"/>
  <c r="F33" i="5"/>
  <c r="H106" i="5"/>
  <c r="H112" i="5"/>
  <c r="H105" i="5"/>
  <c r="H107" i="5"/>
  <c r="H108" i="5"/>
  <c r="H109" i="5"/>
  <c r="H113" i="5"/>
  <c r="H103" i="5"/>
  <c r="H110" i="5"/>
  <c r="H104" i="5"/>
  <c r="H111" i="5"/>
  <c r="S253" i="5"/>
  <c r="S275" i="5"/>
  <c r="T260" i="5" s="1"/>
  <c r="U260" i="5" s="1"/>
  <c r="S209" i="5"/>
  <c r="S219" i="5"/>
  <c r="T215" i="5" s="1"/>
  <c r="U215" i="5" s="1"/>
  <c r="M8" i="9"/>
  <c r="M9" i="9"/>
  <c r="L8" i="9"/>
  <c r="L9" i="9"/>
  <c r="L10" i="9"/>
  <c r="M10" i="9" s="1"/>
  <c r="K14" i="9"/>
  <c r="K8" i="9"/>
  <c r="K9" i="9"/>
  <c r="K10" i="9"/>
  <c r="K11" i="9"/>
  <c r="L11" i="9" s="1"/>
  <c r="M11" i="9" s="1"/>
  <c r="K12" i="9"/>
  <c r="L12" i="9" s="1"/>
  <c r="M12" i="9" s="1"/>
  <c r="K13" i="9"/>
  <c r="L13" i="9" s="1"/>
  <c r="M13" i="9" s="1"/>
  <c r="K7" i="9"/>
  <c r="L7" i="9" s="1"/>
  <c r="K13" i="7"/>
  <c r="L13" i="7" s="1"/>
  <c r="J8" i="7"/>
  <c r="J10" i="7"/>
  <c r="J12" i="7"/>
  <c r="J13" i="7"/>
  <c r="J7" i="7"/>
  <c r="H8" i="7"/>
  <c r="H7" i="7"/>
  <c r="H13" i="7"/>
  <c r="H12" i="7"/>
  <c r="H10" i="7"/>
  <c r="J12" i="9"/>
  <c r="J13" i="9"/>
  <c r="J11" i="9"/>
  <c r="J8" i="9"/>
  <c r="J9" i="9"/>
  <c r="J10" i="9"/>
  <c r="J7" i="9"/>
  <c r="J25" i="1"/>
  <c r="M8" i="7" l="1"/>
  <c r="L14" i="9"/>
  <c r="M7" i="9"/>
  <c r="J28" i="1"/>
  <c r="G33" i="5"/>
  <c r="T207" i="5"/>
  <c r="U207" i="5" s="1"/>
  <c r="T205" i="5"/>
  <c r="U205" i="5" s="1"/>
  <c r="T206" i="5"/>
  <c r="U206" i="5" s="1"/>
  <c r="T208" i="5"/>
  <c r="U208" i="5" s="1"/>
  <c r="T204" i="5"/>
  <c r="U204" i="5" s="1"/>
  <c r="T216" i="5"/>
  <c r="U216" i="5" s="1"/>
  <c r="T217" i="5"/>
  <c r="U217" i="5" s="1"/>
  <c r="T218" i="5"/>
  <c r="U218" i="5" s="1"/>
  <c r="H45" i="5"/>
  <c r="H70" i="5"/>
  <c r="H46" i="5"/>
  <c r="H71" i="5"/>
  <c r="H48" i="5"/>
  <c r="H72" i="5"/>
  <c r="H77" i="5"/>
  <c r="H49" i="5"/>
  <c r="H66" i="5"/>
  <c r="H73" i="5"/>
  <c r="H65" i="5"/>
  <c r="H67" i="5"/>
  <c r="H47" i="5"/>
  <c r="H51" i="5"/>
  <c r="H54" i="5"/>
  <c r="H56" i="5"/>
  <c r="H69" i="5"/>
  <c r="H50" i="5"/>
  <c r="H74" i="5"/>
  <c r="H41" i="5"/>
  <c r="H68" i="5"/>
  <c r="H42" i="5"/>
  <c r="H76" i="5"/>
  <c r="H88" i="5"/>
  <c r="H186" i="5"/>
  <c r="H181" i="5"/>
  <c r="H89" i="5"/>
  <c r="H93" i="5"/>
  <c r="H187" i="5"/>
  <c r="H183" i="5"/>
  <c r="H83" i="5"/>
  <c r="H90" i="5"/>
  <c r="H82" i="5"/>
  <c r="H188" i="5"/>
  <c r="H84" i="5"/>
  <c r="H91" i="5"/>
  <c r="H189" i="5"/>
  <c r="H87" i="5"/>
  <c r="H190" i="5"/>
  <c r="H195" i="5"/>
  <c r="H85" i="5"/>
  <c r="H197" i="5"/>
  <c r="H191" i="5"/>
  <c r="H86" i="5"/>
  <c r="H92" i="5"/>
  <c r="H182" i="5"/>
  <c r="H192" i="5"/>
  <c r="H149" i="5"/>
  <c r="H230" i="5"/>
  <c r="H150" i="5"/>
  <c r="H231" i="5"/>
  <c r="H142" i="5"/>
  <c r="H151" i="5"/>
  <c r="H234" i="5"/>
  <c r="H229" i="5"/>
  <c r="H143" i="5"/>
  <c r="H153" i="5"/>
  <c r="H225" i="5"/>
  <c r="H235" i="5"/>
  <c r="H148" i="5"/>
  <c r="H145" i="5"/>
  <c r="H154" i="5"/>
  <c r="H226" i="5"/>
  <c r="H224" i="5"/>
  <c r="H146" i="5"/>
  <c r="H141" i="5"/>
  <c r="H227" i="5"/>
  <c r="H147" i="5"/>
  <c r="H228" i="5"/>
  <c r="H167" i="5"/>
  <c r="H175" i="5"/>
  <c r="H168" i="5"/>
  <c r="H169" i="5"/>
  <c r="H170" i="5"/>
  <c r="H173" i="5"/>
  <c r="H162" i="5"/>
  <c r="H171" i="5"/>
  <c r="H164" i="5"/>
  <c r="H172" i="5"/>
  <c r="H165" i="5"/>
  <c r="H174" i="5"/>
  <c r="H121" i="5"/>
  <c r="H129" i="5"/>
  <c r="H122" i="5"/>
  <c r="H132" i="5"/>
  <c r="H123" i="5"/>
  <c r="H134" i="5"/>
  <c r="H124" i="5"/>
  <c r="H120" i="5"/>
  <c r="H125" i="5"/>
  <c r="H126" i="5"/>
  <c r="H128" i="5"/>
  <c r="H127" i="5"/>
  <c r="T252" i="5"/>
  <c r="U252" i="5" s="1"/>
  <c r="T251" i="5"/>
  <c r="U251" i="5" s="1"/>
  <c r="T247" i="5"/>
  <c r="U247" i="5" s="1"/>
  <c r="T246" i="5"/>
  <c r="U246" i="5" s="1"/>
  <c r="T248" i="5"/>
  <c r="U248" i="5" s="1"/>
  <c r="T244" i="5"/>
  <c r="U244" i="5" s="1"/>
  <c r="T243" i="5"/>
  <c r="U243" i="5" s="1"/>
  <c r="T249" i="5"/>
  <c r="U249" i="5" s="1"/>
  <c r="T242" i="5"/>
  <c r="U242" i="5" s="1"/>
  <c r="T250" i="5"/>
  <c r="U250" i="5" s="1"/>
  <c r="T241" i="5"/>
  <c r="U241" i="5" s="1"/>
  <c r="T245" i="5"/>
  <c r="U245" i="5" s="1"/>
  <c r="T270" i="5"/>
  <c r="U270" i="5" s="1"/>
  <c r="T264" i="5"/>
  <c r="U264" i="5" s="1"/>
  <c r="T273" i="5"/>
  <c r="U273" i="5" s="1"/>
  <c r="T266" i="5"/>
  <c r="U266" i="5" s="1"/>
  <c r="T261" i="5"/>
  <c r="U261" i="5" s="1"/>
  <c r="T269" i="5"/>
  <c r="U269" i="5" s="1"/>
  <c r="T268" i="5"/>
  <c r="U268" i="5" s="1"/>
  <c r="T262" i="5"/>
  <c r="U262" i="5" s="1"/>
  <c r="T274" i="5"/>
  <c r="U274" i="5" s="1"/>
  <c r="T265" i="5"/>
  <c r="U265" i="5" s="1"/>
  <c r="T267" i="5"/>
  <c r="U267" i="5" s="1"/>
  <c r="T271" i="5"/>
  <c r="U271" i="5" s="1"/>
  <c r="T259" i="5"/>
  <c r="U259" i="5" s="1"/>
  <c r="T272" i="5"/>
  <c r="U272" i="5" s="1"/>
  <c r="T263" i="5"/>
  <c r="U263" i="5" s="1"/>
  <c r="L12" i="7"/>
  <c r="L15" i="7" s="1"/>
  <c r="K15" i="7"/>
  <c r="H15" i="7"/>
  <c r="M7" i="7"/>
  <c r="M13" i="7"/>
  <c r="J15" i="7"/>
  <c r="K25" i="1" l="1"/>
  <c r="K24" i="1"/>
  <c r="K21" i="1"/>
  <c r="U209" i="5"/>
  <c r="E24" i="5" s="1"/>
  <c r="X24" i="5" s="1"/>
  <c r="U253" i="5"/>
  <c r="E29" i="5" s="1"/>
  <c r="X29" i="5" s="1"/>
  <c r="U219" i="5"/>
  <c r="E25" i="5" s="1"/>
  <c r="X25" i="5" s="1"/>
  <c r="U275" i="5"/>
  <c r="H155" i="5"/>
  <c r="I147" i="5" s="1"/>
  <c r="H176" i="5"/>
  <c r="I170" i="5" s="1"/>
  <c r="S170" i="5" s="1"/>
  <c r="H78" i="5"/>
  <c r="H198" i="5"/>
  <c r="H135" i="5"/>
  <c r="H236" i="5"/>
  <c r="I233" i="5" s="1"/>
  <c r="S233" i="5" s="1"/>
  <c r="H114" i="5"/>
  <c r="H57" i="5"/>
  <c r="I39" i="5" s="1"/>
  <c r="S39" i="5" s="1"/>
  <c r="H94" i="5"/>
  <c r="M12" i="7"/>
  <c r="F28" i="1"/>
  <c r="G24" i="1" s="1"/>
  <c r="H28" i="1"/>
  <c r="D25" i="1"/>
  <c r="D23" i="1"/>
  <c r="D22" i="1"/>
  <c r="H29" i="8"/>
  <c r="D15" i="7"/>
  <c r="S22" i="6"/>
  <c r="S23" i="6" s="1"/>
  <c r="H15" i="6"/>
  <c r="K28" i="1" l="1"/>
  <c r="I22" i="1"/>
  <c r="I21" i="1"/>
  <c r="H12" i="8"/>
  <c r="I12" i="8" s="1"/>
  <c r="I11" i="6"/>
  <c r="I10" i="6"/>
  <c r="I231" i="5"/>
  <c r="S231" i="5" s="1"/>
  <c r="I232" i="5"/>
  <c r="S232" i="5" s="1"/>
  <c r="N30" i="5"/>
  <c r="E30" i="5"/>
  <c r="X30" i="5" s="1"/>
  <c r="I108" i="5"/>
  <c r="S108" i="5" s="1"/>
  <c r="I112" i="5"/>
  <c r="S112" i="5" s="1"/>
  <c r="I106" i="5"/>
  <c r="S106" i="5" s="1"/>
  <c r="I111" i="5"/>
  <c r="S111" i="5" s="1"/>
  <c r="I104" i="5"/>
  <c r="S104" i="5" s="1"/>
  <c r="I107" i="5"/>
  <c r="S107" i="5" s="1"/>
  <c r="I103" i="5"/>
  <c r="S103" i="5" s="1"/>
  <c r="I113" i="5"/>
  <c r="S113" i="5" s="1"/>
  <c r="I105" i="5"/>
  <c r="S105" i="5" s="1"/>
  <c r="I110" i="5"/>
  <c r="S110" i="5" s="1"/>
  <c r="I109" i="5"/>
  <c r="S109" i="5" s="1"/>
  <c r="I151" i="5"/>
  <c r="I90" i="5"/>
  <c r="S90" i="5" s="1"/>
  <c r="I93" i="5"/>
  <c r="S93" i="5" s="1"/>
  <c r="I70" i="5"/>
  <c r="S70" i="5" s="1"/>
  <c r="I142" i="5"/>
  <c r="I74" i="5"/>
  <c r="S74" i="5" s="1"/>
  <c r="I229" i="5"/>
  <c r="S229" i="5" s="1"/>
  <c r="I68" i="5"/>
  <c r="S68" i="5" s="1"/>
  <c r="I65" i="5"/>
  <c r="S65" i="5" s="1"/>
  <c r="I66" i="5"/>
  <c r="S66" i="5" s="1"/>
  <c r="I72" i="5"/>
  <c r="S72" i="5" s="1"/>
  <c r="I73" i="5"/>
  <c r="S73" i="5" s="1"/>
  <c r="I67" i="5"/>
  <c r="S67" i="5" s="1"/>
  <c r="I86" i="5"/>
  <c r="S86" i="5" s="1"/>
  <c r="I77" i="5"/>
  <c r="S77" i="5" s="1"/>
  <c r="I143" i="5"/>
  <c r="I76" i="5"/>
  <c r="S76" i="5" s="1"/>
  <c r="I224" i="5"/>
  <c r="S224" i="5" s="1"/>
  <c r="I71" i="5"/>
  <c r="S71" i="5" s="1"/>
  <c r="I69" i="5"/>
  <c r="S69" i="5" s="1"/>
  <c r="S194" i="5"/>
  <c r="S196" i="5"/>
  <c r="I181" i="5"/>
  <c r="S181" i="5" s="1"/>
  <c r="I189" i="5"/>
  <c r="S189" i="5" s="1"/>
  <c r="I188" i="5"/>
  <c r="S188" i="5" s="1"/>
  <c r="I192" i="5"/>
  <c r="S192" i="5" s="1"/>
  <c r="I85" i="5"/>
  <c r="S85" i="5" s="1"/>
  <c r="I88" i="5"/>
  <c r="S88" i="5" s="1"/>
  <c r="I197" i="5"/>
  <c r="S197" i="5" s="1"/>
  <c r="I84" i="5"/>
  <c r="S84" i="5" s="1"/>
  <c r="I87" i="5"/>
  <c r="S87" i="5" s="1"/>
  <c r="I82" i="5"/>
  <c r="S82" i="5" s="1"/>
  <c r="I89" i="5"/>
  <c r="S89" i="5" s="1"/>
  <c r="I187" i="5"/>
  <c r="S187" i="5" s="1"/>
  <c r="I190" i="5"/>
  <c r="S190" i="5" s="1"/>
  <c r="I83" i="5"/>
  <c r="S83" i="5" s="1"/>
  <c r="I91" i="5"/>
  <c r="S91" i="5" s="1"/>
  <c r="I183" i="5"/>
  <c r="S183" i="5" s="1"/>
  <c r="I186" i="5"/>
  <c r="S186" i="5" s="1"/>
  <c r="I182" i="5"/>
  <c r="S182" i="5" s="1"/>
  <c r="I153" i="5"/>
  <c r="I191" i="5"/>
  <c r="S191" i="5" s="1"/>
  <c r="I235" i="5"/>
  <c r="S235" i="5" s="1"/>
  <c r="I92" i="5"/>
  <c r="S92" i="5" s="1"/>
  <c r="I195" i="5"/>
  <c r="S195" i="5" s="1"/>
  <c r="I146" i="5"/>
  <c r="I148" i="5"/>
  <c r="I149" i="5"/>
  <c r="I227" i="5"/>
  <c r="S227" i="5" s="1"/>
  <c r="I225" i="5"/>
  <c r="S225" i="5" s="1"/>
  <c r="I228" i="5"/>
  <c r="S228" i="5" s="1"/>
  <c r="I150" i="5"/>
  <c r="I226" i="5"/>
  <c r="S226" i="5" s="1"/>
  <c r="I141" i="5"/>
  <c r="I234" i="5"/>
  <c r="S234" i="5" s="1"/>
  <c r="I145" i="5"/>
  <c r="S145" i="5" s="1"/>
  <c r="I230" i="5"/>
  <c r="S230" i="5" s="1"/>
  <c r="I154" i="5"/>
  <c r="I162" i="5"/>
  <c r="S162" i="5" s="1"/>
  <c r="I167" i="5"/>
  <c r="S167" i="5" s="1"/>
  <c r="I169" i="5"/>
  <c r="S169" i="5" s="1"/>
  <c r="I175" i="5"/>
  <c r="S175" i="5" s="1"/>
  <c r="I171" i="5"/>
  <c r="S171" i="5" s="1"/>
  <c r="I168" i="5"/>
  <c r="S168" i="5" s="1"/>
  <c r="I165" i="5"/>
  <c r="S165" i="5" s="1"/>
  <c r="I164" i="5"/>
  <c r="S164" i="5" s="1"/>
  <c r="I173" i="5"/>
  <c r="S173" i="5" s="1"/>
  <c r="I174" i="5"/>
  <c r="S174" i="5" s="1"/>
  <c r="I172" i="5"/>
  <c r="S172" i="5" s="1"/>
  <c r="I46" i="5"/>
  <c r="S46" i="5" s="1"/>
  <c r="I54" i="5"/>
  <c r="S54" i="5" s="1"/>
  <c r="I51" i="5"/>
  <c r="S51" i="5" s="1"/>
  <c r="I134" i="5"/>
  <c r="S134" i="5" s="1"/>
  <c r="I48" i="5"/>
  <c r="S48" i="5" s="1"/>
  <c r="I49" i="5"/>
  <c r="S49" i="5" s="1"/>
  <c r="I128" i="5"/>
  <c r="S128" i="5" s="1"/>
  <c r="I42" i="5"/>
  <c r="S42" i="5" s="1"/>
  <c r="I121" i="5"/>
  <c r="I124" i="5"/>
  <c r="I41" i="5"/>
  <c r="S41" i="5" s="1"/>
  <c r="I129" i="5"/>
  <c r="I122" i="5"/>
  <c r="I50" i="5"/>
  <c r="S50" i="5" s="1"/>
  <c r="I47" i="5"/>
  <c r="S47" i="5" s="1"/>
  <c r="I123" i="5"/>
  <c r="S123" i="5" s="1"/>
  <c r="I132" i="5"/>
  <c r="I120" i="5"/>
  <c r="I125" i="5"/>
  <c r="I127" i="5"/>
  <c r="S127" i="5" s="1"/>
  <c r="I126" i="5"/>
  <c r="S126" i="5" s="1"/>
  <c r="I56" i="5"/>
  <c r="S56" i="5" s="1"/>
  <c r="I45" i="5"/>
  <c r="S45" i="5" s="1"/>
  <c r="M15" i="7"/>
  <c r="G21" i="1"/>
  <c r="G25" i="1"/>
  <c r="H18" i="8"/>
  <c r="D28" i="1"/>
  <c r="E24" i="1" s="1"/>
  <c r="I25" i="1"/>
  <c r="I29" i="8"/>
  <c r="H10" i="8"/>
  <c r="H26" i="8"/>
  <c r="H30" i="8"/>
  <c r="H8" i="8"/>
  <c r="H16" i="8"/>
  <c r="H24" i="8"/>
  <c r="H28" i="8"/>
  <c r="H11" i="8"/>
  <c r="H19" i="8"/>
  <c r="H20" i="8"/>
  <c r="H15" i="8"/>
  <c r="H23" i="8"/>
  <c r="H27" i="8"/>
  <c r="H13" i="8"/>
  <c r="H21" i="8"/>
  <c r="H14" i="8"/>
  <c r="H22" i="8"/>
  <c r="H9" i="8"/>
  <c r="H17" i="8"/>
  <c r="H25" i="8"/>
  <c r="I13" i="6"/>
  <c r="T7" i="6"/>
  <c r="E47" i="6"/>
  <c r="H32" i="8" l="1"/>
  <c r="Q24" i="1"/>
  <c r="K9" i="6"/>
  <c r="N12" i="7"/>
  <c r="O12" i="7" s="1"/>
  <c r="N11" i="7"/>
  <c r="O11" i="7" s="1"/>
  <c r="I28" i="1"/>
  <c r="G28" i="1"/>
  <c r="S78" i="5"/>
  <c r="T68" i="5" s="1"/>
  <c r="U68" i="5" s="1"/>
  <c r="S94" i="5"/>
  <c r="T93" i="5" s="1"/>
  <c r="I236" i="5"/>
  <c r="S236" i="5"/>
  <c r="T228" i="5" s="1"/>
  <c r="U228" i="5" s="1"/>
  <c r="I78" i="5"/>
  <c r="I198" i="5"/>
  <c r="S198" i="5"/>
  <c r="T193" i="5" s="1"/>
  <c r="I135" i="5"/>
  <c r="I155" i="5" s="1"/>
  <c r="S176" i="5"/>
  <c r="I176" i="5"/>
  <c r="I114" i="5"/>
  <c r="I94" i="5"/>
  <c r="I57" i="5"/>
  <c r="S57" i="5"/>
  <c r="T49" i="5" s="1"/>
  <c r="U49" i="5" s="1"/>
  <c r="N9" i="7"/>
  <c r="O9" i="7" s="1"/>
  <c r="N8" i="7"/>
  <c r="O8" i="7" s="1"/>
  <c r="N7" i="7"/>
  <c r="D12" i="1"/>
  <c r="N10" i="7"/>
  <c r="O10" i="7" s="1"/>
  <c r="N13" i="7"/>
  <c r="O13" i="7" s="1"/>
  <c r="E23" i="1"/>
  <c r="E25" i="1"/>
  <c r="E22" i="1"/>
  <c r="I14" i="8"/>
  <c r="I19" i="8"/>
  <c r="I21" i="8"/>
  <c r="I11" i="8"/>
  <c r="I24" i="8"/>
  <c r="I9" i="8"/>
  <c r="I8" i="8"/>
  <c r="I20" i="8"/>
  <c r="I30" i="8"/>
  <c r="I18" i="8"/>
  <c r="I10" i="8"/>
  <c r="I13" i="8"/>
  <c r="I28" i="8"/>
  <c r="I25" i="8"/>
  <c r="I27" i="8"/>
  <c r="I17" i="8"/>
  <c r="I23" i="8"/>
  <c r="I16" i="8"/>
  <c r="I15" i="8"/>
  <c r="I22" i="8"/>
  <c r="I26" i="8"/>
  <c r="I15" i="6"/>
  <c r="F37" i="6"/>
  <c r="H37" i="6" s="1"/>
  <c r="F39" i="6"/>
  <c r="H39" i="6" s="1"/>
  <c r="F42" i="6"/>
  <c r="H42" i="6" s="1"/>
  <c r="F40" i="6"/>
  <c r="H40" i="6" s="1"/>
  <c r="F43" i="6"/>
  <c r="H43" i="6" s="1"/>
  <c r="F38" i="6"/>
  <c r="H38" i="6" s="1"/>
  <c r="F41" i="6"/>
  <c r="H41" i="6" s="1"/>
  <c r="I32" i="8" l="1"/>
  <c r="P21" i="1"/>
  <c r="O7" i="7"/>
  <c r="O15" i="7" s="1"/>
  <c r="N15" i="7"/>
  <c r="P22" i="1"/>
  <c r="Q22" i="1"/>
  <c r="Q25" i="1"/>
  <c r="P25" i="1"/>
  <c r="I10" i="1" s="1"/>
  <c r="P23" i="1"/>
  <c r="Q23" i="1"/>
  <c r="T56" i="5"/>
  <c r="U56" i="5" s="1"/>
  <c r="T46" i="5"/>
  <c r="U46" i="5" s="1"/>
  <c r="T50" i="5"/>
  <c r="U50" i="5" s="1"/>
  <c r="T47" i="5"/>
  <c r="U47" i="5" s="1"/>
  <c r="T48" i="5"/>
  <c r="U48" i="5" s="1"/>
  <c r="T42" i="5"/>
  <c r="U42" i="5" s="1"/>
  <c r="T54" i="5"/>
  <c r="U54" i="5" s="1"/>
  <c r="T45" i="5"/>
  <c r="U45" i="5" s="1"/>
  <c r="T40" i="5"/>
  <c r="U40" i="5" s="1"/>
  <c r="T44" i="5"/>
  <c r="U44" i="5" s="1"/>
  <c r="T55" i="5"/>
  <c r="U55" i="5" s="1"/>
  <c r="T53" i="5"/>
  <c r="U53" i="5" s="1"/>
  <c r="T43" i="5"/>
  <c r="U43" i="5" s="1"/>
  <c r="T52" i="5"/>
  <c r="U52" i="5" s="1"/>
  <c r="T41" i="5"/>
  <c r="U41" i="5" s="1"/>
  <c r="T51" i="5"/>
  <c r="U51" i="5" s="1"/>
  <c r="T164" i="5"/>
  <c r="U164" i="5" s="1"/>
  <c r="T163" i="5"/>
  <c r="U163" i="5" s="1"/>
  <c r="T226" i="5"/>
  <c r="U226" i="5" s="1"/>
  <c r="T227" i="5"/>
  <c r="U227" i="5" s="1"/>
  <c r="T70" i="5"/>
  <c r="U70" i="5" s="1"/>
  <c r="T86" i="5"/>
  <c r="U86" i="5" s="1"/>
  <c r="T87" i="5"/>
  <c r="U87" i="5" s="1"/>
  <c r="T88" i="5"/>
  <c r="U88" i="5" s="1"/>
  <c r="T89" i="5"/>
  <c r="U89" i="5" s="1"/>
  <c r="U93" i="5"/>
  <c r="T83" i="5"/>
  <c r="U83" i="5" s="1"/>
  <c r="T90" i="5"/>
  <c r="U90" i="5" s="1"/>
  <c r="T84" i="5"/>
  <c r="U84" i="5" s="1"/>
  <c r="T91" i="5"/>
  <c r="U91" i="5" s="1"/>
  <c r="T85" i="5"/>
  <c r="U85" i="5" s="1"/>
  <c r="T92" i="5"/>
  <c r="U92" i="5" s="1"/>
  <c r="T64" i="5"/>
  <c r="U64" i="5" s="1"/>
  <c r="T75" i="5"/>
  <c r="U75" i="5" s="1"/>
  <c r="T71" i="5"/>
  <c r="U71" i="5" s="1"/>
  <c r="T67" i="5"/>
  <c r="U67" i="5" s="1"/>
  <c r="T69" i="5"/>
  <c r="U69" i="5" s="1"/>
  <c r="T72" i="5"/>
  <c r="U72" i="5" s="1"/>
  <c r="T65" i="5"/>
  <c r="U65" i="5" s="1"/>
  <c r="T74" i="5"/>
  <c r="U74" i="5" s="1"/>
  <c r="T76" i="5"/>
  <c r="U76" i="5" s="1"/>
  <c r="T66" i="5"/>
  <c r="U66" i="5" s="1"/>
  <c r="T77" i="5"/>
  <c r="U77" i="5" s="1"/>
  <c r="T73" i="5"/>
  <c r="U73" i="5" s="1"/>
  <c r="T229" i="5"/>
  <c r="U229" i="5" s="1"/>
  <c r="T39" i="5"/>
  <c r="U39" i="5" s="1"/>
  <c r="T82" i="5"/>
  <c r="U82" i="5" s="1"/>
  <c r="T234" i="5"/>
  <c r="U234" i="5" s="1"/>
  <c r="T235" i="5"/>
  <c r="U235" i="5" s="1"/>
  <c r="T224" i="5"/>
  <c r="U224" i="5" s="1"/>
  <c r="T233" i="5"/>
  <c r="U233" i="5" s="1"/>
  <c r="T232" i="5"/>
  <c r="U232" i="5" s="1"/>
  <c r="T231" i="5"/>
  <c r="U231" i="5" s="1"/>
  <c r="T225" i="5"/>
  <c r="U225" i="5" s="1"/>
  <c r="T230" i="5"/>
  <c r="U230" i="5" s="1"/>
  <c r="T194" i="5"/>
  <c r="U194" i="5" s="1"/>
  <c r="T181" i="5"/>
  <c r="U181" i="5" s="1"/>
  <c r="T168" i="5"/>
  <c r="U168" i="5" s="1"/>
  <c r="T165" i="5"/>
  <c r="U165" i="5" s="1"/>
  <c r="T166" i="5"/>
  <c r="U166" i="5" s="1"/>
  <c r="T167" i="5"/>
  <c r="U167" i="5" s="1"/>
  <c r="T169" i="5"/>
  <c r="U169" i="5" s="1"/>
  <c r="T171" i="5"/>
  <c r="U171" i="5" s="1"/>
  <c r="T172" i="5"/>
  <c r="U172" i="5" s="1"/>
  <c r="T173" i="5"/>
  <c r="U173" i="5" s="1"/>
  <c r="T174" i="5"/>
  <c r="U174" i="5" s="1"/>
  <c r="T175" i="5"/>
  <c r="U175" i="5" s="1"/>
  <c r="T170" i="5"/>
  <c r="U170" i="5" s="1"/>
  <c r="T162" i="5"/>
  <c r="T188" i="5"/>
  <c r="U188" i="5" s="1"/>
  <c r="T186" i="5"/>
  <c r="U186" i="5" s="1"/>
  <c r="T196" i="5"/>
  <c r="U196" i="5" s="1"/>
  <c r="T190" i="5"/>
  <c r="U190" i="5" s="1"/>
  <c r="T182" i="5"/>
  <c r="U182" i="5" s="1"/>
  <c r="U193" i="5"/>
  <c r="T185" i="5"/>
  <c r="U185" i="5" s="1"/>
  <c r="T184" i="5"/>
  <c r="U184" i="5" s="1"/>
  <c r="T189" i="5"/>
  <c r="U189" i="5" s="1"/>
  <c r="T197" i="5"/>
  <c r="U197" i="5" s="1"/>
  <c r="T192" i="5"/>
  <c r="U192" i="5" s="1"/>
  <c r="T195" i="5"/>
  <c r="U195" i="5" s="1"/>
  <c r="T187" i="5"/>
  <c r="U187" i="5" s="1"/>
  <c r="T191" i="5"/>
  <c r="U191" i="5" s="1"/>
  <c r="T183" i="5"/>
  <c r="U183" i="5" s="1"/>
  <c r="S114" i="5"/>
  <c r="E28" i="1"/>
  <c r="Q28" i="1" s="1"/>
  <c r="H47" i="6"/>
  <c r="F47" i="6"/>
  <c r="M6" i="6" l="1"/>
  <c r="N6" i="6"/>
  <c r="D5" i="1"/>
  <c r="D10" i="1"/>
  <c r="D6" i="1"/>
  <c r="I6" i="1"/>
  <c r="P28" i="1"/>
  <c r="I7" i="1"/>
  <c r="U162" i="5"/>
  <c r="U176" i="5" s="1"/>
  <c r="E27" i="5" s="1"/>
  <c r="X27" i="5" s="1"/>
  <c r="T176" i="5"/>
  <c r="U236" i="5"/>
  <c r="N28" i="5" s="1"/>
  <c r="U94" i="5"/>
  <c r="E19" i="5" s="1"/>
  <c r="X19" i="5" s="1"/>
  <c r="U57" i="5"/>
  <c r="E18" i="5" s="1"/>
  <c r="U198" i="5"/>
  <c r="E23" i="5" s="1"/>
  <c r="X23" i="5" s="1"/>
  <c r="U78" i="5"/>
  <c r="E20" i="5" s="1"/>
  <c r="X20" i="5" s="1"/>
  <c r="T78" i="5"/>
  <c r="T94" i="5"/>
  <c r="T104" i="5"/>
  <c r="U104" i="5" s="1"/>
  <c r="T112" i="5"/>
  <c r="U112" i="5" s="1"/>
  <c r="T103" i="5"/>
  <c r="U103" i="5" s="1"/>
  <c r="T113" i="5"/>
  <c r="U113" i="5" s="1"/>
  <c r="T106" i="5"/>
  <c r="U106" i="5" s="1"/>
  <c r="T110" i="5"/>
  <c r="U110" i="5" s="1"/>
  <c r="T107" i="5"/>
  <c r="U107" i="5" s="1"/>
  <c r="T105" i="5"/>
  <c r="U105" i="5" s="1"/>
  <c r="T109" i="5"/>
  <c r="U109" i="5" s="1"/>
  <c r="T108" i="5"/>
  <c r="U108" i="5" s="1"/>
  <c r="T111" i="5"/>
  <c r="U111" i="5" s="1"/>
  <c r="T236" i="5"/>
  <c r="T253" i="5"/>
  <c r="T275" i="5"/>
  <c r="T219" i="5"/>
  <c r="T198" i="5"/>
  <c r="T209" i="5"/>
  <c r="T57" i="5"/>
  <c r="J37" i="6"/>
  <c r="J38" i="6"/>
  <c r="J43" i="6"/>
  <c r="J39" i="6"/>
  <c r="J40" i="6"/>
  <c r="J41" i="6"/>
  <c r="J42" i="6"/>
  <c r="D14" i="1" l="1"/>
  <c r="E11" i="1" s="1"/>
  <c r="F11" i="1" s="1"/>
  <c r="H28" i="5"/>
  <c r="E28" i="5"/>
  <c r="X28" i="5" s="1"/>
  <c r="N23" i="5"/>
  <c r="H23" i="5"/>
  <c r="N19" i="5"/>
  <c r="H19" i="5"/>
  <c r="N20" i="5"/>
  <c r="H20" i="5"/>
  <c r="H27" i="5"/>
  <c r="N27" i="5"/>
  <c r="H18" i="5"/>
  <c r="N18" i="5"/>
  <c r="U114" i="5"/>
  <c r="E21" i="5" s="1"/>
  <c r="X21" i="5" s="1"/>
  <c r="T114" i="5"/>
  <c r="I7" i="16" l="1"/>
  <c r="I8" i="16"/>
  <c r="I10" i="16"/>
  <c r="I11" i="16"/>
  <c r="I6" i="16"/>
  <c r="I9" i="16"/>
  <c r="E5" i="1"/>
  <c r="F5" i="1" s="1"/>
  <c r="E13" i="1"/>
  <c r="F13" i="1" s="1"/>
  <c r="F10" i="1"/>
  <c r="E7" i="1"/>
  <c r="F7" i="1" s="1"/>
  <c r="L7" i="1" s="1"/>
  <c r="E9" i="1"/>
  <c r="F9" i="1" s="1"/>
  <c r="L9" i="1" s="1"/>
  <c r="F8" i="1"/>
  <c r="E6" i="1"/>
  <c r="F6" i="1" s="1"/>
  <c r="L6" i="1" s="1"/>
  <c r="E12" i="1"/>
  <c r="N21" i="5"/>
  <c r="H21" i="5"/>
  <c r="I5" i="2" l="1"/>
  <c r="I13" i="2"/>
  <c r="I21" i="2"/>
  <c r="I15" i="2"/>
  <c r="I6" i="2"/>
  <c r="I14" i="2"/>
  <c r="I22" i="2"/>
  <c r="I7" i="2"/>
  <c r="I20" i="2"/>
  <c r="I23" i="2"/>
  <c r="I8" i="2"/>
  <c r="I16" i="2"/>
  <c r="I9" i="2"/>
  <c r="I17" i="2"/>
  <c r="I4" i="2"/>
  <c r="I10" i="2"/>
  <c r="I18" i="2"/>
  <c r="I11" i="2"/>
  <c r="I19" i="2"/>
  <c r="L5" i="1"/>
  <c r="I12" i="2"/>
  <c r="L13" i="1"/>
  <c r="J8" i="8"/>
  <c r="F12" i="1"/>
  <c r="L12" i="1" s="1"/>
  <c r="L8" i="1"/>
  <c r="AB18" i="5"/>
  <c r="AB26" i="5"/>
  <c r="AB19" i="5"/>
  <c r="AB27" i="5"/>
  <c r="AB20" i="5"/>
  <c r="AB28" i="5"/>
  <c r="AB21" i="5"/>
  <c r="AB29" i="5"/>
  <c r="AB22" i="5"/>
  <c r="AB30" i="5"/>
  <c r="AB23" i="5"/>
  <c r="AB31" i="5"/>
  <c r="AB25" i="5"/>
  <c r="AB24" i="5"/>
  <c r="AB32" i="5"/>
  <c r="J26" i="8"/>
  <c r="I12" i="16"/>
  <c r="J9" i="16" s="1"/>
  <c r="K9" i="16" s="1"/>
  <c r="J11" i="8"/>
  <c r="J16" i="8"/>
  <c r="J17" i="8"/>
  <c r="J14" i="8"/>
  <c r="J24" i="8"/>
  <c r="J13" i="8"/>
  <c r="J28" i="8"/>
  <c r="J27" i="8"/>
  <c r="J30" i="8"/>
  <c r="E14" i="1"/>
  <c r="J23" i="8"/>
  <c r="J20" i="8"/>
  <c r="J25" i="8"/>
  <c r="J29" i="8"/>
  <c r="L10" i="1"/>
  <c r="J10" i="8"/>
  <c r="J18" i="8"/>
  <c r="J19" i="8"/>
  <c r="J12" i="8"/>
  <c r="J22" i="8"/>
  <c r="J21" i="8"/>
  <c r="J9" i="8"/>
  <c r="J15" i="8"/>
  <c r="K8" i="6"/>
  <c r="J47" i="6"/>
  <c r="I24" i="2" l="1"/>
  <c r="AB33" i="5"/>
  <c r="P10" i="7"/>
  <c r="Q10" i="7" s="1"/>
  <c r="P7" i="7"/>
  <c r="P8" i="7"/>
  <c r="P9" i="7"/>
  <c r="P11" i="7"/>
  <c r="P12" i="7"/>
  <c r="P13" i="7"/>
  <c r="J8" i="16"/>
  <c r="K8" i="16" s="1"/>
  <c r="J11" i="16"/>
  <c r="K11" i="16" s="1"/>
  <c r="N8" i="6"/>
  <c r="J10" i="16"/>
  <c r="K10" i="16" s="1"/>
  <c r="J6" i="16"/>
  <c r="J7" i="16"/>
  <c r="K7" i="16" s="1"/>
  <c r="F14" i="1"/>
  <c r="I11" i="1"/>
  <c r="L11" i="1"/>
  <c r="L14" i="1" s="1"/>
  <c r="J32" i="8"/>
  <c r="M8" i="6"/>
  <c r="K13" i="6"/>
  <c r="K10" i="6"/>
  <c r="K7" i="6"/>
  <c r="K12" i="6"/>
  <c r="N9" i="6"/>
  <c r="K11" i="6"/>
  <c r="K20" i="6" l="1"/>
  <c r="N20" i="6" s="1"/>
  <c r="X12" i="7"/>
  <c r="Q12" i="7"/>
  <c r="X11" i="7"/>
  <c r="Q11" i="7"/>
  <c r="X7" i="7"/>
  <c r="Q7" i="7"/>
  <c r="P15" i="7"/>
  <c r="X9" i="7"/>
  <c r="Q9" i="7"/>
  <c r="X8" i="7"/>
  <c r="Q8" i="7"/>
  <c r="X13" i="7"/>
  <c r="Q13" i="7"/>
  <c r="J9" i="2"/>
  <c r="K9" i="2" s="1"/>
  <c r="J17" i="2"/>
  <c r="K17" i="2" s="1"/>
  <c r="J19" i="2"/>
  <c r="K19" i="2" s="1"/>
  <c r="J16" i="2"/>
  <c r="K16" i="2" s="1"/>
  <c r="J10" i="2"/>
  <c r="K10" i="2" s="1"/>
  <c r="J18" i="2"/>
  <c r="K18" i="2" s="1"/>
  <c r="J11" i="2"/>
  <c r="K11" i="2" s="1"/>
  <c r="J8" i="2"/>
  <c r="K8" i="2" s="1"/>
  <c r="J4" i="2"/>
  <c r="K4" i="2" s="1"/>
  <c r="J12" i="2"/>
  <c r="K12" i="2" s="1"/>
  <c r="J20" i="2"/>
  <c r="K20" i="2" s="1"/>
  <c r="J5" i="2"/>
  <c r="J13" i="2"/>
  <c r="K13" i="2" s="1"/>
  <c r="J21" i="2"/>
  <c r="K21" i="2" s="1"/>
  <c r="J6" i="2"/>
  <c r="K6" i="2" s="1"/>
  <c r="J14" i="2"/>
  <c r="K14" i="2" s="1"/>
  <c r="J22" i="2"/>
  <c r="K22" i="2" s="1"/>
  <c r="J7" i="2"/>
  <c r="K7" i="2" s="1"/>
  <c r="J15" i="2"/>
  <c r="K15" i="2" s="1"/>
  <c r="J23" i="2"/>
  <c r="K23" i="2" s="1"/>
  <c r="N13" i="6"/>
  <c r="N7" i="6"/>
  <c r="N12" i="6"/>
  <c r="N10" i="6"/>
  <c r="N11" i="6"/>
  <c r="I14" i="1"/>
  <c r="K6" i="16"/>
  <c r="K12" i="16" s="1"/>
  <c r="J12" i="16"/>
  <c r="M10" i="6"/>
  <c r="M7" i="6"/>
  <c r="M11" i="6"/>
  <c r="M13" i="6"/>
  <c r="M9" i="6"/>
  <c r="K19" i="6"/>
  <c r="K18" i="6"/>
  <c r="K15" i="6"/>
  <c r="M12" i="6"/>
  <c r="Q295" i="5"/>
  <c r="M19" i="6" l="1"/>
  <c r="M20" i="6"/>
  <c r="N14" i="6"/>
  <c r="N18" i="6"/>
  <c r="L18" i="6"/>
  <c r="L15" i="6"/>
  <c r="X15" i="7"/>
  <c r="Y8" i="7" s="1"/>
  <c r="Z8" i="7" s="1"/>
  <c r="Y7" i="7"/>
  <c r="R5" i="7"/>
  <c r="R9" i="7" s="1"/>
  <c r="T9" i="7" s="1"/>
  <c r="R7" i="7"/>
  <c r="T7" i="7" s="1"/>
  <c r="J24" i="2"/>
  <c r="L20" i="2" s="1"/>
  <c r="K5" i="2"/>
  <c r="Y12" i="7"/>
  <c r="Z12" i="7" s="1"/>
  <c r="N19" i="6"/>
  <c r="L19" i="6"/>
  <c r="J11" i="1"/>
  <c r="J7" i="1"/>
  <c r="J9" i="1"/>
  <c r="J13" i="1"/>
  <c r="J6" i="1"/>
  <c r="J8" i="1"/>
  <c r="M15" i="6"/>
  <c r="M18" i="6"/>
  <c r="R282" i="5"/>
  <c r="R290" i="5"/>
  <c r="S290" i="5" s="1"/>
  <c r="R283" i="5"/>
  <c r="S283" i="5" s="1"/>
  <c r="R291" i="5"/>
  <c r="S291" i="5" s="1"/>
  <c r="R284" i="5"/>
  <c r="S284" i="5" s="1"/>
  <c r="R292" i="5"/>
  <c r="R285" i="5"/>
  <c r="S285" i="5" s="1"/>
  <c r="R293" i="5"/>
  <c r="S293" i="5" s="1"/>
  <c r="R286" i="5"/>
  <c r="S286" i="5" s="1"/>
  <c r="R294" i="5"/>
  <c r="R287" i="5"/>
  <c r="S287" i="5" s="1"/>
  <c r="R288" i="5"/>
  <c r="S288" i="5" s="1"/>
  <c r="R289" i="5"/>
  <c r="S289" i="5" s="1"/>
  <c r="R281" i="5"/>
  <c r="S281" i="5" s="1"/>
  <c r="P17" i="6" l="1"/>
  <c r="L11" i="2"/>
  <c r="L16" i="2"/>
  <c r="L17" i="2"/>
  <c r="L5" i="2"/>
  <c r="L12" i="2"/>
  <c r="L10" i="2"/>
  <c r="L18" i="2"/>
  <c r="L6" i="2"/>
  <c r="L13" i="2"/>
  <c r="L21" i="2"/>
  <c r="L15" i="2"/>
  <c r="Z7" i="7"/>
  <c r="L14" i="2"/>
  <c r="L7" i="2"/>
  <c r="L23" i="2"/>
  <c r="L22" i="2"/>
  <c r="L4" i="2"/>
  <c r="Y9" i="7"/>
  <c r="Z9" i="7" s="1"/>
  <c r="L8" i="2"/>
  <c r="Y11" i="7"/>
  <c r="Z11" i="7" s="1"/>
  <c r="K24" i="2"/>
  <c r="L19" i="2"/>
  <c r="L9" i="2"/>
  <c r="R8" i="7"/>
  <c r="T8" i="7" s="1"/>
  <c r="Y13" i="7"/>
  <c r="Z13" i="7" s="1"/>
  <c r="N15" i="6"/>
  <c r="J14" i="1"/>
  <c r="R295" i="5"/>
  <c r="S292" i="5"/>
  <c r="S294" i="5"/>
  <c r="S282" i="5"/>
  <c r="Y15" i="7" l="1"/>
  <c r="L24" i="2"/>
  <c r="Z15" i="7"/>
  <c r="T302" i="5"/>
  <c r="U302" i="5" s="1"/>
  <c r="S295" i="5"/>
  <c r="T288" i="5" s="1"/>
  <c r="T309" i="5" l="1"/>
  <c r="U309" i="5" s="1"/>
  <c r="T310" i="5"/>
  <c r="U310" i="5" s="1"/>
  <c r="T303" i="5"/>
  <c r="U303" i="5" s="1"/>
  <c r="T301" i="5"/>
  <c r="U301" i="5" s="1"/>
  <c r="T304" i="5"/>
  <c r="U304" i="5" s="1"/>
  <c r="T305" i="5"/>
  <c r="U305" i="5" s="1"/>
  <c r="T306" i="5"/>
  <c r="U306" i="5" s="1"/>
  <c r="T307" i="5"/>
  <c r="U307" i="5" s="1"/>
  <c r="T308" i="5"/>
  <c r="U308" i="5" s="1"/>
  <c r="T292" i="5"/>
  <c r="U292" i="5" s="1"/>
  <c r="T283" i="5"/>
  <c r="U283" i="5" s="1"/>
  <c r="T293" i="5"/>
  <c r="U293" i="5" s="1"/>
  <c r="T284" i="5"/>
  <c r="U284" i="5" s="1"/>
  <c r="T285" i="5"/>
  <c r="U285" i="5" s="1"/>
  <c r="T286" i="5"/>
  <c r="U286" i="5" s="1"/>
  <c r="T289" i="5"/>
  <c r="U289" i="5" s="1"/>
  <c r="U288" i="5"/>
  <c r="T290" i="5"/>
  <c r="U290" i="5" s="1"/>
  <c r="T291" i="5"/>
  <c r="U291" i="5" s="1"/>
  <c r="T287" i="5"/>
  <c r="U287" i="5" s="1"/>
  <c r="T281" i="5"/>
  <c r="U281" i="5" s="1"/>
  <c r="T282" i="5"/>
  <c r="U282" i="5" s="1"/>
  <c r="T294" i="5"/>
  <c r="U294" i="5" s="1"/>
  <c r="U311" i="5" l="1"/>
  <c r="E32" i="5" s="1"/>
  <c r="T311" i="5"/>
  <c r="U295" i="5"/>
  <c r="T295" i="5"/>
  <c r="Q135" i="5"/>
  <c r="N31" i="5" l="1"/>
  <c r="E31" i="5"/>
  <c r="X31" i="5" s="1"/>
  <c r="Q155" i="5"/>
  <c r="R152" i="5" s="1"/>
  <c r="S152" i="5" s="1"/>
  <c r="R122" i="5"/>
  <c r="S122" i="5" s="1"/>
  <c r="R120" i="5"/>
  <c r="S120" i="5" s="1"/>
  <c r="R129" i="5"/>
  <c r="S129" i="5" s="1"/>
  <c r="R132" i="5"/>
  <c r="S132" i="5" s="1"/>
  <c r="R121" i="5"/>
  <c r="S121" i="5" s="1"/>
  <c r="R125" i="5"/>
  <c r="S125" i="5" s="1"/>
  <c r="R124" i="5"/>
  <c r="S124" i="5" s="1"/>
  <c r="R146" i="5" l="1"/>
  <c r="S146" i="5" s="1"/>
  <c r="R147" i="5"/>
  <c r="S147" i="5" s="1"/>
  <c r="R142" i="5"/>
  <c r="S142" i="5" s="1"/>
  <c r="R149" i="5"/>
  <c r="S149" i="5" s="1"/>
  <c r="R154" i="5"/>
  <c r="S154" i="5" s="1"/>
  <c r="R143" i="5"/>
  <c r="S143" i="5" s="1"/>
  <c r="R150" i="5"/>
  <c r="S150" i="5" s="1"/>
  <c r="R141" i="5"/>
  <c r="S141" i="5" s="1"/>
  <c r="R144" i="5"/>
  <c r="S144" i="5" s="1"/>
  <c r="R151" i="5"/>
  <c r="S151" i="5" s="1"/>
  <c r="R153" i="5"/>
  <c r="S153" i="5" s="1"/>
  <c r="R148" i="5"/>
  <c r="S148" i="5" s="1"/>
  <c r="R135" i="5"/>
  <c r="S155" i="5" l="1"/>
  <c r="T153" i="5" s="1"/>
  <c r="U153" i="5" s="1"/>
  <c r="R155" i="5"/>
  <c r="S135" i="5"/>
  <c r="T120" i="5" s="1"/>
  <c r="U120" i="5" s="1"/>
  <c r="U19" i="5"/>
  <c r="U27" i="5"/>
  <c r="U24" i="5"/>
  <c r="U23" i="5"/>
  <c r="U22" i="5"/>
  <c r="U31" i="5"/>
  <c r="U30" i="5"/>
  <c r="U21" i="5"/>
  <c r="V32" i="5"/>
  <c r="U20" i="5"/>
  <c r="U26" i="5"/>
  <c r="S18" i="5"/>
  <c r="Q18" i="5"/>
  <c r="K18" i="5"/>
  <c r="S30" i="5"/>
  <c r="S22" i="5"/>
  <c r="S26" i="5"/>
  <c r="S27" i="5"/>
  <c r="S23" i="5"/>
  <c r="S29" i="5"/>
  <c r="V29" i="5" s="1"/>
  <c r="S31" i="5"/>
  <c r="Q23" i="5"/>
  <c r="Q25" i="5"/>
  <c r="V25" i="5" s="1"/>
  <c r="Q27" i="5"/>
  <c r="Q24" i="5"/>
  <c r="Q21" i="5"/>
  <c r="Q22" i="5"/>
  <c r="K23" i="5"/>
  <c r="K22" i="5"/>
  <c r="K31" i="5"/>
  <c r="K26" i="5"/>
  <c r="K27" i="5"/>
  <c r="K30" i="5"/>
  <c r="V24" i="5" l="1"/>
  <c r="U33" i="5"/>
  <c r="T148" i="5"/>
  <c r="U148" i="5" s="1"/>
  <c r="S33" i="5"/>
  <c r="T154" i="5"/>
  <c r="U154" i="5" s="1"/>
  <c r="T142" i="5"/>
  <c r="U142" i="5" s="1"/>
  <c r="T143" i="5"/>
  <c r="U143" i="5" s="1"/>
  <c r="T147" i="5"/>
  <c r="U147" i="5" s="1"/>
  <c r="T152" i="5"/>
  <c r="U152" i="5" s="1"/>
  <c r="T146" i="5"/>
  <c r="U146" i="5" s="1"/>
  <c r="T145" i="5"/>
  <c r="U145" i="5" s="1"/>
  <c r="T149" i="5"/>
  <c r="U149" i="5" s="1"/>
  <c r="T150" i="5"/>
  <c r="U150" i="5" s="1"/>
  <c r="T141" i="5"/>
  <c r="U141" i="5" s="1"/>
  <c r="T144" i="5"/>
  <c r="U144" i="5" s="1"/>
  <c r="T151" i="5"/>
  <c r="U151" i="5" s="1"/>
  <c r="T128" i="5"/>
  <c r="U128" i="5" s="1"/>
  <c r="T121" i="5"/>
  <c r="U121" i="5" s="1"/>
  <c r="T129" i="5"/>
  <c r="U129" i="5" s="1"/>
  <c r="T123" i="5"/>
  <c r="U123" i="5" s="1"/>
  <c r="T131" i="5"/>
  <c r="U131" i="5" s="1"/>
  <c r="T122" i="5"/>
  <c r="U122" i="5" s="1"/>
  <c r="T124" i="5"/>
  <c r="U124" i="5" s="1"/>
  <c r="T132" i="5"/>
  <c r="U132" i="5" s="1"/>
  <c r="T130" i="5"/>
  <c r="U130" i="5" s="1"/>
  <c r="T125" i="5"/>
  <c r="U125" i="5" s="1"/>
  <c r="T133" i="5"/>
  <c r="U133" i="5" s="1"/>
  <c r="T126" i="5"/>
  <c r="U126" i="5" s="1"/>
  <c r="T134" i="5"/>
  <c r="U134" i="5" s="1"/>
  <c r="T127" i="5"/>
  <c r="U127" i="5" s="1"/>
  <c r="K33" i="5"/>
  <c r="Q33" i="5"/>
  <c r="U135" i="5" l="1"/>
  <c r="E22" i="5" s="1"/>
  <c r="X22" i="5" s="1"/>
  <c r="X33" i="5" s="1"/>
  <c r="U155" i="5"/>
  <c r="E26" i="5" s="1"/>
  <c r="X26" i="5" s="1"/>
  <c r="T155" i="5"/>
  <c r="T135" i="5"/>
  <c r="N26" i="5" l="1"/>
  <c r="H26" i="5"/>
  <c r="H22" i="5"/>
  <c r="N22" i="5"/>
  <c r="N33" i="5" l="1"/>
  <c r="O22" i="5" s="1"/>
  <c r="H33" i="5"/>
  <c r="I22" i="5" s="1"/>
  <c r="V22" i="5" l="1"/>
  <c r="I18" i="5"/>
  <c r="I27" i="5"/>
  <c r="I21" i="5"/>
  <c r="I23" i="5"/>
  <c r="I20" i="5"/>
  <c r="I19" i="5"/>
  <c r="I28" i="5"/>
  <c r="I26" i="5"/>
  <c r="O23" i="5"/>
  <c r="O27" i="5"/>
  <c r="O31" i="5"/>
  <c r="V31" i="5" s="1"/>
  <c r="O18" i="5"/>
  <c r="O28" i="5"/>
  <c r="O26" i="5"/>
  <c r="O20" i="5"/>
  <c r="O21" i="5"/>
  <c r="O19" i="5"/>
  <c r="O30" i="5"/>
  <c r="V30" i="5" s="1"/>
  <c r="V23" i="5" l="1"/>
  <c r="V28" i="5"/>
  <c r="V19" i="5"/>
  <c r="V27" i="5"/>
  <c r="V26" i="5"/>
  <c r="V21" i="5"/>
  <c r="O33" i="5"/>
  <c r="V20" i="5"/>
  <c r="I33" i="5"/>
  <c r="V33" i="5" l="1"/>
  <c r="W19" i="5" l="1"/>
  <c r="Y19" i="5" s="1"/>
  <c r="W21" i="5"/>
  <c r="Y21" i="5" s="1"/>
  <c r="W28" i="5"/>
  <c r="Y28" i="5" s="1"/>
  <c r="W27" i="5"/>
  <c r="Y27" i="5" s="1"/>
  <c r="W29" i="5"/>
  <c r="Y29" i="5" s="1"/>
  <c r="W24" i="5"/>
  <c r="Y24" i="5" s="1"/>
  <c r="W32" i="5"/>
  <c r="Y32" i="5" s="1"/>
  <c r="W25" i="5"/>
  <c r="Y25" i="5" s="1"/>
  <c r="W31" i="5"/>
  <c r="Y31" i="5" s="1"/>
  <c r="W30" i="5"/>
  <c r="Y30" i="5" s="1"/>
  <c r="W22" i="5"/>
  <c r="Y22" i="5" s="1"/>
  <c r="W20" i="5"/>
  <c r="Y20" i="5" s="1"/>
  <c r="W26" i="5"/>
  <c r="Y26" i="5" s="1"/>
  <c r="W23" i="5"/>
  <c r="Y23" i="5" s="1"/>
  <c r="Y18" i="5" l="1"/>
  <c r="Y33" i="5" s="1"/>
  <c r="W33" i="5"/>
  <c r="Z18" i="5" l="1"/>
  <c r="AA26" i="5"/>
  <c r="Z19" i="5"/>
  <c r="Z27" i="5"/>
  <c r="Z22" i="5"/>
  <c r="AA22" i="5"/>
  <c r="Z31" i="5"/>
  <c r="Z32" i="5"/>
  <c r="AA32" i="5"/>
  <c r="Z25" i="5"/>
  <c r="AA19" i="5"/>
  <c r="AA27" i="5"/>
  <c r="Z20" i="5"/>
  <c r="Z28" i="5"/>
  <c r="AA21" i="5"/>
  <c r="AA30" i="5"/>
  <c r="AA31" i="5"/>
  <c r="Z24" i="5"/>
  <c r="AA20" i="5"/>
  <c r="AA28" i="5"/>
  <c r="Z21" i="5"/>
  <c r="Z29" i="5"/>
  <c r="AA29" i="5"/>
  <c r="Z30" i="5"/>
  <c r="Z23" i="5"/>
  <c r="AA23" i="5"/>
  <c r="AA24" i="5"/>
  <c r="AA25" i="5"/>
  <c r="Z26" i="5"/>
  <c r="L11" i="16"/>
  <c r="L7" i="16"/>
  <c r="L8" i="16"/>
  <c r="L10" i="16"/>
  <c r="L9" i="16"/>
  <c r="L6" i="16"/>
  <c r="AA33" i="5" l="1"/>
  <c r="Z33" i="5"/>
  <c r="L12" i="16"/>
</calcChain>
</file>

<file path=xl/sharedStrings.xml><?xml version="1.0" encoding="utf-8"?>
<sst xmlns="http://schemas.openxmlformats.org/spreadsheetml/2006/main" count="2784" uniqueCount="1195">
  <si>
    <t>Macromolecule</t>
  </si>
  <si>
    <t>Protein</t>
  </si>
  <si>
    <t>DNA</t>
  </si>
  <si>
    <t>RNA</t>
  </si>
  <si>
    <t>Carbohydrates</t>
  </si>
  <si>
    <t>Pigments</t>
  </si>
  <si>
    <t>Cofactors</t>
  </si>
  <si>
    <t>Cellular content% (w/w)</t>
  </si>
  <si>
    <t>Normalized cellular content% (w/w)</t>
  </si>
  <si>
    <t>g/gDCW</t>
  </si>
  <si>
    <t>Lipid</t>
  </si>
  <si>
    <t>[2]</t>
  </si>
  <si>
    <t>[3]</t>
  </si>
  <si>
    <t>Component</t>
  </si>
  <si>
    <t>KEGG ID</t>
  </si>
  <si>
    <t>Formula</t>
  </si>
  <si>
    <t>Mol.Weight</t>
  </si>
  <si>
    <t>Total</t>
  </si>
  <si>
    <t>-</t>
  </si>
  <si>
    <t>molM/molMM</t>
  </si>
  <si>
    <t>Chlorophyll a</t>
  </si>
  <si>
    <t>TAG</t>
  </si>
  <si>
    <t>DAG</t>
  </si>
  <si>
    <t>FFA</t>
  </si>
  <si>
    <t>SQDG</t>
  </si>
  <si>
    <t>PG</t>
  </si>
  <si>
    <t>PC</t>
  </si>
  <si>
    <t>PE</t>
  </si>
  <si>
    <t>PI</t>
  </si>
  <si>
    <t>MGDG</t>
  </si>
  <si>
    <t>DGDG</t>
  </si>
  <si>
    <t>1,3-b-glucan</t>
  </si>
  <si>
    <t>C60H100O50</t>
  </si>
  <si>
    <t>% mol/mol</t>
  </si>
  <si>
    <t>gM/molMM</t>
  </si>
  <si>
    <t>C14:0</t>
  </si>
  <si>
    <t>C16:0</t>
  </si>
  <si>
    <t>C16:1</t>
  </si>
  <si>
    <t>C16:2</t>
  </si>
  <si>
    <t>C18:1</t>
  </si>
  <si>
    <t>C18:2</t>
  </si>
  <si>
    <t>C18:3</t>
  </si>
  <si>
    <t>C20:2</t>
  </si>
  <si>
    <t>C20:4</t>
  </si>
  <si>
    <t>C20:5</t>
  </si>
  <si>
    <t>C18:0</t>
  </si>
  <si>
    <t>C06424</t>
  </si>
  <si>
    <t>C14H28O2</t>
  </si>
  <si>
    <t>C00249</t>
  </si>
  <si>
    <t>C16H32O2</t>
  </si>
  <si>
    <t>C08362</t>
  </si>
  <si>
    <t>C16H30O2</t>
  </si>
  <si>
    <t>C16H28O2</t>
  </si>
  <si>
    <t>C01530</t>
  </si>
  <si>
    <t>C18H36O2</t>
  </si>
  <si>
    <t>C00712</t>
  </si>
  <si>
    <t>C18H34O2</t>
  </si>
  <si>
    <t>C01595</t>
  </si>
  <si>
    <t>C18H32O2</t>
  </si>
  <si>
    <t>C06427</t>
  </si>
  <si>
    <t>C18H30O2</t>
  </si>
  <si>
    <t>C16525</t>
  </si>
  <si>
    <t>C20H36O2</t>
  </si>
  <si>
    <t>C00219</t>
  </si>
  <si>
    <t>C20H32O2</t>
  </si>
  <si>
    <t>C06428</t>
  </si>
  <si>
    <t>C20H30O2</t>
  </si>
  <si>
    <t>molM/molMM Normalized</t>
  </si>
  <si>
    <t>mmol/gDW</t>
  </si>
  <si>
    <t>Cellulose</t>
  </si>
  <si>
    <t>https://www.sciencedirect.com/science/article/pii/S2211926414001258</t>
  </si>
  <si>
    <t>See this:</t>
  </si>
  <si>
    <t>Metabolite</t>
  </si>
  <si>
    <t>Chemical Formula</t>
  </si>
  <si>
    <t>MW (g/mol)</t>
  </si>
  <si>
    <t>Reduced MW</t>
  </si>
  <si>
    <t>gmetabolite/gDW</t>
  </si>
  <si>
    <t>NADP+</t>
  </si>
  <si>
    <t>FAD</t>
  </si>
  <si>
    <t>Thiamin diphosphate</t>
  </si>
  <si>
    <t>CoA</t>
  </si>
  <si>
    <t>Pyridoxal phosphate</t>
  </si>
  <si>
    <t>S-Adenosyl-L-methionine</t>
  </si>
  <si>
    <t>10-Formyltetrahydrofolate</t>
  </si>
  <si>
    <t>NAD+</t>
  </si>
  <si>
    <t>FMN</t>
  </si>
  <si>
    <t>Glutathione</t>
  </si>
  <si>
    <t>Ascorbate</t>
  </si>
  <si>
    <t>Riboflavin</t>
  </si>
  <si>
    <t>Tetrahydrofolate</t>
  </si>
  <si>
    <t>Pantetheine 4\'-phosphate</t>
  </si>
  <si>
    <t>C53H82O2</t>
  </si>
  <si>
    <t>Heme</t>
  </si>
  <si>
    <t>Biotin</t>
  </si>
  <si>
    <t>alpha-Tocopherol</t>
  </si>
  <si>
    <t>C29H50O2</t>
  </si>
  <si>
    <t>mol/mole-Cofactor</t>
  </si>
  <si>
    <t>gmetabolite/ge-Cofactor</t>
  </si>
  <si>
    <t>mmolmetabolite/ge-Cofactor</t>
  </si>
  <si>
    <t>Ubiquinol-9</t>
  </si>
  <si>
    <t>C54H84O4</t>
  </si>
  <si>
    <t>Plastoquinol-9</t>
  </si>
  <si>
    <t>C00965</t>
  </si>
  <si>
    <t>GDP-Fucose</t>
  </si>
  <si>
    <t>UDP-Xylose</t>
  </si>
  <si>
    <t>C00760</t>
  </si>
  <si>
    <t>GDP-Mannose</t>
  </si>
  <si>
    <t>C48H84O42</t>
  </si>
  <si>
    <t>UDP</t>
  </si>
  <si>
    <t>GDP</t>
  </si>
  <si>
    <t>e-Carbohydrate</t>
  </si>
  <si>
    <t>CPD-17476</t>
  </si>
  <si>
    <t>mol/mol</t>
  </si>
  <si>
    <t>SPS</t>
  </si>
  <si>
    <t>CWPS</t>
  </si>
  <si>
    <t>ADP-ribose</t>
  </si>
  <si>
    <t>UDP-glucuronate</t>
  </si>
  <si>
    <t>UDP-L-arabinose</t>
  </si>
  <si>
    <t>mol M/gMM</t>
  </si>
  <si>
    <t>gM/mol CWPS</t>
  </si>
  <si>
    <t>mol M/gCWPS</t>
  </si>
  <si>
    <t>D-Ribose 5-phosphate</t>
  </si>
  <si>
    <t>Fucoxanthin</t>
  </si>
  <si>
    <t>Diadinoxanthin</t>
  </si>
  <si>
    <t>B-carotene</t>
  </si>
  <si>
    <t>ug/10^6 cell ml</t>
  </si>
  <si>
    <t>C21H25N7O17P3</t>
  </si>
  <si>
    <t>C27H31N9O15P2</t>
  </si>
  <si>
    <t>C12H17N4O7P2S</t>
  </si>
  <si>
    <t>C21H32N7O16P3S</t>
  </si>
  <si>
    <t>C8H8NO6P</t>
  </si>
  <si>
    <t>C15H23N6O5S</t>
  </si>
  <si>
    <t>C20H21N7O7</t>
  </si>
  <si>
    <t>C21H26N7O14P2</t>
  </si>
  <si>
    <t>C17H19N4O9P</t>
  </si>
  <si>
    <t>C10H16N3O6S</t>
  </si>
  <si>
    <t>C6H7O6</t>
  </si>
  <si>
    <t>C17H19N4O6</t>
  </si>
  <si>
    <t>C19H21N7O6</t>
  </si>
  <si>
    <t>C11H21N2O7PS</t>
  </si>
  <si>
    <t>C34FeH30N4O4</t>
  </si>
  <si>
    <t>C10H15N2O3S</t>
  </si>
  <si>
    <t>Phylloquinol</t>
  </si>
  <si>
    <t>C31H48O2</t>
  </si>
  <si>
    <t>Cobamide coenzyme</t>
  </si>
  <si>
    <t>C72H100CoN18O17P</t>
  </si>
  <si>
    <t>Lipoate</t>
  </si>
  <si>
    <t>C8H14O2S2</t>
  </si>
  <si>
    <t>[2Fe-2S] without apo protein</t>
  </si>
  <si>
    <t>S2Fe2</t>
  </si>
  <si>
    <t>[1]</t>
  </si>
  <si>
    <t>/doi.org/10.1016/0022-0981(92)90223-W</t>
  </si>
  <si>
    <t>A comparative study of phytoplankton physiological indicators</t>
  </si>
  <si>
    <t>MAG</t>
  </si>
  <si>
    <t>SG</t>
  </si>
  <si>
    <t>CL</t>
  </si>
  <si>
    <t>C18:1 (n7)</t>
  </si>
  <si>
    <t>C18:3 (n-3)</t>
  </si>
  <si>
    <t>C18:4</t>
  </si>
  <si>
    <t>C22:6</t>
  </si>
  <si>
    <t>https://doi.org/10.1007/BF00120948</t>
  </si>
  <si>
    <t>https://www.sciencedirect.com/science/article/pii/S0146638021001364</t>
  </si>
  <si>
    <t>https://link.springer.com/article/10.1007/s10482-021-01551-5#Sec8</t>
  </si>
  <si>
    <t>https://www.mdpi.com/2072-6643/12/1/138#B170-nutrients-12-00138</t>
  </si>
  <si>
    <t>https://doi.org/10.1007/BF00003584</t>
  </si>
  <si>
    <t>https://www.sciencedirect.com/science/article/pii/S2211926417310421</t>
  </si>
  <si>
    <t>Na</t>
  </si>
  <si>
    <t>K</t>
  </si>
  <si>
    <t>Ca</t>
  </si>
  <si>
    <t>Mg</t>
  </si>
  <si>
    <t>Fe</t>
  </si>
  <si>
    <t>Zn</t>
  </si>
  <si>
    <t>Mn</t>
  </si>
  <si>
    <t>mg/g</t>
  </si>
  <si>
    <t>mg/100g</t>
  </si>
  <si>
    <t>g/g</t>
  </si>
  <si>
    <t>mg/100mg</t>
  </si>
  <si>
    <t>https://sci-hub.se/https://doi.org/10.1139/f61-064</t>
  </si>
  <si>
    <t>g/100g</t>
  </si>
  <si>
    <t>g/gDW</t>
  </si>
  <si>
    <t>gM/gMM</t>
  </si>
  <si>
    <t>mmol M / gMM</t>
  </si>
  <si>
    <t>https://www.sciencedirect.com/science/article/pii/S1466856416300492#t0010</t>
  </si>
  <si>
    <t>4 (supplementary</t>
  </si>
  <si>
    <t>[4]</t>
  </si>
  <si>
    <t>mg/gDW</t>
  </si>
  <si>
    <t>mmolM/gMM</t>
  </si>
  <si>
    <t>Chlorphyll c1</t>
  </si>
  <si>
    <t>Chlorphyll c2</t>
  </si>
  <si>
    <t>Guedes</t>
  </si>
  <si>
    <t>10.1007/s11746-010-1559-0</t>
  </si>
  <si>
    <t>TATSUZAWA</t>
  </si>
  <si>
    <t>https://pdf.sciencedirectassets.com/271408/1-s2.0-S0031942200X00155/1-s2.0-0031942295003274/main.pdf?X-Amz-Security-Token=IQoJb3JpZ2luX2VjEOX%2F%2F%2F%2F%2F%2F%2F%2F%2F%2FwEaCXVzLWVhc3QtMSJHMEUCIQCfILVh1gHv0bPzY4DxjpeDSso%2FpipgYIHXVtnkvITNLAIgOgNt53keeT61egDUDwPsw01bG%2Bb1MP%2FXZzUCE5s55t0qvAUIvv%2F%2F%2F%2F%2F%2F%2F%2F%2F%2FARAFGgwwNTkwMDM1NDY4NjUiDNYJJwraxFCGEr7DtyqQBQpSZ%2BdzvyrFbWBAQx8HFsK8xiNqWQBz088S7lgCDVmXejdIOLvN%2Fj3KtXypgG8u%2Foc6i2HL%2BCJWMRGsURSqujwhtgWENlqErQBxOVN7WIId7b9Y%2BM6oQR2zifq75H5YOAi4pEK%2FOru6KZeUr%2FXo4AfjZM6jcADT3tp3rKWj5zyniMh%2FVjJUWyAtrnFlrqrbwcSgAZFz7wUukUyU4ycP9kWJLreOddPMiz9mmY%2BwyfKpNceZGirbQ0YjOBRAwGRpKnal4JGsbC3Dr0I0cwXFW7VWNSEHclPTFISHTszLAhyXz%2FcQeLTLwVsbxavEGXHJ%2Fl%2BLV87fPhe4Jaaz64cxLa03SYCJngCdGHK3AxSVdsBRrydE7r5e6qaXQtzg%2BpB0%2BP3VoqlfhCpyl2CkIPXYKDAbyEG1hk4S%2BeeKBXnsvKIelxUS%2FMvKvEaRsJidD%2FBievp0BhfyVMR4ca9PHMlarMHXhdVU%2FZCTl0geIMvg3WAPM7X7rGrJW7pJxphQnoWy8K1AZMIp730EIATyHtA0V306Pg%2BvIzIpmzp2%2BiiOs6egRsNTnme0xoGwKoMngkIXPFLfHbjePxYdIHmPaMLwFk7C%2FBX9UjaTbgqUGPNxlR97JA7zNbZYPJaWHtqyfnIKdh3q%2FE4ld%2B6eFYMRkL0qf5Jc1l8P6yHGYK2oNnQcNzfq0bpifcSTzl1CEAsNyU%2BbiVvnnfpfqfcdEAbs%2FhkXaEzmCxKmebbXzpxoxXgqbfjfPfe8NKBVzXyAudBrdECIWogySz9E%2F53EZz3P2bhTzcFb36XaQknYBw%2FVIhE%2F54dcn59raA%2BA%2FOCjPQc7qzGBWOT%2BoDSRPtw%2BgMMJSOCHWw1etsuKz7Lz7J5NzAxHash4MNapva4GOrEBKrZugxDjDueEM53HJB%2BvzN7PXsfAM3LmGKDX1gJix2lwswurZqqzhty4BmuA7svetFkrxlfnw%2BpGsLaaWxSjF4g%2BsrqodkSSTjdijSomNDMYYw80Sj7iqHfT8n7b3Eu%2BBBh3ySDaSGlhjq5vqo87M%2Fou%2BMHjmonpiRjefaU23UHV55VMG0Wrk8m8PT8BoJOLhCfamXQRkdzvufmNMjej4Iri6U8EriirmHxISK5Rizpj&amp;X-Amz-Algorithm=AWS4-HMAC-SHA256&amp;X-Amz-Date=20240216T135603Z&amp;X-Amz-SignedHeaders=host&amp;X-Amz-Expires=300&amp;X-Amz-Credential=ASIAQ3PHCVTYWVV2OOZB%2F20240216%2Fus-east-1%2Fs3%2Faws4_request&amp;X-Amz-Signature=854c706147b5d801836b5ab49f5e6245d901ac8598a83dc71b0a6a433bc8a016&amp;hash=a2f43ed893c95ae80ae5c5e74ff88b3ee39544c59659b89cdbceb4ef05f2e794&amp;host=68042c943591013ac2b2430a89b270f6af2c76d8dfd086a07176afe7c76c2c61&amp;pii=0031942295003274&amp;tid=spdf-54167fa5-c69c-403d-aefe-02cb9828ff49&amp;sid=041186658c040246d77a5656531f1a020795gxrqb&amp;type=client&amp;tsoh=d3d3LnNjaWVuY2VkaXJlY3QuY29t&amp;ua=16155b56535953010404&amp;rr=85664aaffb636923&amp;cc=pt</t>
  </si>
  <si>
    <t>% molar</t>
  </si>
  <si>
    <t>https://pubs.acs.org/doi/epdf/10.1021/jf025952y</t>
  </si>
  <si>
    <t>MEIRELES</t>
  </si>
  <si>
    <t>EICHEKBERGEK</t>
  </si>
  <si>
    <t>DGGA</t>
  </si>
  <si>
    <t>DGTA</t>
  </si>
  <si>
    <t>DGCC</t>
  </si>
  <si>
    <t>Yang</t>
  </si>
  <si>
    <t>https://www.jstage.jst.go.jp/article/jos/69/10/69_ess20140/_pdf/-char/ja</t>
  </si>
  <si>
    <t>https://pdf.sciencedirectassets.com/271408/1-s2.0-S0031942200X00519/1-s2.0-S003194229700201X/main.pdf?X-Amz-Security-Token=IQoJb3JpZ2luX2VjEOX%2F%2F%2F%2F%2F%2F%2F%2F%2F%2FwEaCXVzLWVhc3QtMSJHMEUCIQCbFmfLm8RG7zmen7e%2BQYiQzjfUG5GEUmOFXo7xD9XlcgIgavFVoGERO5QGi24gaxwROa1WhhpUYgG8isumeiRYtC4quwUIvv%2F%2F%2F%2F%2F%2F%2F%2F%2F%2FARAFGgwwNTkwMDM1NDY4NjUiDBgupxtj4l8wvqWAIiqPBfwXfMg6cBpIRXMMiB6osuG%2F0eSD5cnqdcPv4NQjeOJhLoe7SunQLWdj%2Fkvsr5ogK2DrxSeIqMmUWfY8phX4%2B35ZX3%2BJQfTzAOHTC0EMc%2B0MZ2VnicEzBlJSw4I7wl%2BTLNy7WCLMMshHxM8vEZZsPhpfBwxgn1nCQKnuKH2YAYZr1QQvaZOheW1BqhfWj%2Bwd3CRaJfXAN%2FcwK7FkSJWPPeMlvQC8ABELRTFT%2Bm9Yo%2F9VQkPmQeOQtDXQjrtRc55iXHWI1WHaXhj0nlm8FWPSzA5QZC6gGNvKOolX0bDsVV6iJyoXTUMz9Pr%2FWoq8ImfhSTDwcY%2FBhMeLuGhsDay%2Fn9PEFFonwwyUTmKLT5sbcpUe0m6LLJ7uFQkmtIZSF%2ByHYth8e48eGw0xuaO8eW7ZIAAyDWKmGLLu%2BEav6c7KoSPp1Ly6uXKlFqpSxigMtD%2Bj0Cl8c0NsH2zzf6FIozeykWRvTb15bOnPZHdfYmUX0DTQgLTFM1nJMaUdqN9S%2FN6XNrFyU7iqW7K3gyFqWWpqCFEKtNCsUcUygGt0TjC7gHgwFg9Ezs0Jx8hiQZUUFUZSJzGEOiZaVyBtbnGL9N%2B9D%2B%2BBN2F2zJormgZ8A0wWZSoJx12Q6zfKs6orurn7GpCwdtMF4%2BizWCtwoNfdqxVA8Gi1NGF0nvkv4fdCX9MkEU2fNMQpYAd55lxpQ%2FYGqqj6K%2FD%2FJbUacyaJ7ZQLtXg3CCL%2FIOvYfhBEEkHe8x85tMHVnlZUKNhHn4enXJK2xdcPkhkTy9D99BiZpI3HxQI0ZYJplI6mtpXjuJ1RrKPcM4GFdQI28DBXp2KAq8YBwM2fYnugqMxmz6GmnQOw5KuBNyfJPOOyxE2C6t6DNyPcblIwoLG9rgY6sQG6A9sEH%2FIEoaXEwvPdPX7HMrTrtspzz%2Bn9TEUp8i5OCuS0iBVb5K3tgFp4plUMaEeL2uX9CVFRDIPp54ovAreenk2enaUwIbgihgn5yNJjvBRVlV9bmGloSb0MI04pqOSI6ut0t9uGBUES3snSQJmpLZ4JKtqZjXDY97sy96NS2eh7nnI63%2B8kFyi7rQa6KkVDvx6aKTKw7jKi7MFK1EooCQB2UJ8Md6wgT%2FJz7dOywCc%3D&amp;X-Amz-Algorithm=AWS4-HMAC-SHA256&amp;X-Amz-Date=20240216T134430Z&amp;X-Amz-SignedHeaders=host&amp;X-Amz-Expires=300&amp;X-Amz-Credential=ASIAQ3PHCVTY3ZRLJSVB%2F20240216%2Fus-east-1%2Fs3%2Faws4_request&amp;X-Amz-Signature=2a6e877868f2f2975e9c88cdb6cc812d435b059fc211e3ff895e0d36e75e692a&amp;hash=005579ab27385c8bb847bf6d920e680a73c6b4a0483f4c992abc26485e739c27&amp;host=68042c943591013ac2b2430a89b270f6af2c76d8dfd086a07176afe7c76c2c61&amp;pii=S003194229700201X&amp;tid=spdf-e42bead2-80f9-4005-b266-4915eae95cec&amp;sid=041186658c040246d77a5656531f1a020795gxrqb&amp;type=client&amp;tsoh=d3d3LnNjaWVuY2VkaXJlY3QuY29t&amp;ua=16155b56535954590657&amp;rr=856639c5cd9403fa&amp;cc=pt</t>
  </si>
  <si>
    <t>https://www.mdpi.com/2218-1989/9/6/119</t>
  </si>
  <si>
    <t>Tsugawa</t>
  </si>
  <si>
    <t>Cer</t>
  </si>
  <si>
    <t>SM d35:1 (IS)</t>
  </si>
  <si>
    <t>CE 22:1 (IS)</t>
  </si>
  <si>
    <t>https://onlinelibrary.wiley.com/doi/full/10.1111/jpy.12995</t>
  </si>
  <si>
    <t>C18:3 (n-6)</t>
  </si>
  <si>
    <t>&amp; mol/mol</t>
  </si>
  <si>
    <t>C22:5</t>
  </si>
  <si>
    <t>% (w/w)</t>
  </si>
  <si>
    <t>C16:1 (n-7)</t>
  </si>
  <si>
    <t>% mol</t>
  </si>
  <si>
    <t>C15:0</t>
  </si>
  <si>
    <t>C22:0</t>
  </si>
  <si>
    <t>%mol</t>
  </si>
  <si>
    <t>C16300</t>
  </si>
  <si>
    <t>C18H28O2</t>
  </si>
  <si>
    <t>C08281</t>
  </si>
  <si>
    <t>C16513</t>
  </si>
  <si>
    <t>C22H34O2</t>
  </si>
  <si>
    <t>C06429</t>
  </si>
  <si>
    <t>C22H32O2</t>
  </si>
  <si>
    <t>C06426</t>
  </si>
  <si>
    <t>mol M / gDW</t>
  </si>
  <si>
    <t>* included in sterols</t>
  </si>
  <si>
    <t>BL (DGTA, DGCC)</t>
  </si>
  <si>
    <t>–</t>
  </si>
  <si>
    <t>DPG</t>
  </si>
  <si>
    <t>UN</t>
  </si>
  <si>
    <t>C16:3</t>
  </si>
  <si>
    <t>+</t>
  </si>
  <si>
    <t>C12:0</t>
  </si>
  <si>
    <t>C17:0</t>
  </si>
  <si>
    <t>C19:1</t>
  </si>
  <si>
    <t>C13:0</t>
  </si>
  <si>
    <t>C00422</t>
  </si>
  <si>
    <t>C01885</t>
  </si>
  <si>
    <t>C00641</t>
  </si>
  <si>
    <t>C00162</t>
  </si>
  <si>
    <t>C13508</t>
  </si>
  <si>
    <t>C00344</t>
  </si>
  <si>
    <t>C00350</t>
  </si>
  <si>
    <t>C06037</t>
  </si>
  <si>
    <t>C00157</t>
  </si>
  <si>
    <t>C03692</t>
  </si>
  <si>
    <t>C05980</t>
  </si>
  <si>
    <t>C00195</t>
  </si>
  <si>
    <t>MW</t>
  </si>
  <si>
    <t>Cholesterol</t>
  </si>
  <si>
    <t>C00187</t>
  </si>
  <si>
    <t xml:space="preserve">Epibrassicasterol </t>
  </si>
  <si>
    <t>CPD-8135</t>
  </si>
  <si>
    <t>% w/w</t>
  </si>
  <si>
    <t>Ergost-5enol</t>
  </si>
  <si>
    <t>Epicampestanol</t>
  </si>
  <si>
    <t>Poriferasterol</t>
  </si>
  <si>
    <t>24-Ethylcholest-22-enol</t>
  </si>
  <si>
    <t>24-Ethylcholestanol</t>
  </si>
  <si>
    <t>4-Alpha-methylergost-22-enol</t>
  </si>
  <si>
    <t xml:space="preserve">4-Alpha-methylporiferast-22-enol </t>
  </si>
  <si>
    <t>22-Dehydroethylpavlovol</t>
  </si>
  <si>
    <t>Methylpavlovol</t>
  </si>
  <si>
    <t>C01789</t>
  </si>
  <si>
    <t>C08836</t>
  </si>
  <si>
    <t>ethylpavlovol</t>
  </si>
  <si>
    <t>Chemspider</t>
  </si>
  <si>
    <t>C16537</t>
  </si>
  <si>
    <t>C15H30O2</t>
  </si>
  <si>
    <t>gM/molM</t>
  </si>
  <si>
    <t>C02679</t>
  </si>
  <si>
    <t>C12H24O2</t>
  </si>
  <si>
    <t>C21944</t>
  </si>
  <si>
    <t>C16H26O2</t>
  </si>
  <si>
    <t>hepadecacid</t>
  </si>
  <si>
    <t>C17H33O2</t>
  </si>
  <si>
    <t>C19H36O2</t>
  </si>
  <si>
    <t>C13H26O2</t>
  </si>
  <si>
    <t>mol M/gDW</t>
  </si>
  <si>
    <t>C17:1</t>
  </si>
  <si>
    <t>C16536</t>
  </si>
  <si>
    <t>C17H32O2</t>
  </si>
  <si>
    <t>C20:0</t>
  </si>
  <si>
    <t>C06425</t>
  </si>
  <si>
    <t>C20H39O2</t>
  </si>
  <si>
    <t>CER</t>
  </si>
  <si>
    <t>C19:2</t>
  </si>
  <si>
    <t>C22:2</t>
  </si>
  <si>
    <t>C24:0</t>
  </si>
  <si>
    <t>C25:0</t>
  </si>
  <si>
    <t>C26:0</t>
  </si>
  <si>
    <t>LMFA01030129</t>
  </si>
  <si>
    <t>C19H34O2</t>
  </si>
  <si>
    <t>C22H43O2</t>
  </si>
  <si>
    <t>C16533</t>
  </si>
  <si>
    <t>C22H39O2</t>
  </si>
  <si>
    <t>C08320</t>
  </si>
  <si>
    <t>C24H47O2</t>
  </si>
  <si>
    <t>C25H50O2</t>
  </si>
  <si>
    <t>C21931</t>
  </si>
  <si>
    <t>C26H52O2</t>
  </si>
  <si>
    <t>7-Cholestenol</t>
  </si>
  <si>
    <t>24-Methylenecholesterol</t>
  </si>
  <si>
    <t>Fucosterol</t>
  </si>
  <si>
    <t>4alpha-24B-ethylcholest-22-en-3B-ol</t>
  </si>
  <si>
    <t>ug/gDW</t>
  </si>
  <si>
    <t>g/gMM</t>
  </si>
  <si>
    <t>29216499</t>
  </si>
  <si>
    <t>mmol/gMM</t>
  </si>
  <si>
    <t>Sterols</t>
  </si>
  <si>
    <t>Clionasterol</t>
  </si>
  <si>
    <t>C19654</t>
  </si>
  <si>
    <t>68924503</t>
  </si>
  <si>
    <t>Column1</t>
  </si>
  <si>
    <t>Column2</t>
  </si>
  <si>
    <t>12_0</t>
  </si>
  <si>
    <t>13_0</t>
  </si>
  <si>
    <t>14_0</t>
  </si>
  <si>
    <t>14_1</t>
  </si>
  <si>
    <t>15_0</t>
  </si>
  <si>
    <t>15_1</t>
  </si>
  <si>
    <t>16_0</t>
  </si>
  <si>
    <t>16_1</t>
  </si>
  <si>
    <t>16_2</t>
  </si>
  <si>
    <t>16_3</t>
  </si>
  <si>
    <t>17_0</t>
  </si>
  <si>
    <t>17_1</t>
  </si>
  <si>
    <t>18_0</t>
  </si>
  <si>
    <t>18_1</t>
  </si>
  <si>
    <t>18_2</t>
  </si>
  <si>
    <t>18_3</t>
  </si>
  <si>
    <t>18_4</t>
  </si>
  <si>
    <t>18_5</t>
  </si>
  <si>
    <t>20_1</t>
  </si>
  <si>
    <t>20_2</t>
  </si>
  <si>
    <t>20_3</t>
  </si>
  <si>
    <t>20_4</t>
  </si>
  <si>
    <t>20_5</t>
  </si>
  <si>
    <t>22_0</t>
  </si>
  <si>
    <t>22_5</t>
  </si>
  <si>
    <t>22_6</t>
  </si>
  <si>
    <t>Column29</t>
  </si>
  <si>
    <t>Column30</t>
  </si>
  <si>
    <t>Column31</t>
  </si>
  <si>
    <t>Column32</t>
  </si>
  <si>
    <t>TAG 12_0-14_0-18_1</t>
  </si>
  <si>
    <t>TAG 12_0-15_0-18_1</t>
  </si>
  <si>
    <t>TAG 12_0-15_0-18_1; 13_0-14_0-18_1</t>
  </si>
  <si>
    <t>TAG 12_0-16_0-16_0</t>
  </si>
  <si>
    <t>TAG 12_0-16_0-16_0; 14_0-14_0-16_0</t>
  </si>
  <si>
    <t>TAG 12_0-16_0-16_1</t>
  </si>
  <si>
    <t>TAG 12_0-16_0-16_1; 14_0-14_0-16_1</t>
  </si>
  <si>
    <t>TAG 12_0-16_0-16_1; 14_0-14_1-16_0</t>
  </si>
  <si>
    <t>TAG 12_0-16_0-18_1</t>
  </si>
  <si>
    <t>TAG 12_0-16_0-18_1; 14_0-14_0-18_1</t>
  </si>
  <si>
    <t>TAG 12_0-16_0-20_2</t>
  </si>
  <si>
    <t>TAG 12_0-16_0-20_2; 12_0-18_1-18_1</t>
  </si>
  <si>
    <t>TAG 12_0-16_1-18_1</t>
  </si>
  <si>
    <t>TAG 12_0-16_1-18_1; 14_0-16_1-16_1</t>
  </si>
  <si>
    <t>TAG 13_0-14_0-18_1</t>
  </si>
  <si>
    <t>TAG 13_0-16_0-16_1; 14_0-15_0-16_1</t>
  </si>
  <si>
    <t>TAG 13_0-16_0-18_1; 14_0-15_0-18_1</t>
  </si>
  <si>
    <t>TAG 14_0-14_0-16_0</t>
  </si>
  <si>
    <t>TAG 14_0-14_0-16_0; 14_0-15_0-15_0</t>
  </si>
  <si>
    <t>TAG 14_0-14_0-18_1</t>
  </si>
  <si>
    <t>TAG 14_0-14_1-16_0</t>
  </si>
  <si>
    <t>TAG 14_0-15_0-16_1</t>
  </si>
  <si>
    <t>TAG 14_0-15_0-17_1; 14_0-16_0-16_1</t>
  </si>
  <si>
    <t>TAG 14_0-15_0-18_1</t>
  </si>
  <si>
    <t>TAG 14_0-16_0-16_0</t>
  </si>
  <si>
    <t>TAG 14_0-16_0-16_1</t>
  </si>
  <si>
    <t>TAG 14_0-16_0-16_1; 15_0-15_0-16_1</t>
  </si>
  <si>
    <t>TAG 14_0-16_0-18_0</t>
  </si>
  <si>
    <t>TAG 14_0-16_0-18_0; 15_0-16_0-17_0; 16_0-16_0-16_0</t>
  </si>
  <si>
    <t>TAG 14_0-16_0-18_1</t>
  </si>
  <si>
    <t>TAG 14_0-16_0-18_1; 15_0-16_0-17_1; 16_0-16_0-16_1</t>
  </si>
  <si>
    <t>TAG 14_0-16_0-18_2</t>
  </si>
  <si>
    <t>TAG 14_0-16_0-18_2; 16_0-16_1-16_1</t>
  </si>
  <si>
    <t>TAG 14_0-16_1-16_1</t>
  </si>
  <si>
    <t>TAG 14_0-16_1-18_0</t>
  </si>
  <si>
    <t>TAG 14_0-16_1-18_1</t>
  </si>
  <si>
    <t>TAG 14_0-16_1-18_1; 14_1-16_0-18_1</t>
  </si>
  <si>
    <t>TAG 14_0-16_1-18_1; 16_0-16_1-16_1</t>
  </si>
  <si>
    <t>TAG 14_0-16_1-20_1</t>
  </si>
  <si>
    <t>TAG 14_0-16_1-20_2</t>
  </si>
  <si>
    <t>TAG 14_0-16_1-20_2; 14_0-18_1-18_2</t>
  </si>
  <si>
    <t>TAG 14_0-16_1-20_3; 14_0-18_2-18_2</t>
  </si>
  <si>
    <t>TAG 14_0-16_1-22_6</t>
  </si>
  <si>
    <t>TAG 14_0-17_0-18_1; 15_0-16_0-18_1</t>
  </si>
  <si>
    <t>TAG 14_0-18_1-18_1</t>
  </si>
  <si>
    <t>TAG 14_0-18_1-18_2</t>
  </si>
  <si>
    <t>TAG 14_0-18_1-18_2; 16_1-16_1-18_1</t>
  </si>
  <si>
    <t>TAG 14_0-18_1-20_4</t>
  </si>
  <si>
    <t>TAG 14_0-18_1-20_5</t>
  </si>
  <si>
    <t>TAG 14_0-18_1-22_5</t>
  </si>
  <si>
    <t>TAG 14_0-18_2-18_3; 16_0-16_3-18_2</t>
  </si>
  <si>
    <t>TAG 14_0-18_3-20_5</t>
  </si>
  <si>
    <t>TAG 14_1-15_0-16_0</t>
  </si>
  <si>
    <t>TAG 14_1-16_0-16_0</t>
  </si>
  <si>
    <t>TAG 15_0-15_1-16_0</t>
  </si>
  <si>
    <t>TAG 15_0-16_0-18_1</t>
  </si>
  <si>
    <t>TAG 15_0-16_0-18_1; 16_0-16_0-17_1</t>
  </si>
  <si>
    <t>TAG 15_0-17_0-17_1; 16_0-16_0-17_1</t>
  </si>
  <si>
    <t>TAG 15_0-17_0-17_1; 16_0-16_1-17_0</t>
  </si>
  <si>
    <t>TAG 16_0-16_0-16_0</t>
  </si>
  <si>
    <t>TAG 16_0-16_0-16_1</t>
  </si>
  <si>
    <t>TAG 16_0-16_0-16_2</t>
  </si>
  <si>
    <t>TAG 16_0-16_0-16_3</t>
  </si>
  <si>
    <t>TAG 16_0-16_0-17_1</t>
  </si>
  <si>
    <t>TAG 16_0-16_0-18_1</t>
  </si>
  <si>
    <t>TAG 16_0-16_0-18_2</t>
  </si>
  <si>
    <t>TAG 16_0-16_1-16_1_9.9</t>
  </si>
  <si>
    <t>TAG 16_0-16_1-17_0</t>
  </si>
  <si>
    <t>TAG 16_0-16_1-18_1</t>
  </si>
  <si>
    <t>TAG 16_0-16_1-18_2</t>
  </si>
  <si>
    <t>TAG 16_0-16_1-20_3</t>
  </si>
  <si>
    <t>TAG 16_0-16_1-20_4</t>
  </si>
  <si>
    <t>TAG 16_0-16_1-20_5</t>
  </si>
  <si>
    <t>TAG 16_0-16_1-22_6</t>
  </si>
  <si>
    <t>TAG 16_0-16_2-18_1</t>
  </si>
  <si>
    <t>TAG 16_0-16_2-18_2</t>
  </si>
  <si>
    <t>TAG 16_0-16_2-18_2; 16_1-16_2-18_1</t>
  </si>
  <si>
    <t>TAG 16_0-16_2-18_3</t>
  </si>
  <si>
    <t>TAG 16_0-16_2-18_3; 16_0-16_3-18_2</t>
  </si>
  <si>
    <t>TAG 16_0-16_2-20_5</t>
  </si>
  <si>
    <t>TAG 16_0-16_3-18_1</t>
  </si>
  <si>
    <t>TAG 16_0-16_3-18_1; 16_1-16_2-18_1</t>
  </si>
  <si>
    <t>TAG 16_0-16_3-18_2</t>
  </si>
  <si>
    <t>TAG 16_0-16_3-18_2; 16_1-16_3-18_1</t>
  </si>
  <si>
    <t>TAG 16_0-16_3-18_3</t>
  </si>
  <si>
    <t>TAG 16_0-17_1-18_1</t>
  </si>
  <si>
    <t>TAG 16_0-18_0-18_1</t>
  </si>
  <si>
    <t>TAG 16_0-18_1-18_1</t>
  </si>
  <si>
    <t>TAG 16_0-18_1-18_2</t>
  </si>
  <si>
    <t>TAG 16_0-18_1-18_3</t>
  </si>
  <si>
    <t>TAG 16_0-18_1-18_4</t>
  </si>
  <si>
    <t>TAG 16_0-18_1-20_2</t>
  </si>
  <si>
    <t>TAG 16_0-18_1-20_5</t>
  </si>
  <si>
    <t>TAG 16_0-18_1-22_0</t>
  </si>
  <si>
    <t>TAG 16_0-18_1-22_5</t>
  </si>
  <si>
    <t>TAG 16_0-18_1-22_6</t>
  </si>
  <si>
    <t>TAG 16_0-18_2-18_2; 16_1-18_1-18_2</t>
  </si>
  <si>
    <t>TAG 16_0-18_2-18_3; 16_1-18_2-18_2</t>
  </si>
  <si>
    <t>TAG 16_0-18_2-18_3_9.7</t>
  </si>
  <si>
    <t>TAG 16_0-18_2-20_2</t>
  </si>
  <si>
    <t>TAG 16_0-18_3-18_4</t>
  </si>
  <si>
    <t>TAG 16_0-18_3-18_5</t>
  </si>
  <si>
    <t>TAG 16_0-18_4-18_4</t>
  </si>
  <si>
    <t>TAG 16_0-20_2-22_6; 18_1-18_1-22_6</t>
  </si>
  <si>
    <t>TAG 16_0-20_3-20_4</t>
  </si>
  <si>
    <t>TAG 16_1-16_1-16_1</t>
  </si>
  <si>
    <t>TAG 16_1-16_1-20_5</t>
  </si>
  <si>
    <t>TAG 16_1-16_1-20_5; 16_1-18_3-18_3</t>
  </si>
  <si>
    <t>TAG 16_1-16_2-20_4</t>
  </si>
  <si>
    <t>TAG 16_1-18_1-18_1</t>
  </si>
  <si>
    <t>TAG 16_1-18_1-18_2</t>
  </si>
  <si>
    <t>TAG 16_1-18_1-20_2</t>
  </si>
  <si>
    <t>TAG 16_1-18_1-20_2; 18_1-18_1-18_2</t>
  </si>
  <si>
    <t>TAG 16_1-18_2-18_4</t>
  </si>
  <si>
    <t>TAG 16_2-18_1-18_1</t>
  </si>
  <si>
    <t>TAG 16_2-18_1-18_2</t>
  </si>
  <si>
    <t>TAG 16_3-18_1-18_4</t>
  </si>
  <si>
    <t>TAG 18_0-18_1-18_1</t>
  </si>
  <si>
    <t>TAG 18_1-18_1-18_1</t>
  </si>
  <si>
    <t>TAG 18_1-18_1-18_2</t>
  </si>
  <si>
    <t>TAG 18_1-18_1-18_3</t>
  </si>
  <si>
    <t>TAG 18_1-18_1-18_4</t>
  </si>
  <si>
    <t>TAG 18_1-18_1-22_6</t>
  </si>
  <si>
    <t>TAG 18_1-18_2-18_2</t>
  </si>
  <si>
    <t>TAG 18_1-18_2-18_3</t>
  </si>
  <si>
    <t>TAG 18_1-18_2-18_3; 18_2-18_2-18_2</t>
  </si>
  <si>
    <t>TAG 18_1-18_2-18_4</t>
  </si>
  <si>
    <t>TAG 18_1-18_2-18_4; 18_1-18_3-18_3</t>
  </si>
  <si>
    <t>TAG 18_1-18_2-18_5; 18_1-18_3-18_4</t>
  </si>
  <si>
    <t>TAG 18_1-18_3-18_4</t>
  </si>
  <si>
    <t>TAG 18_1-18_3-18_4; 18_2-18_2-18_4</t>
  </si>
  <si>
    <t>TAG 18_4-18_4-22_6</t>
  </si>
  <si>
    <t>TAG 18_4-20_5-22_6</t>
  </si>
  <si>
    <t>TAG 20_2-22_5-22_5</t>
  </si>
  <si>
    <t>TAG 20_2-22_5-22_6</t>
  </si>
  <si>
    <t>TAG 20_5-20_5-20_5</t>
  </si>
  <si>
    <t>TAG 20_5-20_5-22_6</t>
  </si>
  <si>
    <t>20_0</t>
  </si>
  <si>
    <t>DAG 12_0-12_0 (IS)</t>
  </si>
  <si>
    <t>DAG 14_0-20_5</t>
  </si>
  <si>
    <t>DAG 18_2-20_5</t>
  </si>
  <si>
    <t>DAG 18_4-20_5</t>
  </si>
  <si>
    <t>DAG 18_4-22_6</t>
  </si>
  <si>
    <t>DAG 20_0-18_1 (IS)</t>
  </si>
  <si>
    <t>DAG 20_5-20_5</t>
  </si>
  <si>
    <t>SQDG 14_0-14_0</t>
  </si>
  <si>
    <t>SQDG 14_0-16_0</t>
  </si>
  <si>
    <t>SQDG 14_0-16_1</t>
  </si>
  <si>
    <t>SQDG 14_0-18_2</t>
  </si>
  <si>
    <t>SQDG 14_0-20_5</t>
  </si>
  <si>
    <t>SQDG 15_0-16_1</t>
  </si>
  <si>
    <t>SQDG 16_0-16_0</t>
  </si>
  <si>
    <t>SQDG 16_0-16_1</t>
  </si>
  <si>
    <t>SQDG 16_0-18_1</t>
  </si>
  <si>
    <t>SQDG 16_0-18_2</t>
  </si>
  <si>
    <t>SQDG 16_0-18_4</t>
  </si>
  <si>
    <t>SQDG 16_0-20_5</t>
  </si>
  <si>
    <t>SQDG 16_1-16_1</t>
  </si>
  <si>
    <t>SQDG 16_1-16_2</t>
  </si>
  <si>
    <t>SQDG 16_1-18_1</t>
  </si>
  <si>
    <t>SQDG 16_1-18_2</t>
  </si>
  <si>
    <t>19_1</t>
  </si>
  <si>
    <t>MGDG 14_0-16_1</t>
  </si>
  <si>
    <t>MGDG 14_0-20_5</t>
  </si>
  <si>
    <t>MGDG 16_0-16_1</t>
  </si>
  <si>
    <t>MGDG 16_0-20_5</t>
  </si>
  <si>
    <t>MGDG 16_1-16_1</t>
  </si>
  <si>
    <t>MGDG 16_1-16_2</t>
  </si>
  <si>
    <t>MGDG 16_1-18_1</t>
  </si>
  <si>
    <t>MGDG 16_1-18_2</t>
  </si>
  <si>
    <t>MGDG 16_1-18_3</t>
  </si>
  <si>
    <t>MGDG 16_1-18_4</t>
  </si>
  <si>
    <t>MGDG 16_1-20_4_4.7</t>
  </si>
  <si>
    <t>MGDG 16_1-20_5</t>
  </si>
  <si>
    <t>MGDG 16_2-20_5</t>
  </si>
  <si>
    <t>MGDG 16_3-18_3_3.7</t>
  </si>
  <si>
    <t>MGDG 16_3-20_5</t>
  </si>
  <si>
    <t>MGDG 18_1-18_4</t>
  </si>
  <si>
    <t>MGDG 18_1-19_1</t>
  </si>
  <si>
    <t>MGDG 18_1-20_5</t>
  </si>
  <si>
    <t>MGDG 18_2-20_5</t>
  </si>
  <si>
    <t>MGDG 18_3-20_5</t>
  </si>
  <si>
    <t>MGDG 18_4-18_4</t>
  </si>
  <si>
    <t>MGDG 18_4-20_5</t>
  </si>
  <si>
    <t>MGDG 18_4-22_6</t>
  </si>
  <si>
    <t>MGDG 20_5-20_5</t>
  </si>
  <si>
    <t>DGDG 14_0-16_1</t>
  </si>
  <si>
    <t>DGDG 14_0-20_5</t>
  </si>
  <si>
    <t>DGDG 15_0-20_5</t>
  </si>
  <si>
    <t>DGDG 16_0-16_1</t>
  </si>
  <si>
    <t>DGDG 16_0-20_5</t>
  </si>
  <si>
    <t>DGDG 16_1-16_1</t>
  </si>
  <si>
    <t>DGDG 16_1-20_5</t>
  </si>
  <si>
    <t>DGDG 16_2-20_5</t>
  </si>
  <si>
    <t>DGDG 16_3-20_5</t>
  </si>
  <si>
    <t>DGDG 18_2-20_5</t>
  </si>
  <si>
    <t>DGDG 18_3-20_5</t>
  </si>
  <si>
    <t>DGDG 18_4-20_5</t>
  </si>
  <si>
    <t>PG 16_0-16_1_4.3</t>
  </si>
  <si>
    <t>PG 16_0-18_1</t>
  </si>
  <si>
    <t>PG 16_1-18_1_4.3</t>
  </si>
  <si>
    <t>PG 16_1-20_5</t>
  </si>
  <si>
    <t>PG 16_2-20_5</t>
  </si>
  <si>
    <t>PG 17_0-17_0 (IS)</t>
  </si>
  <si>
    <t>PG 18_1-18_1</t>
  </si>
  <si>
    <t>PG 18_1-19_1_5.1</t>
  </si>
  <si>
    <t>PG 18_1-19_1_5.3</t>
  </si>
  <si>
    <t>PC 12_0-13_0 (IS)</t>
  </si>
  <si>
    <t>PC 18_1-18_1</t>
  </si>
  <si>
    <t>LPC 17_0 (IS)</t>
  </si>
  <si>
    <t>PE 16_0-16_1</t>
  </si>
  <si>
    <t>PE 16_0-18_1</t>
  </si>
  <si>
    <t>PE 16_1-18_1</t>
  </si>
  <si>
    <t>PE 17_0-17_0 (IS)</t>
  </si>
  <si>
    <t>PE 18_1-18_1</t>
  </si>
  <si>
    <t>LPE 17_1 (IS)</t>
  </si>
  <si>
    <t>DGTS 12_0-14_0</t>
  </si>
  <si>
    <t>DGTS 14_0-14_0</t>
  </si>
  <si>
    <t>DGTS 14_0-15_0</t>
  </si>
  <si>
    <t>DGTS 14_0-16_0</t>
  </si>
  <si>
    <t>DGTS 14_0-16_1</t>
  </si>
  <si>
    <t>DGTS 14_0-18_1</t>
  </si>
  <si>
    <t>DGTS 14_0-20_5</t>
  </si>
  <si>
    <t>DGTS 14_0-22_6</t>
  </si>
  <si>
    <t>DGTS 16_0-16_1</t>
  </si>
  <si>
    <t>DGTS 16_0-22_6</t>
  </si>
  <si>
    <t>DGTS 16_1-22_6</t>
  </si>
  <si>
    <t>DGTS 20_5-22_6</t>
  </si>
  <si>
    <t>DGTS 22_5-22_6</t>
  </si>
  <si>
    <t>DGTS 22_6-22_6</t>
  </si>
  <si>
    <t>LDGTS 16_0_1.7</t>
  </si>
  <si>
    <t>DGCC 14_0-16_0</t>
  </si>
  <si>
    <t>DGCC 14_0-16_1</t>
  </si>
  <si>
    <t>DGCC 14_0-18_3</t>
  </si>
  <si>
    <t>DGCC 14_0-18_4</t>
  </si>
  <si>
    <t>DGCC 14_0-20_5</t>
  </si>
  <si>
    <t>DGCC 14_0-22_6</t>
  </si>
  <si>
    <t>DGCC 16_0-16_0</t>
  </si>
  <si>
    <t>DGCC 16_0-16_1</t>
  </si>
  <si>
    <t>DGCC 16_0-18_1</t>
  </si>
  <si>
    <t>DGCC 16_0-18_2</t>
  </si>
  <si>
    <t>DGCC 16_0-18_3_4.6</t>
  </si>
  <si>
    <t>DGCC 16_0-18_4</t>
  </si>
  <si>
    <t>DGCC 16_0-20_4</t>
  </si>
  <si>
    <t>DGCC 16_0-20_5</t>
  </si>
  <si>
    <t>DGCC 16_0-22_6</t>
  </si>
  <si>
    <t>DGCC 16_1-16_1</t>
  </si>
  <si>
    <t>DGCC 16_1-20_5</t>
  </si>
  <si>
    <t>DGCC 16_1-22_6</t>
  </si>
  <si>
    <t>DGCC 16_2-20_5</t>
  </si>
  <si>
    <t>DGCC 18_0-20_5</t>
  </si>
  <si>
    <t>DGCC 18_1-18_1</t>
  </si>
  <si>
    <t>DGCC 18_1-20_5</t>
  </si>
  <si>
    <t>DGCC 18_1-22_6</t>
  </si>
  <si>
    <t>DGCC 18_2-20_5</t>
  </si>
  <si>
    <t>DGCC 18_3-20_5</t>
  </si>
  <si>
    <t>DGCC 18_4-18_4</t>
  </si>
  <si>
    <t>DGCC 18_4-20_5</t>
  </si>
  <si>
    <t>DGCC 18_4-22_5</t>
  </si>
  <si>
    <t>DGCC 18_4-22_6</t>
  </si>
  <si>
    <t>DGCC 20_2-20_5</t>
  </si>
  <si>
    <t>DGCC 20_3-20_5</t>
  </si>
  <si>
    <t>DGCC 20_4-20_5</t>
  </si>
  <si>
    <t>DGCC 20_5-20_5</t>
  </si>
  <si>
    <t>DGCC 20_5-22_6</t>
  </si>
  <si>
    <t>DGCC 22_6-22_6</t>
  </si>
  <si>
    <t>LDGCC 14_0</t>
  </si>
  <si>
    <t>LDGCC 16_0</t>
  </si>
  <si>
    <t>LDGCC 20_5</t>
  </si>
  <si>
    <t>LDGCC 22_6</t>
  </si>
  <si>
    <t>19_2</t>
  </si>
  <si>
    <t>21_0</t>
  </si>
  <si>
    <t>22_2</t>
  </si>
  <si>
    <t>24_0</t>
  </si>
  <si>
    <t>25_0</t>
  </si>
  <si>
    <t>26_0</t>
  </si>
  <si>
    <t>Cer-AP t16_0_24_0</t>
  </si>
  <si>
    <t>Cer-AP t17_0_24_0</t>
  </si>
  <si>
    <t>Cer-AP t18_0_24_0</t>
  </si>
  <si>
    <t>Cer-AP t18_0_25_0</t>
  </si>
  <si>
    <t>Cer-AP t18_0_26_0</t>
  </si>
  <si>
    <t>Cer-AP t18_1_24_0</t>
  </si>
  <si>
    <t>Cer-AP t18_1_25_0</t>
  </si>
  <si>
    <t>Cer-AP t20_0_24_0</t>
  </si>
  <si>
    <t>Cer-AS d19_2_22_2</t>
  </si>
  <si>
    <t>Cer-AS d20_1_24_0</t>
  </si>
  <si>
    <t>Cer-NDS d18_0_24_0</t>
  </si>
  <si>
    <t>Cer-NDS d18_0_26_0</t>
  </si>
  <si>
    <t>Cer-NP t17_0_24_0</t>
  </si>
  <si>
    <t>Cer-NP t17_0_26_0</t>
  </si>
  <si>
    <t>Cer-NP t18_0_24_0</t>
  </si>
  <si>
    <t>Cer-NP t18_0_26_0</t>
  </si>
  <si>
    <t>Cer-NP t20_0_26_0</t>
  </si>
  <si>
    <t>Cer-NP t21_0_24_0</t>
  </si>
  <si>
    <t>Cer-NP t22_0_26_0</t>
  </si>
  <si>
    <t>Cer-NS d18_1_17_0</t>
  </si>
  <si>
    <t>C17076</t>
  </si>
  <si>
    <t>x</t>
  </si>
  <si>
    <t>TAG 14_0-14_0-16_1</t>
  </si>
  <si>
    <t>TAG 12_0-18_1-18_1</t>
  </si>
  <si>
    <t>TAG 13_0-16_0-16_1</t>
  </si>
  <si>
    <t>TAG 13_0-16_0-18_1</t>
  </si>
  <si>
    <t>TAG 14_0-15_0-15_0</t>
  </si>
  <si>
    <t>TAG 15_0-15_0-16_1</t>
  </si>
  <si>
    <t>TAG 16_0-16_1-16_1</t>
  </si>
  <si>
    <t>TAG 14_1-16_0-18_1</t>
  </si>
  <si>
    <t>TAG 14_0-18_2-18_2</t>
  </si>
  <si>
    <t>TAG 16_1-16_1-18_1</t>
  </si>
  <si>
    <t>TAG 16_1-16_2-18_1</t>
  </si>
  <si>
    <t>TAG 16_1-16_3-18_1</t>
  </si>
  <si>
    <t>TAG 16_1-18_2-18_2</t>
  </si>
  <si>
    <t>TAG 16_1-18_3-18_3</t>
  </si>
  <si>
    <t>TAG 18_2-18_2-18_2</t>
  </si>
  <si>
    <t>TAG 18_1-18_3-18_3</t>
  </si>
  <si>
    <t>TAG 18_2-18_2-18_4</t>
  </si>
  <si>
    <t>TAG 18_1-18_2-18_5</t>
  </si>
  <si>
    <t>TAG 16_0-18_2-18_2</t>
  </si>
  <si>
    <t>TAG 16_0-18_2-18_3</t>
  </si>
  <si>
    <t>TAG 16_0-20_2-22_6</t>
  </si>
  <si>
    <t>TAG 15_0-17_0-17_1</t>
  </si>
  <si>
    <t>TAG 14_0-18_2-18_3</t>
  </si>
  <si>
    <t>TAG 14_0-16_1-20_3</t>
  </si>
  <si>
    <t>TAG 14_0-15_0-17_1</t>
  </si>
  <si>
    <t>TAG 15_0-16_0-17_0</t>
  </si>
  <si>
    <t>TAG 15_0-16_0-17_1</t>
  </si>
  <si>
    <t>TAG 14_0-17_0-18_1</t>
  </si>
  <si>
    <t>TAG__14_0__14_0__16_0</t>
  </si>
  <si>
    <t>TAG__14_0__14_0__16_1</t>
  </si>
  <si>
    <t>TAG__14_0__14_0__18_1</t>
  </si>
  <si>
    <t>TAG__14_0__15_0__15_0</t>
  </si>
  <si>
    <t>TAG__14_0__15_0__16_1</t>
  </si>
  <si>
    <t>TAG__14_0__15_0__17_1</t>
  </si>
  <si>
    <t>TAG__14_0__15_0__18_1</t>
  </si>
  <si>
    <t>TAG__14_0__16_0__16_0</t>
  </si>
  <si>
    <t>TAG__14_0__16_0__16_1</t>
  </si>
  <si>
    <t>TAG__14_0__16_0__18_0</t>
  </si>
  <si>
    <t>TAG__14_0__16_0__18_1</t>
  </si>
  <si>
    <t>TAG__14_0__16_0__18_2</t>
  </si>
  <si>
    <t>TAG__14_0__16_1__16_1</t>
  </si>
  <si>
    <t>TAG__14_0__16_1__18_0</t>
  </si>
  <si>
    <t>TAG__14_0__16_1__18_1</t>
  </si>
  <si>
    <t>TAG__14_0__16_1__20_2</t>
  </si>
  <si>
    <t>TAG__14_0__16_1__22_6</t>
  </si>
  <si>
    <t>TAG__14_0__18_1__18_1</t>
  </si>
  <si>
    <t>TAG__14_0__18_1__18_2</t>
  </si>
  <si>
    <t>TAG__14_0__18_1__20_4</t>
  </si>
  <si>
    <t>TAG__14_0__18_1__20_5</t>
  </si>
  <si>
    <t>TAG__14_0__18_1__22_5</t>
  </si>
  <si>
    <t>TAG__14_0__18_2__18_2</t>
  </si>
  <si>
    <t>TAG__14_0__18_2__18_3</t>
  </si>
  <si>
    <t>TAG__14_0__18_3__20_5</t>
  </si>
  <si>
    <t>TAG__15_0__15_0__16_1</t>
  </si>
  <si>
    <t>TAG__15_0__16_0__17_1</t>
  </si>
  <si>
    <t>TAG__15_0__16_0__18_1</t>
  </si>
  <si>
    <t>TAG__16_0__16_0__16_0</t>
  </si>
  <si>
    <t>TAG__16_0__16_0__16_1</t>
  </si>
  <si>
    <t>TAG__16_0__16_0__16_2</t>
  </si>
  <si>
    <t>TAG__16_0__16_0__17_1</t>
  </si>
  <si>
    <t>TAG__16_0__16_0__18_1</t>
  </si>
  <si>
    <t>TAG__16_0__16_0__18_2</t>
  </si>
  <si>
    <t>TAG__16_0__16_1__16_1</t>
  </si>
  <si>
    <t>TAG__16_0__16_1__18_1</t>
  </si>
  <si>
    <t>TAG__16_0__16_1__18_2</t>
  </si>
  <si>
    <t>TAG__16_0__16_1__20_4</t>
  </si>
  <si>
    <t>TAG__16_0__16_1__20_5</t>
  </si>
  <si>
    <t>TAG__16_0__16_1__22_6</t>
  </si>
  <si>
    <t>TAG__16_0__16_2__18_1</t>
  </si>
  <si>
    <t>TAG__16_0__16_2__18_2</t>
  </si>
  <si>
    <t>TAG__16_0__16_2__18_3</t>
  </si>
  <si>
    <t>TAG__16_0__16_2__20_5</t>
  </si>
  <si>
    <t>TAG__16_0__17_1__18_1</t>
  </si>
  <si>
    <t>TAG__16_0__18_0__18_1</t>
  </si>
  <si>
    <t>TAG__16_0__18_1__18_1</t>
  </si>
  <si>
    <t>TAG__16_0__18_1__18_2</t>
  </si>
  <si>
    <t>TAG__16_0__18_1__18_3</t>
  </si>
  <si>
    <t>TAG__16_0__18_1__18_4</t>
  </si>
  <si>
    <t>TAG__16_0__18_1__20_5</t>
  </si>
  <si>
    <t>TAG__16_0__18_1__22_0</t>
  </si>
  <si>
    <t>TAG__16_0__18_1__22_5</t>
  </si>
  <si>
    <t>TAG__16_0__18_1__22_6</t>
  </si>
  <si>
    <t>TAG__16_0__18_2__18_2</t>
  </si>
  <si>
    <t>TAG__16_0__18_2__18_3</t>
  </si>
  <si>
    <t>TAG__16_0__18_3__18_4</t>
  </si>
  <si>
    <t>TAG__16_0__18_4__18_4</t>
  </si>
  <si>
    <t>TAG__16_1__16_1__16_1</t>
  </si>
  <si>
    <t>TAG__16_1__16_1__18_1</t>
  </si>
  <si>
    <t>TAG__16_1__16_1__20_5</t>
  </si>
  <si>
    <t>TAG__16_1__16_2__18_1</t>
  </si>
  <si>
    <t>TAG__16_1__16_2__20_4</t>
  </si>
  <si>
    <t>TAG__16_1__18_1__18_1</t>
  </si>
  <si>
    <t>TAG__16_1__18_1__18_2</t>
  </si>
  <si>
    <t>TAG__16_1__18_2__18_2</t>
  </si>
  <si>
    <t>TAG__16_1__18_2__18_4</t>
  </si>
  <si>
    <t>TAG__16_1__18_3__18_3</t>
  </si>
  <si>
    <t>TAG__16_2__18_1__18_1</t>
  </si>
  <si>
    <t>TAG__16_2__18_1__18_2</t>
  </si>
  <si>
    <t>TAG__18_0__18_1__18_1</t>
  </si>
  <si>
    <t>TAG__18_1__18_1__18_1</t>
  </si>
  <si>
    <t>TAG__18_1__18_1__18_2</t>
  </si>
  <si>
    <t>TAG__18_1__18_1__18_3</t>
  </si>
  <si>
    <t>TAG__18_1__18_1__18_4</t>
  </si>
  <si>
    <t>TAG__18_1__18_1__22_6</t>
  </si>
  <si>
    <t>TAG__18_1__18_2__18_2</t>
  </si>
  <si>
    <t>TAG__18_1__18_2__18_3</t>
  </si>
  <si>
    <t>TAG__18_1__18_2__18_4</t>
  </si>
  <si>
    <t>TAG__18_1__18_3__18_3</t>
  </si>
  <si>
    <t>TAG__18_1__18_3__18_4</t>
  </si>
  <si>
    <t>TAG__18_2__18_2__18_2</t>
  </si>
  <si>
    <t>TAG__18_2__18_2__18_4</t>
  </si>
  <si>
    <t>TAG__18_4__18_4__22_6</t>
  </si>
  <si>
    <t>TAG__18_4__20_5__22_6</t>
  </si>
  <si>
    <t>TAG__20_5__20_5__20_5</t>
  </si>
  <si>
    <t>TAG__20_5__20_5__22_6</t>
  </si>
  <si>
    <t>TAG__14_0__14_0__16_0: [</t>
  </si>
  <si>
    <t>TAG__14_0__14_0__16_1: [</t>
  </si>
  <si>
    <t>TAG__14_0__14_0__18_1: [</t>
  </si>
  <si>
    <t>TAG__14_0__15_0__15_0: [</t>
  </si>
  <si>
    <t>TAG__14_0__15_0__16_1: [</t>
  </si>
  <si>
    <t>TAG__14_0__15_0__17_1: [</t>
  </si>
  <si>
    <t>TAG__14_0__15_0__18_1: [</t>
  </si>
  <si>
    <t>TAG__14_0__16_0__16_0: [</t>
  </si>
  <si>
    <t>TAG__14_0__16_0__16_1: [</t>
  </si>
  <si>
    <t>TAG__14_0__16_0__18_0: [</t>
  </si>
  <si>
    <t>TAG__14_0__16_0__18_1: [</t>
  </si>
  <si>
    <t>TAG__14_0__16_0__18_2: [</t>
  </si>
  <si>
    <t>TAG__14_0__16_1__16_1: [</t>
  </si>
  <si>
    <t>TAG__14_0__16_1__18_0: [</t>
  </si>
  <si>
    <t>TAG__14_0__16_1__18_1: [</t>
  </si>
  <si>
    <t>TAG__14_0__16_1__20_2: [</t>
  </si>
  <si>
    <t>TAG__14_0__16_1__22_6: [</t>
  </si>
  <si>
    <t>TAG__14_0__18_1__18_1: [</t>
  </si>
  <si>
    <t>TAG__14_0__18_1__18_2: [</t>
  </si>
  <si>
    <t>TAG__14_0__18_1__20_4: [</t>
  </si>
  <si>
    <t>TAG__14_0__18_1__20_5: [</t>
  </si>
  <si>
    <t>TAG__14_0__18_1__22_5: [</t>
  </si>
  <si>
    <t>TAG__14_0__18_2__18_2: [</t>
  </si>
  <si>
    <t>TAG__14_0__18_2__18_3: [</t>
  </si>
  <si>
    <t>TAG__14_0__18_3__20_5: [</t>
  </si>
  <si>
    <t>TAG__15_0__15_0__16_1: [</t>
  </si>
  <si>
    <t>TAG__15_0__16_0__17_1: [</t>
  </si>
  <si>
    <t>TAG__15_0__16_0__18_1: [</t>
  </si>
  <si>
    <t>TAG__16_0__16_0__16_0: [</t>
  </si>
  <si>
    <t>TAG__16_0__16_0__16_1: [</t>
  </si>
  <si>
    <t>TAG__16_0__16_0__16_2: [</t>
  </si>
  <si>
    <t>TAG__16_0__16_0__17_1: [</t>
  </si>
  <si>
    <t>TAG__16_0__16_0__18_1: [</t>
  </si>
  <si>
    <t>TAG__16_0__16_0__18_2: [</t>
  </si>
  <si>
    <t>TAG__16_0__16_1__16_1: [</t>
  </si>
  <si>
    <t>TAG__16_0__16_1__18_1: [</t>
  </si>
  <si>
    <t>TAG__16_0__16_1__18_2: [</t>
  </si>
  <si>
    <t>TAG__16_0__16_1__20_4: [</t>
  </si>
  <si>
    <t>TAG__16_0__16_1__20_5: [</t>
  </si>
  <si>
    <t>TAG__16_0__16_1__22_6: [</t>
  </si>
  <si>
    <t>TAG__16_0__16_2__18_1: [</t>
  </si>
  <si>
    <t>TAG__16_0__16_2__18_2: [</t>
  </si>
  <si>
    <t>TAG__16_0__16_2__18_3: [</t>
  </si>
  <si>
    <t>TAG__16_0__16_2__20_5: [</t>
  </si>
  <si>
    <t>TAG__16_0__17_1__18_1: [</t>
  </si>
  <si>
    <t>TAG__16_0__18_0__18_1: [</t>
  </si>
  <si>
    <t>TAG__16_0__18_1__18_1: [</t>
  </si>
  <si>
    <t>TAG__16_0__18_1__18_2: [</t>
  </si>
  <si>
    <t>TAG__16_0__18_1__18_3: [</t>
  </si>
  <si>
    <t>TAG__16_0__18_1__18_4: [</t>
  </si>
  <si>
    <t>TAG__16_0__18_1__20_5: [</t>
  </si>
  <si>
    <t>TAG__16_0__18_1__22_0: [</t>
  </si>
  <si>
    <t>TAG__16_0__18_1__22_5: [</t>
  </si>
  <si>
    <t>TAG__16_0__18_1__22_6: [</t>
  </si>
  <si>
    <t>TAG__16_0__18_2__18_2: [</t>
  </si>
  <si>
    <t>TAG__16_0__18_2__18_3: [</t>
  </si>
  <si>
    <t>TAG__16_0__18_3__18_4: [</t>
  </si>
  <si>
    <t>TAG__16_0__18_4__18_4: [</t>
  </si>
  <si>
    <t>TAG__16_1__16_1__16_1: [</t>
  </si>
  <si>
    <t>TAG__16_1__16_1__18_1: [</t>
  </si>
  <si>
    <t>TAG__16_1__16_1__20_5: [</t>
  </si>
  <si>
    <t>TAG__16_1__16_2__18_1: [</t>
  </si>
  <si>
    <t>TAG__16_1__16_2__20_4: [</t>
  </si>
  <si>
    <t>TAG__16_1__18_1__18_1: [</t>
  </si>
  <si>
    <t>TAG__16_1__18_1__18_2: [</t>
  </si>
  <si>
    <t>TAG__16_1__18_2__18_2: [</t>
  </si>
  <si>
    <t>TAG__16_1__18_2__18_4: [</t>
  </si>
  <si>
    <t>TAG__16_1__18_3__18_3: [</t>
  </si>
  <si>
    <t>TAG__16_2__18_1__18_1: [</t>
  </si>
  <si>
    <t>TAG__16_2__18_1__18_2: [</t>
  </si>
  <si>
    <t>TAG__18_0__18_1__18_1: [</t>
  </si>
  <si>
    <t>TAG__18_1__18_1__18_1: [</t>
  </si>
  <si>
    <t>TAG__18_1__18_1__18_2: [</t>
  </si>
  <si>
    <t>TAG__18_1__18_1__18_3: [</t>
  </si>
  <si>
    <t>TAG__18_1__18_1__18_4: [</t>
  </si>
  <si>
    <t>TAG__18_1__18_1__22_6: [</t>
  </si>
  <si>
    <t>TAG__18_1__18_2__18_2: [</t>
  </si>
  <si>
    <t>TAG__18_1__18_2__18_3: [</t>
  </si>
  <si>
    <t>TAG__18_1__18_2__18_4: [</t>
  </si>
  <si>
    <t>TAG__18_1__18_3__18_3: [</t>
  </si>
  <si>
    <t>TAG__18_1__18_3__18_4: [</t>
  </si>
  <si>
    <t>TAG__18_2__18_2__18_2: [</t>
  </si>
  <si>
    <t>TAG__18_2__18_2__18_4: [</t>
  </si>
  <si>
    <t>TAG__18_4__18_4__22_6: [</t>
  </si>
  <si>
    <t>TAG__18_4__20_5__22_6: [</t>
  </si>
  <si>
    <t>TAG__20_5__20_5__20_5: [</t>
  </si>
  <si>
    <t>TAG__20_5__20_5__22_6: [</t>
  </si>
  <si>
    <t>0.004368593, 0.01310578]</t>
  </si>
  <si>
    <t>0.000977639, 0.002932916]</t>
  </si>
  <si>
    <t>0.002630348, 0.007891043]</t>
  </si>
  <si>
    <t>0.001110411, 0.003331234]</t>
  </si>
  <si>
    <t>0.002340299, 0.007020898]</t>
  </si>
  <si>
    <t>0.00394404, 0.01183212]</t>
  </si>
  <si>
    <t>0.002830546, 0.008491639]</t>
  </si>
  <si>
    <t>0.006422273, 0.01926682]</t>
  </si>
  <si>
    <t>0.015865054, 0.047595161]</t>
  </si>
  <si>
    <t>0.004623622, 0.013870867]</t>
  </si>
  <si>
    <t>0.011746062, 0.035238185]</t>
  </si>
  <si>
    <t>0.007450063, 0.022350189]</t>
  </si>
  <si>
    <t>0.008070992, 0.024212977]</t>
  </si>
  <si>
    <t>0.000702906, 0.002108717]</t>
  </si>
  <si>
    <t>0.023690032, 0.071070097]</t>
  </si>
  <si>
    <t>0.001321434, 0.003964301]</t>
  </si>
  <si>
    <t>0.000339041, 0.001017122]</t>
  </si>
  <si>
    <t>0.001753286, 0.005259859]</t>
  </si>
  <si>
    <t>0.004212405, 0.012637216]</t>
  </si>
  <si>
    <t>0.002990199, 0.008970597]</t>
  </si>
  <si>
    <t>0.004872149, 0.014616446]</t>
  </si>
  <si>
    <t>0.002466848, 0.007400545]</t>
  </si>
  <si>
    <t>0.00039409, 0.001182269]</t>
  </si>
  <si>
    <t>0.000369062, 0.001107186]</t>
  </si>
  <si>
    <t>0.000244281, 0.000732844]</t>
  </si>
  <si>
    <t>0.003967348, 0.011902043]</t>
  </si>
  <si>
    <t>0.006554513, 0.019663538]</t>
  </si>
  <si>
    <t>0.004744728, 0.014234183]</t>
  </si>
  <si>
    <t>0.014422562, 0.043267687]</t>
  </si>
  <si>
    <t>0.022111957, 0.066335871]</t>
  </si>
  <si>
    <t>0.004638237, 0.01391471]</t>
  </si>
  <si>
    <t>0.003877307, 0.011631921]</t>
  </si>
  <si>
    <t>0.011640009, 0.034920027]</t>
  </si>
  <si>
    <t>0.005413371, 0.016240113]</t>
  </si>
  <si>
    <t>0.037298209, 0.111894626]</t>
  </si>
  <si>
    <t>0.014656418, 0.043969255]</t>
  </si>
  <si>
    <t>0.004032934, 0.012098801]</t>
  </si>
  <si>
    <t>0.001750252, 0.005250756]</t>
  </si>
  <si>
    <t>0.004810457, 0.014431371]</t>
  </si>
  <si>
    <t>0.006963854, 0.020891562]</t>
  </si>
  <si>
    <t>0.002013026, 0.006039079]</t>
  </si>
  <si>
    <t>0.002724366, 0.008173099]</t>
  </si>
  <si>
    <t>0.001299715, 0.003899145]</t>
  </si>
  <si>
    <t>0.002455428, 0.007366283]</t>
  </si>
  <si>
    <t>0.001019439, 0.003058318]</t>
  </si>
  <si>
    <t>0.002273531, 0.006820592]</t>
  </si>
  <si>
    <t>0.029449026, 0.088347079]</t>
  </si>
  <si>
    <t>0.014025908, 0.042077724]</t>
  </si>
  <si>
    <t>0.005475277, 0.016425832]</t>
  </si>
  <si>
    <t>0.003021761, 0.009065284]</t>
  </si>
  <si>
    <t>0.003535125, 0.010605374]</t>
  </si>
  <si>
    <t>0.001328351, 0.003985052]</t>
  </si>
  <si>
    <t>0.001949614, 0.005848843]</t>
  </si>
  <si>
    <t>0.006100245, 0.018300734]</t>
  </si>
  <si>
    <t>0.002482319, 0.007446957]</t>
  </si>
  <si>
    <t>0.003341066, 0.010023199]</t>
  </si>
  <si>
    <t>0.000689884, 0.002069652]</t>
  </si>
  <si>
    <t>0.000565689, 0.001697066]</t>
  </si>
  <si>
    <t>0.010196494, 0.030589483]</t>
  </si>
  <si>
    <t>0.002300267, 0.006900801]</t>
  </si>
  <si>
    <t>0.00330009, 0.00990027]</t>
  </si>
  <si>
    <t>0.001361383, 0.004084148]</t>
  </si>
  <si>
    <t>8.5023E-05, 0.000255069]</t>
  </si>
  <si>
    <t>0.00572859, 0.017185771]</t>
  </si>
  <si>
    <t>0.005318241, 0.015954724]</t>
  </si>
  <si>
    <t>0.001233257, 0.003699771]</t>
  </si>
  <si>
    <t>0.000844662, 0.002533987]</t>
  </si>
  <si>
    <t>0.000415211, 0.001245633]</t>
  </si>
  <si>
    <t>0.000561938, 0.001685813]</t>
  </si>
  <si>
    <t>0.001211634, 0.003634901]</t>
  </si>
  <si>
    <t>0.013559733, 0.0406792]</t>
  </si>
  <si>
    <t>0.020378056, 0.061134167]</t>
  </si>
  <si>
    <t>0.003844251, 0.011532754]</t>
  </si>
  <si>
    <t>0.00525508, 0.015765241]</t>
  </si>
  <si>
    <t>0.003400333, 0.010200998]</t>
  </si>
  <si>
    <t>0.006287278, 0.018861835]</t>
  </si>
  <si>
    <t>0.003384886, 0.010154658]</t>
  </si>
  <si>
    <t>0.003433675, 0.010301026]</t>
  </si>
  <si>
    <t>0.00101693, 0.003050791]</t>
  </si>
  <si>
    <t>0.001287112, 0.003861335]</t>
  </si>
  <si>
    <t>0.001771994, 0.005315983]</t>
  </si>
  <si>
    <t>0.000492732, 0.001478195]</t>
  </si>
  <si>
    <t>0.000677985, 0.002033956]</t>
  </si>
  <si>
    <t>0.003617149, 0.010851447]</t>
  </si>
  <si>
    <t>0.003268312, 0.009804937]</t>
  </si>
  <si>
    <t>0.001674655, 0.005023964]</t>
  </si>
  <si>
    <t>]</t>
  </si>
  <si>
    <t>Column33</t>
  </si>
  <si>
    <t>Column34</t>
  </si>
  <si>
    <t>Column39</t>
  </si>
  <si>
    <t>Column40</t>
  </si>
  <si>
    <t>Column41</t>
  </si>
  <si>
    <t>C40H77NO7</t>
  </si>
  <si>
    <t>C40H75NO7</t>
  </si>
  <si>
    <t>C42H79NO7</t>
  </si>
  <si>
    <t>C44H75NO7</t>
  </si>
  <si>
    <t>C42H81NO7</t>
  </si>
  <si>
    <t>DGCC 14_0-14_0</t>
  </si>
  <si>
    <t>DGCC 16_0-18_3</t>
  </si>
  <si>
    <t>1,2-diacylglyceryl-3-O-carboxy-(hydroxymethyl)-choline</t>
  </si>
  <si>
    <t>R</t>
  </si>
  <si>
    <t>inside</t>
  </si>
  <si>
    <t>1-(11Z-octadecenoyl)-2-(4Z,7Z,10Z,13Z,16Z,19Z-docosahexaenoyl)-3-O-carboxy-(hydroxymethyl)-choline</t>
  </si>
  <si>
    <t>C50H81O7</t>
  </si>
  <si>
    <t>dgcc181y226</t>
  </si>
  <si>
    <t>1-hexadecanoyl-2-(11Z-octadecenoyl)-3-O-carboxy-(hydroxymethyl)-choline</t>
  </si>
  <si>
    <t>C44H81O7</t>
  </si>
  <si>
    <t>dgcc160181y</t>
  </si>
  <si>
    <t>1-(9Z-hexadecenoyl)-2-(4Z,7Z,10Z,13Z,16Z,19Z-docosahexaenoyl)-3-O-carboxy-(hydroxymethyl)-choline</t>
  </si>
  <si>
    <t>C48H79O7</t>
  </si>
  <si>
    <t>dgcc161226</t>
  </si>
  <si>
    <t>1-hexadecanoyl-2-(5Z,8Z,11Z,14Z,17Z-eicosapentaenoyl)-3-O-carboxy-(hydroxymethyl)-choline</t>
  </si>
  <si>
    <t>C46H79O7</t>
  </si>
  <si>
    <t>dgcc160205</t>
  </si>
  <si>
    <t>1-(11Z-octadecenoyl)-2-hexadecanoyl-3-O-carboxy-(hydroxymethyl)-choline</t>
  </si>
  <si>
    <t>dgcc181y160</t>
  </si>
  <si>
    <t>1-tetradecanoyl-2-(6Z,9Z,12Z-octadecatrienoyl)-3-O-carboxy-(hydroxymethyl)-choline</t>
  </si>
  <si>
    <t>C42H75O7</t>
  </si>
  <si>
    <t>dgcc140183y</t>
  </si>
  <si>
    <t>1-hexadecanoyl-2-(4Z,7Z,10Z,13Z,16Z,19Z-docosahexaenoyl)-3-O-carboxy-(hydroxymethyl)-choline</t>
  </si>
  <si>
    <t>C48H81O7</t>
  </si>
  <si>
    <t>dgcc160226</t>
  </si>
  <si>
    <t>1-tetradecanoyl-2-(9Z-hexadecenoyl)-3-O-carboxy-(hydroxymethyl)-choline</t>
  </si>
  <si>
    <t>C40H75O7</t>
  </si>
  <si>
    <t>dgcc140161</t>
  </si>
  <si>
    <t>1-hexadecanoyl-2-(9Z-octadecenoyl)-3-O-carboxy-(hydroxymethyl)-choline</t>
  </si>
  <si>
    <t>C44H83O7</t>
  </si>
  <si>
    <t>dgcc160181</t>
  </si>
  <si>
    <t>1,2-di-(4Z,7Z,10Z,13Z,16Z,19Z-docosahexaenoyl)-3-O-carboxy-(hydroxymethyl)-choline</t>
  </si>
  <si>
    <t>C54H81O7</t>
  </si>
  <si>
    <t>dgcc226226</t>
  </si>
  <si>
    <t>1-(6Z,9Z,12Z,15Z-octadecatetraenoyl)-2-(7Z,10Z,13Z,16Z,19Z-docosapentaenoyl)-3-O-carboxy-(hydroxymethyl)-choline</t>
  </si>
  <si>
    <t>C50H79O7</t>
  </si>
  <si>
    <t>dgcc184225</t>
  </si>
  <si>
    <t>1-(9Z-hexadecenoyl)-2-(5Z,8Z,11Z,14Z,17Z-eicosapentaenoyl)-3-O-carboxy-(hydroxymethyl)-choline</t>
  </si>
  <si>
    <t>C46H77O7</t>
  </si>
  <si>
    <t>dgcc161205</t>
  </si>
  <si>
    <t>1-(6Z,9Z,12Z-octadecatrienoyl)-2-(5Z,8Z,11Z,14Z,17Z-eicosapentaenoyl)-3-O-carboxy-(hydroxymethyl)-choline</t>
  </si>
  <si>
    <t>C48H77O7</t>
  </si>
  <si>
    <t>dgcc183y205</t>
  </si>
  <si>
    <t>1,2-dihexadecanoyl-3-O-carboxy-(hydroxymethyl)-choline</t>
  </si>
  <si>
    <t>C42H81O7</t>
  </si>
  <si>
    <t>dgcc160160</t>
  </si>
  <si>
    <t>1,2-di-(9Z-hexadecenoyl)-3-O-carboxy-(hydroxymethyl)-choline</t>
  </si>
  <si>
    <t>C42H77O7</t>
  </si>
  <si>
    <t>dgcc161161</t>
  </si>
  <si>
    <t>1,2-di-(6Z,9Z,12Z,15Z-octadecatetraenoyl)-3-O-carboxy-(hydroxymethyl)-choline</t>
  </si>
  <si>
    <t>C46H73O7</t>
  </si>
  <si>
    <t>dgcc184184</t>
  </si>
  <si>
    <t>1-hexadecanoyl-2-(9Z-hexadecenoyl)-3-O-carboxy-(hydroxymethyl)-choline</t>
  </si>
  <si>
    <t>C42H79O7</t>
  </si>
  <si>
    <t>dgcc160161</t>
  </si>
  <si>
    <t>1,2-di-(9Z-octadecenoyl)-3-O-carboxy-(hydroxymethyl)-choline</t>
  </si>
  <si>
    <t>C46H85O7</t>
  </si>
  <si>
    <t>dgcc181181</t>
  </si>
  <si>
    <t>1,2-di-(5Z,8Z,11Z,14Z,17Z-eicosapentaenoyl)-3-O-carboxy-(hydroxymethyl)-choline</t>
  </si>
  <si>
    <t>C50H77O7</t>
  </si>
  <si>
    <t>dgcc205205</t>
  </si>
  <si>
    <t>1-hexadecanoyl-2-(5Z,8Z,11Z,14Z-eicosatetraenoyl)-3-O-carboxy-(hydroxymethyl)-choline</t>
  </si>
  <si>
    <t>C46H81O7</t>
  </si>
  <si>
    <t>dgcc160204</t>
  </si>
  <si>
    <t>1,2-di-(9Z,12Z-octadecadienoyl)-3-O-carboxy-(hydroxymethyl)-choline</t>
  </si>
  <si>
    <t>C46H77NO7</t>
  </si>
  <si>
    <t>dgcc182182</t>
  </si>
  <si>
    <t>1-(6Z,9Z,12Z,15Z-octadecatetraenoyl)-2-(4Z,7Z,10Z,13Z,16Z,19Z-docosahexaenoyl)-3-O-carboxy-(hydroxymethyl)-choline</t>
  </si>
  <si>
    <t>dgcc184226</t>
  </si>
  <si>
    <t>1-(4Z,7Z,10Z,13Z,16Z,19Z-docosahexaenoyl)-2-hexadecanoyl-3-O-carboxy-(hydroxymethyl)-choline</t>
  </si>
  <si>
    <t>dgcc226160</t>
  </si>
  <si>
    <t>1-(5Z,8Z,11Z,14Z-eicosatetraenoyl)-2-(5Z,8Z,11Z,14Z,17Z-eicosapentaenoyl)-3-O-carboxy-(hydroxymethyl)-choline</t>
  </si>
  <si>
    <t>dgcc204205</t>
  </si>
  <si>
    <t>1,2-ditetradecanoyl-3-O-carboxy-(hydroxymethyl)-choline</t>
  </si>
  <si>
    <t>C38H73O7</t>
  </si>
  <si>
    <t>dgcc140140</t>
  </si>
  <si>
    <t>1-(5Z,8Z,11Z,14Z,17Z-eicosapentaenoyl)-2-octadecanoyl-3-O-carboxy-(hydroxymethyl)-choline</t>
  </si>
  <si>
    <t>C48H83O7</t>
  </si>
  <si>
    <t>dgcc205180</t>
  </si>
  <si>
    <t>1-hexadecanoyl-2-(9Z,12Z,15Z-octadecatrienoyl)-3-O-carboxy-(hydroxymethyl)-choline</t>
  </si>
  <si>
    <t>C44H79O7</t>
  </si>
  <si>
    <t>dgcc160183</t>
  </si>
  <si>
    <t>1-(9Z,12Z-octadecadienoyl)-2-(5Z,8Z,11Z,14Z,17Z-eicosapentaenoyl)-3-O-carboxy-(hydroxymethyl)-choline</t>
  </si>
  <si>
    <t>dgcc182205</t>
  </si>
  <si>
    <t>1-octadecanoyl-2-(5Z,8Z,11Z,14Z,17Z-eicosapentaenoyl)-3-O-carboxy-(hydroxymethyl)-choline</t>
  </si>
  <si>
    <t>dgcc180205</t>
  </si>
  <si>
    <t>1-hexadecanoyl-2-(6Z,9Z,12Z-octadecatrienoyl)-3-O-carboxy-(hydroxymethyl)-choline</t>
  </si>
  <si>
    <t>dgcc160183y</t>
  </si>
  <si>
    <t>1-(5Z,8Z,11Z,14Z,17Z-eicosapentaenoyl)-2-hexadecanoyl-3-O-carboxy-(hydroxymethyl)-choline</t>
  </si>
  <si>
    <t>dgcc205160</t>
  </si>
  <si>
    <t>1-tetradecanoyl-2-(6Z,9Z,12Z,15Z-octadecatetraenoyl)-3-O-carboxy-(hydroxymethyl)-choline</t>
  </si>
  <si>
    <t>C42H73O7</t>
  </si>
  <si>
    <t>dgcc140184</t>
  </si>
  <si>
    <t>1-tetradecanoyl-2-(5Z,8Z,11Z,14Z,17Z-eicosapentaenoyl)-3-O-carboxy-(hydroxymethyl)-choline</t>
  </si>
  <si>
    <t>C44H75O7</t>
  </si>
  <si>
    <t>dgcc140205</t>
  </si>
  <si>
    <t>1-tetradecanoyl-2-(9Z,12Z,15Z-octadecatrienoyl)-3-O-carboxy-(hydroxymethyl)-choline</t>
  </si>
  <si>
    <t>dgcc140183</t>
  </si>
  <si>
    <t>1-(9Z-octadecenoyl)-2-(4Z,7Z,10Z,13Z,16Z,19Z-docosahexaenoyl)-3-O-carboxy-(hydroxymethyl)-choline</t>
  </si>
  <si>
    <t>C50H83O7</t>
  </si>
  <si>
    <t>dgcc181226</t>
  </si>
  <si>
    <t>1-(11Z-octadecenoyl)-2-(5Z,8Z,11Z,14Z,17Z-eicosapentaenoyl)-3-O-carboxy-(hydroxymethyl)-choline</t>
  </si>
  <si>
    <t>dgcc181y205</t>
  </si>
  <si>
    <t>1-(5Z,8Z,11Z,14Z,17Z-eicosapentaenoyl)-2-(4Z,7Z,10Z,13Z,16Z,19Z-docosahexaenoyl)-3-O-carboxy-(hydroxymethyl)-choline</t>
  </si>
  <si>
    <t>C52H79O7</t>
  </si>
  <si>
    <t>dgcc205226</t>
  </si>
  <si>
    <t>1-(9Z,12Z,15Z-octadecatrienoyl)-2-(5Z,8Z,11Z,14Z,17Z-eicosapentaenoyl)-3-O-carboxy-(hydroxymethyl)-choline</t>
  </si>
  <si>
    <t>dgcc183205</t>
  </si>
  <si>
    <t>1-tetradecanoyl-2-hexadecanoyl-3-O-carboxy-(hydroxymethyl)-choline</t>
  </si>
  <si>
    <t>C40H77O7</t>
  </si>
  <si>
    <t>dgcc140160</t>
  </si>
  <si>
    <t>1-hexadecanoyl-2-(9Z,12Z-octadecadienoyl)-3-O-carboxy-(hydroxymethyl)-choline</t>
  </si>
  <si>
    <t>dgcc160182</t>
  </si>
  <si>
    <t>1-tetradecanoyl-2-(4Z,7Z,10Z,13Z,16Z,19Z-docosahexaenoyl)-3-O-carboxy-(hydroxymethyl)-choline</t>
  </si>
  <si>
    <t>dgcc140226</t>
  </si>
  <si>
    <t>1-(6Z,9Z,12Z,15Z-octadecatetraenoyl)-2-(5Z,8Z,11Z,14Z,17Z-eicosapentaenoyl)-3-O-carboxy-(hydroxymethyl)-choline</t>
  </si>
  <si>
    <t>C48H75O7</t>
  </si>
  <si>
    <t>dgcc184205</t>
  </si>
  <si>
    <t>1-hexadecanoyl-2-(6Z,9Z,12Z,15Z-octadecatetraenoyl)-3-O-carboxy-(hydroxymethyl)-choline</t>
  </si>
  <si>
    <t>C44H77O7</t>
  </si>
  <si>
    <t>dgcc160184</t>
  </si>
  <si>
    <t>1-(9Z-octadecenoyl)-2-(5Z,8Z,11Z,14Z,17Z-eicosapentaenoyl)-3-O-carboxy-(hydroxymethyl)-choline</t>
  </si>
  <si>
    <t>dgcc181205</t>
  </si>
  <si>
    <t>dghs181y226</t>
  </si>
  <si>
    <t>dghs160181y</t>
  </si>
  <si>
    <t>dghs161226</t>
  </si>
  <si>
    <t>dghs160205</t>
  </si>
  <si>
    <t>dghs181y160</t>
  </si>
  <si>
    <t>dghs140183y</t>
  </si>
  <si>
    <t>dghs160226</t>
  </si>
  <si>
    <t>dghs140161</t>
  </si>
  <si>
    <t>dghs160181</t>
  </si>
  <si>
    <t>dghs226226</t>
  </si>
  <si>
    <t>dghs184225</t>
  </si>
  <si>
    <t>dghs161205</t>
  </si>
  <si>
    <t>dghs183y205</t>
  </si>
  <si>
    <t>dghs160160</t>
  </si>
  <si>
    <t>dghs161161</t>
  </si>
  <si>
    <t>dghs184184</t>
  </si>
  <si>
    <t>dghs160161</t>
  </si>
  <si>
    <t>dghs181181</t>
  </si>
  <si>
    <t>dghs205205</t>
  </si>
  <si>
    <t>dghs160204</t>
  </si>
  <si>
    <t>dghs182182</t>
  </si>
  <si>
    <t>dghs184226</t>
  </si>
  <si>
    <t>dghs226160</t>
  </si>
  <si>
    <t>dghs204205</t>
  </si>
  <si>
    <t>dghs140140</t>
  </si>
  <si>
    <t>dghs205180</t>
  </si>
  <si>
    <t>dghs160183</t>
  </si>
  <si>
    <t>dghs182205</t>
  </si>
  <si>
    <t>dghs180205</t>
  </si>
  <si>
    <t>dghs160183y</t>
  </si>
  <si>
    <t>dghs205160</t>
  </si>
  <si>
    <t>dghs140184</t>
  </si>
  <si>
    <t>dghs140205</t>
  </si>
  <si>
    <t>dghs140183</t>
  </si>
  <si>
    <t>dghs181226</t>
  </si>
  <si>
    <t>dghs181y205</t>
  </si>
  <si>
    <t>dghs205226</t>
  </si>
  <si>
    <t>dghs183205</t>
  </si>
  <si>
    <t>dghs140160</t>
  </si>
  <si>
    <t>dghs160182</t>
  </si>
  <si>
    <t>dghs140226</t>
  </si>
  <si>
    <t>dghs184205</t>
  </si>
  <si>
    <t>dghs160184</t>
  </si>
  <si>
    <t>dghs181205</t>
  </si>
  <si>
    <t>C00167</t>
  </si>
  <si>
    <t xml:space="preserve">MW </t>
  </si>
  <si>
    <t>Compound</t>
  </si>
  <si>
    <t>g/g 30 days</t>
  </si>
  <si>
    <t>g/g 180 days</t>
  </si>
  <si>
    <t>Lactate</t>
  </si>
  <si>
    <t>Succinate</t>
  </si>
  <si>
    <t>Formate</t>
  </si>
  <si>
    <t>Acetate</t>
  </si>
  <si>
    <t>Propanoate</t>
  </si>
  <si>
    <t>Butanoate</t>
  </si>
  <si>
    <t>https://www.mdpi.com/2311-5637/8/4/159</t>
  </si>
  <si>
    <t>Acids</t>
  </si>
  <si>
    <t>gM/gDW</t>
  </si>
  <si>
    <t>mmol M/gMM</t>
  </si>
  <si>
    <t>Column3</t>
  </si>
  <si>
    <t>Diatoxanthin</t>
  </si>
  <si>
    <t xml:space="preserve"> </t>
  </si>
  <si>
    <t>L-Methionyl-tRNA</t>
  </si>
  <si>
    <t>C33H44N12O22P3ST2</t>
  </si>
  <si>
    <t>Glutaminyl-tRNA</t>
  </si>
  <si>
    <t>C33H43N13O23P3T2</t>
  </si>
  <si>
    <t>L-Isoleucyl-tRNA(Ile)</t>
  </si>
  <si>
    <t>C34H46N12O22P3T2</t>
  </si>
  <si>
    <t>L-Valyl-tRNA(Val)</t>
  </si>
  <si>
    <t>C33H44N12O22P3T2</t>
  </si>
  <si>
    <t>L-Alanyl-tRNA</t>
  </si>
  <si>
    <t>C31H40N12O22P3T3</t>
  </si>
  <si>
    <t>L-Phenylalanyl-tRNA(Phe)</t>
  </si>
  <si>
    <t>C37H44N12O22P3T3</t>
  </si>
  <si>
    <t>L-Seryl-tRNA(Ser)</t>
  </si>
  <si>
    <t>C31H40N12O23P3T3</t>
  </si>
  <si>
    <t>L-Tryptophanyl-tRNA(Trp)</t>
  </si>
  <si>
    <t>C39H45N13O22P3T2</t>
  </si>
  <si>
    <t>L-Prolyl-tRNA(Pro)</t>
  </si>
  <si>
    <t>C33H42N12O22P3T3</t>
  </si>
  <si>
    <t>L-Threonyl-tRNA(Thr)</t>
  </si>
  <si>
    <t>C32H42N12O23P3T3</t>
  </si>
  <si>
    <t>L-Asparaginyl-tRNA(Asn)</t>
  </si>
  <si>
    <t>C32H41N13O23P3T3</t>
  </si>
  <si>
    <t>L-Aspartyl-tRNA(Asp)</t>
  </si>
  <si>
    <t>C32H39N12O24P3T3</t>
  </si>
  <si>
    <t>Glycyl-tRNA(Gly)</t>
  </si>
  <si>
    <t>C30H38N12O22P3T3</t>
  </si>
  <si>
    <t>L-Leucyl-tRNA</t>
  </si>
  <si>
    <t>L-Tyrosyl-tRNA(Tyr)</t>
  </si>
  <si>
    <t>C37H44N12O23P3T2</t>
  </si>
  <si>
    <t>L-Cysteinyl-tRNA(Cys)</t>
  </si>
  <si>
    <t>C31H40N12O22P3ST2</t>
  </si>
  <si>
    <t>L-Histidyl-tRNA(His)</t>
  </si>
  <si>
    <t>C34H42N14O22P3T3</t>
  </si>
  <si>
    <t>L-Lysyl-tRNA</t>
  </si>
  <si>
    <t>C34H48N13O22P3T3</t>
  </si>
  <si>
    <t>L-Glutamyl-tRNA(Glu)</t>
  </si>
  <si>
    <t>C33H41N12O24P3T2</t>
  </si>
  <si>
    <t>L-Arginyl-tRNA(Arg)</t>
  </si>
  <si>
    <t>C34H48N15O22P3T2</t>
  </si>
  <si>
    <t>Formula tRNA</t>
  </si>
  <si>
    <t>Formula AA</t>
  </si>
  <si>
    <t>MW (-H2O)</t>
  </si>
  <si>
    <t>g/gDW (normalized)</t>
  </si>
  <si>
    <t>mmol/gDW2</t>
  </si>
  <si>
    <t>C5H10N2O3</t>
  </si>
  <si>
    <t>C2H5NO2</t>
  </si>
  <si>
    <t>C3H7NO2</t>
  </si>
  <si>
    <t>C6H15N4O2</t>
  </si>
  <si>
    <t>C4H8N2O3</t>
  </si>
  <si>
    <t>C4H6NO4</t>
  </si>
  <si>
    <t>C3H7NO2S</t>
  </si>
  <si>
    <t>C5H8NO4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</si>
  <si>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</si>
  <si>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</si>
  <si>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</si>
  <si>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</si>
  <si>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</si>
  <si>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</si>
  <si>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</si>
  <si>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</si>
  <si>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</si>
  <si>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</si>
  <si>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</si>
  <si>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Pi</t>
  </si>
  <si>
    <t>campesterol</t>
  </si>
  <si>
    <t>di-trans,poly-cis-Undecaprenyl diphosphate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</si>
</sst>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A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rgb="FF000000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0" fillId="0" borderId="0"/>
    <xf numFmtId="0" fontId="12" fillId="0" borderId="0">
      <alignment vertical="center"/>
    </xf>
  </cellStyleXfs>
  <cellXfs count="64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0" borderId="0" xfId="0" applyNumberFormat="1" applyAlignment="1">
      <alignment horizontal="left" vertical="top" wrapText="1"/>
    </xf>
    <xf numFmtId="166" fontId="0" fillId="2" borderId="0" xfId="0" applyNumberFormat="1" applyFill="1"/>
    <xf numFmtId="49" fontId="0" fillId="0" borderId="0" xfId="0" applyNumberFormat="1"/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3" borderId="0" xfId="0" applyFont="1" applyFill="1" applyProtection="1">
      <protection locked="0"/>
    </xf>
    <xf numFmtId="166" fontId="8" fillId="3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9" fillId="2" borderId="0" xfId="0" applyNumberFormat="1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0" fillId="4" borderId="0" xfId="0" applyFill="1" applyProtection="1">
      <protection locked="0"/>
    </xf>
    <xf numFmtId="20" fontId="0" fillId="0" borderId="0" xfId="0" applyNumberForma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64" fontId="0" fillId="0" borderId="0" xfId="0" applyNumberFormat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3" borderId="0" xfId="0" applyFill="1"/>
    <xf numFmtId="0" fontId="8" fillId="3" borderId="0" xfId="0" applyFont="1" applyFill="1"/>
    <xf numFmtId="164" fontId="8" fillId="3" borderId="0" xfId="0" applyNumberFormat="1" applyFont="1" applyFill="1"/>
    <xf numFmtId="164" fontId="0" fillId="3" borderId="0" xfId="0" applyNumberFormat="1" applyFill="1"/>
    <xf numFmtId="49" fontId="8" fillId="3" borderId="0" xfId="0" applyNumberFormat="1" applyFont="1" applyFill="1"/>
    <xf numFmtId="49" fontId="0" fillId="3" borderId="0" xfId="0" applyNumberFormat="1" applyFill="1"/>
    <xf numFmtId="165" fontId="0" fillId="2" borderId="0" xfId="0" applyNumberFormat="1" applyFill="1"/>
    <xf numFmtId="0" fontId="11" fillId="0" borderId="0" xfId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49" fontId="0" fillId="5" borderId="0" xfId="0" applyNumberFormat="1" applyFill="1"/>
    <xf numFmtId="0" fontId="10" fillId="0" borderId="0" xfId="2"/>
    <xf numFmtId="49" fontId="10" fillId="0" borderId="0" xfId="2" applyNumberFormat="1"/>
    <xf numFmtId="20" fontId="10" fillId="0" borderId="0" xfId="2" applyNumberFormat="1"/>
    <xf numFmtId="0" fontId="10" fillId="3" borderId="0" xfId="2" applyFill="1"/>
    <xf numFmtId="0" fontId="10" fillId="2" borderId="0" xfId="2" applyFill="1"/>
    <xf numFmtId="0" fontId="1" fillId="0" borderId="1" xfId="2" applyFont="1" applyBorder="1"/>
    <xf numFmtId="0" fontId="0" fillId="6" borderId="0" xfId="2" applyFont="1" applyFill="1"/>
    <xf numFmtId="0" fontId="10" fillId="6" borderId="0" xfId="2" applyFill="1"/>
    <xf numFmtId="0" fontId="0" fillId="0" borderId="0" xfId="2" applyFont="1"/>
    <xf numFmtId="0" fontId="12" fillId="0" borderId="0" xfId="3">
      <alignment vertical="center"/>
    </xf>
    <xf numFmtId="167" fontId="10" fillId="0" borderId="0" xfId="2" applyNumberFormat="1"/>
    <xf numFmtId="0" fontId="10" fillId="7" borderId="0" xfId="2" applyFill="1"/>
    <xf numFmtId="11" fontId="0" fillId="0" borderId="0" xfId="0" applyNumberFormat="1"/>
    <xf numFmtId="2" fontId="0" fillId="0" borderId="0" xfId="0" applyNumberFormat="1"/>
    <xf numFmtId="166" fontId="8" fillId="2" borderId="0" xfId="0" applyNumberFormat="1" applyFont="1" applyFill="1"/>
    <xf numFmtId="166" fontId="0" fillId="0" borderId="0" xfId="0" applyNumberFormat="1"/>
    <xf numFmtId="0" fontId="1" fillId="0" borderId="1" xfId="0" applyFont="1" applyBorder="1"/>
    <xf numFmtId="164" fontId="0" fillId="2" borderId="0" xfId="0" applyNumberFormat="1" applyFill="1"/>
    <xf numFmtId="0" fontId="0" fillId="8" borderId="0" xfId="0" applyFill="1"/>
    <xf numFmtId="49" fontId="8" fillId="0" borderId="0" xfId="0" applyNumberFormat="1" applyFont="1"/>
  </cellXfs>
  <cellStyles count="4">
    <cellStyle name="Hyperlink" xfId="1" builtinId="8"/>
    <cellStyle name="Normal" xfId="0" builtinId="0"/>
    <cellStyle name="Normal 2" xfId="2" xr:uid="{EF4B3C0A-E8E9-4478-A109-51F212978F4B}"/>
    <cellStyle name="Normal 3" xfId="3" xr:uid="{EEDD70C7-FEE9-4DE6-85A6-97EB4429F779}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inho365-my.sharepoint.com/personal/id9411_uminho_pt/Documents/Algae/Models/Ngaditana/Biomass.xlsx" TargetMode="External"/><Relationship Id="rId1" Type="http://schemas.openxmlformats.org/officeDocument/2006/relationships/externalLinkPath" Target="https://uminho365-my.sharepoint.com/personal/id9411_uminho_pt/Documents/Algae/Models/Ngaditana/Biom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romolecular Composition"/>
      <sheetName val="Protein"/>
      <sheetName val="RNA"/>
      <sheetName val="DNA"/>
      <sheetName val="Lipid"/>
      <sheetName val="Sterols"/>
      <sheetName val="Acids"/>
      <sheetName val="Sheet2"/>
      <sheetName val="Sheet1"/>
      <sheetName val="Carbohydrates"/>
      <sheetName val="Pigments"/>
      <sheetName val="Cofactors"/>
    </sheetNames>
    <sheetDataSet>
      <sheetData sheetId="0">
        <row r="10">
          <cell r="F10">
            <v>8.6933689788513846E-2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724D2D-ABF3-4C6E-8223-131F93F1AFB2}" name="Table15" displayName="Table15" ref="C3:L24" totalsRowCount="1" headerRowDxfId="373" headerRowBorderDxfId="372" tableBorderDxfId="371">
  <autoFilter ref="C3:L23" xr:uid="{58724D2D-ABF3-4C6E-8223-131F93F1AFB2}"/>
  <sortState xmlns:xlrd2="http://schemas.microsoft.com/office/spreadsheetml/2017/richdata2" ref="C4:L23">
    <sortCondition ref="C3:C23"/>
  </sortState>
  <tableColumns count="10">
    <tableColumn id="1" xr3:uid="{8C86F793-3DFF-438C-8F38-9D0F1ABA8EEB}" name="Compound"/>
    <tableColumn id="2" xr3:uid="{A7E432AD-A486-4024-8348-EE357A5EC7E6}" name="Formula tRNA"/>
    <tableColumn id="3" xr3:uid="{A068C029-912E-4BA4-A449-1528BFBF9D66}" name="Formula AA"/>
    <tableColumn id="4" xr3:uid="{3258011C-E8C3-43B3-95E5-3292F9A3E830}" name="MW"/>
    <tableColumn id="5" xr3:uid="{3A3DC9EE-D4DD-42B8-A71E-5773512A20E2}" name="MW (-H2O)"/>
    <tableColumn id="6" xr3:uid="{AE5BA9C8-2489-45E6-B942-8EDD255BCF76}" name="mmol/gMM" totalsRowFunction="custom">
      <totalsRowFormula>SUM(Table15[mmol/gMM])</totalsRowFormula>
    </tableColumn>
    <tableColumn id="7" xr3:uid="{4F5BC693-2721-4615-9A91-F9540D552B24}" name="g/gDW" totalsRowFunction="custom" dataDxfId="370">
      <calculatedColumnFormula>Table15[[#This Row],[mmol/gMM]]*Table15[[#This Row],[MW (-H2O)]]/1000*'Macromolecular Composition'!$F$5</calculatedColumnFormula>
      <totalsRowFormula>SUM(Table15[g/gDW])</totalsRowFormula>
    </tableColumn>
    <tableColumn id="8" xr3:uid="{95F82277-EB81-4FCD-B4A8-8F83AF18D386}" name="g/gDW (normalized)" totalsRowFunction="custom" dataDxfId="369">
      <calculatedColumnFormula>Table15[[#This Row],[g/gDW]]/$I$24*'Macromolecular Composition'!$F$5</calculatedColumnFormula>
      <totalsRowFormula>SUM(Table15[g/gDW (normalized)])</totalsRowFormula>
    </tableColumn>
    <tableColumn id="9" xr3:uid="{3DA671D9-94B7-4A2F-96FA-464A3C1CDDB2}" name="mmol/gDW" totalsRowFunction="custom" dataDxfId="368">
      <calculatedColumnFormula>Table15[[#This Row],[g/gDW (normalized)]]/Table15[[#This Row],[MW (-H2O)]]*1000</calculatedColumnFormula>
      <totalsRowFormula>SUM(Table15[mmol/gDW])</totalsRowFormula>
    </tableColumn>
    <tableColumn id="10" xr3:uid="{83AA6E10-44DE-48BC-A99C-D78359CD31A4}" name="mmol/gDW2" totalsRowFunction="custom" dataDxfId="367">
      <calculatedColumnFormula>Table15[[#This Row],[mmol/gDW]]/Table15[[#Totals],[g/gDW (normalized)]]</calculatedColumnFormula>
      <totalsRowFormula>SUM(Table15[mmol/gDW2])</totalsRow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29F735-6416-4C0B-AB9E-F2FEA6D9B6B5}" name="Table4679101112" displayName="Table4679101112" ref="C286:AJ306" totalsRowShown="0" headerRowDxfId="135" dataDxfId="133" headerRowBorderDxfId="134" tableBorderDxfId="132" headerRowCellStyle="Normal 2" dataCellStyle="Normal 2">
  <autoFilter ref="C286:AJ306" xr:uid="{D92BF905-40DD-4B54-9385-E2B3A5E161B0}"/>
  <tableColumns count="34">
    <tableColumn id="1" xr3:uid="{D9AABFEC-CD74-466E-89E1-8AA6904A94FE}" name="Column1" dataDxfId="131" dataCellStyle="Normal 2"/>
    <tableColumn id="2" xr3:uid="{1DCD999C-58FC-4690-98A7-6E00E97BAA01}" name="Column2" dataDxfId="130" dataCellStyle="Normal 2">
      <calculatedColumnFormula>SUM(E286:AF286)</calculatedColumnFormula>
    </tableColumn>
    <tableColumn id="3" xr3:uid="{EA279539-A5DC-4517-96EF-DCD6059F5F23}" name="12_0" dataDxfId="129" dataCellStyle="Normal 2"/>
    <tableColumn id="4" xr3:uid="{1C7EF004-608B-471E-8AB4-2057098A2CF3}" name="13_0" dataDxfId="128" dataCellStyle="Normal 2"/>
    <tableColumn id="5" xr3:uid="{B2C677D7-5053-45F3-9671-4927B8B762A9}" name="14_0" dataDxfId="127" dataCellStyle="Normal 2"/>
    <tableColumn id="6" xr3:uid="{79320327-8C83-4CFD-961E-A738653244FF}" name="14_1" dataDxfId="126" dataCellStyle="Normal 2"/>
    <tableColumn id="7" xr3:uid="{1FB163A0-E8A4-4512-80FD-2224038894BC}" name="15_0" dataDxfId="125" dataCellStyle="Normal 2"/>
    <tableColumn id="8" xr3:uid="{8C2047DA-C5C6-40EC-9DF0-1C0696456458}" name="15_1" dataDxfId="124" dataCellStyle="Normal 2"/>
    <tableColumn id="9" xr3:uid="{BF998852-7680-4D46-9028-A2968B3C1656}" name="16_0" dataDxfId="123" dataCellStyle="Normal 2"/>
    <tableColumn id="10" xr3:uid="{BB2D6906-D4C9-4E93-ACAD-120D3EBA6E12}" name="16_1" dataDxfId="122" dataCellStyle="Normal 2"/>
    <tableColumn id="11" xr3:uid="{7F283B06-CDB4-4AD4-AC2B-F0D719B288B2}" name="16_2" dataDxfId="121" dataCellStyle="Normal 2"/>
    <tableColumn id="12" xr3:uid="{C6512B83-78E1-44F5-814F-13AB82F6F1F1}" name="16_3" dataDxfId="120" dataCellStyle="Normal 2"/>
    <tableColumn id="13" xr3:uid="{3E69D0AC-B28D-4DA8-8B3D-752BB59476FC}" name="17_0" dataDxfId="119" dataCellStyle="Normal 2"/>
    <tableColumn id="14" xr3:uid="{C6B2ABFE-760F-422B-92CD-0E286101ADD9}" name="17_1" dataDxfId="118" dataCellStyle="Normal 2"/>
    <tableColumn id="15" xr3:uid="{BB01E5E7-F6B6-4BE4-B8DB-BE3F7EE3295B}" name="18_0" dataDxfId="117" dataCellStyle="Normal 2"/>
    <tableColumn id="16" xr3:uid="{68A3BA5E-4342-4333-B852-AAFDA0E7F60D}" name="18_1" dataDxfId="116" dataCellStyle="Normal 2"/>
    <tableColumn id="17" xr3:uid="{59D5BD82-4E52-41BB-B433-B03EB4E21694}" name="18_2" dataDxfId="115" dataCellStyle="Normal 2"/>
    <tableColumn id="18" xr3:uid="{0F5A7CB8-24D5-4F58-97A9-5DC8B2B6A51E}" name="18_3" dataDxfId="114" dataCellStyle="Normal 2"/>
    <tableColumn id="19" xr3:uid="{7F4EE0F1-42A0-4F80-B2C0-D683ED1C3110}" name="18_4" dataDxfId="113" dataCellStyle="Normal 2"/>
    <tableColumn id="20" xr3:uid="{1C46F049-6381-4F10-984B-5994E1C6FDCC}" name="18_5" dataDxfId="112" dataCellStyle="Normal 2"/>
    <tableColumn id="32" xr3:uid="{DF77D707-1F09-476D-8370-F94880E54AF9}" name="19_1" dataDxfId="111" dataCellStyle="Normal 2"/>
    <tableColumn id="21" xr3:uid="{66D6FBCF-FF58-49DA-86EC-24012965536A}" name="20_0" dataDxfId="110" dataCellStyle="Normal 2"/>
    <tableColumn id="22" xr3:uid="{64E94017-B653-4F48-8AE0-DFC39F9D8589}" name="20_1" dataDxfId="109" dataCellStyle="Normal 2"/>
    <tableColumn id="23" xr3:uid="{4091D47E-C4EE-4132-9166-A56459C62A3E}" name="20_2" dataDxfId="108" dataCellStyle="Normal 2"/>
    <tableColumn id="24" xr3:uid="{049CDA21-AAC9-4124-98D6-3722A04C66BF}" name="20_3" dataDxfId="107" dataCellStyle="Normal 2"/>
    <tableColumn id="25" xr3:uid="{7030888B-E17D-493D-A0A7-64FE747EA426}" name="20_4" dataDxfId="106" dataCellStyle="Normal 2"/>
    <tableColumn id="26" xr3:uid="{F1B09683-5DAB-418F-806B-76551C842F52}" name="20_5" dataDxfId="105" dataCellStyle="Normal 2"/>
    <tableColumn id="27" xr3:uid="{36A66F51-818C-4920-8713-CB7A03C1475C}" name="22_0" dataDxfId="104" dataCellStyle="Normal 2"/>
    <tableColumn id="28" xr3:uid="{0F7B74AA-A30B-45EC-94E5-198133A68DAF}" name="22_5" dataDxfId="103" dataCellStyle="Normal 2"/>
    <tableColumn id="29" xr3:uid="{BEFC0E8E-897C-4822-A667-E500C46CAF0A}" name="22_6" dataDxfId="102" dataCellStyle="Normal 2"/>
    <tableColumn id="30" xr3:uid="{CA241C98-6718-40A4-B9E6-0F4FEFC36996}" name="Column29" dataDxfId="101" dataCellStyle="Normal 2"/>
    <tableColumn id="31" xr3:uid="{D01A161E-C24C-44DE-946F-99B2CB6B6963}" name="Column30" dataDxfId="100" dataCellStyle="Normal 2"/>
    <tableColumn id="33" xr3:uid="{E48FFE43-0F59-49CD-A1DC-E9C1A824FCC6}" name="Column31" dataDxfId="99" dataCellStyle="Normal 2">
      <calculatedColumnFormula>Table4679101112[[#This Row],[Column29]]/$D$302*0.5</calculatedColumnFormula>
    </tableColumn>
    <tableColumn id="34" xr3:uid="{77AB55DF-6259-44E2-B779-5CCA7E4B2E11}" name="Column32" dataDxfId="98" dataCellStyle="Normal 2">
      <calculatedColumnFormula>Table4679101112[[#This Row],[Column29]]/$D$302*1.5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1BD2BC-814D-4293-A50D-80160BBFFEDF}" name="Table467910111213" displayName="Table467910111213" ref="C310:AJ354" totalsRowShown="0" headerRowDxfId="97" dataDxfId="95" headerRowBorderDxfId="96" tableBorderDxfId="94" headerRowCellStyle="Normal 2" dataCellStyle="Normal 2">
  <autoFilter ref="C310:AJ354" xr:uid="{ABE4B11A-783E-4D54-9B57-C51DDA1003FE}"/>
  <tableColumns count="34">
    <tableColumn id="1" xr3:uid="{632943B9-B476-4777-A1D6-415F1D3E898D}" name="Column1" dataDxfId="93" dataCellStyle="Normal 2"/>
    <tableColumn id="2" xr3:uid="{EC998788-25B8-4621-86B3-6BC063B4CBD1}" name="Column2" dataDxfId="92" dataCellStyle="Normal 2">
      <calculatedColumnFormula>SUM(E310:AF310)</calculatedColumnFormula>
    </tableColumn>
    <tableColumn id="3" xr3:uid="{C5613FA2-FB19-4E8B-BD16-C728EDD77ED4}" name="12_0" dataDxfId="91" dataCellStyle="Normal 2"/>
    <tableColumn id="4" xr3:uid="{AE09B1FC-7E49-48FE-AD1A-B9CB1BB463D5}" name="13_0" dataDxfId="90" dataCellStyle="Normal 2"/>
    <tableColumn id="5" xr3:uid="{04766577-627B-482C-9AAE-F04006CD80F8}" name="14_0" dataDxfId="89" dataCellStyle="Normal 2"/>
    <tableColumn id="6" xr3:uid="{F142EEA7-3309-47D8-8951-A6DED84B4F49}" name="14_1" dataDxfId="88" dataCellStyle="Normal 2"/>
    <tableColumn id="7" xr3:uid="{84F24F05-C97D-4BAC-AC28-909E0008CFB6}" name="15_0" dataDxfId="87" dataCellStyle="Normal 2"/>
    <tableColumn id="8" xr3:uid="{FA64903E-953A-4D12-9411-9CBA2B02B5D1}" name="15_1" dataDxfId="86" dataCellStyle="Normal 2"/>
    <tableColumn id="9" xr3:uid="{0A19B369-4A97-41F4-AAD4-04A93970ED37}" name="16_0" dataDxfId="85" dataCellStyle="Normal 2"/>
    <tableColumn id="10" xr3:uid="{50284AD2-2041-4EC6-BA61-8F0FCB4B46C0}" name="16_1" dataDxfId="84" dataCellStyle="Normal 2"/>
    <tableColumn id="11" xr3:uid="{0807CF0A-C79C-4F6E-8B73-40E7F74D6D2B}" name="16_2" dataDxfId="83" dataCellStyle="Normal 2"/>
    <tableColumn id="12" xr3:uid="{3A6B748F-4D44-4D6F-9834-18D62A937C43}" name="16_3" dataDxfId="82" dataCellStyle="Normal 2"/>
    <tableColumn id="13" xr3:uid="{487FE9A1-6FFE-472B-890A-486E2E852CF3}" name="17_0" dataDxfId="81" dataCellStyle="Normal 2"/>
    <tableColumn id="14" xr3:uid="{3C0C6A66-B4B9-4966-82BA-63A276919EE4}" name="17_1" dataDxfId="80" dataCellStyle="Normal 2"/>
    <tableColumn id="15" xr3:uid="{65197066-F068-46B9-AA2D-670CA43CB4C0}" name="18_0" dataDxfId="79" dataCellStyle="Normal 2"/>
    <tableColumn id="16" xr3:uid="{608BBA1D-74D6-4518-9815-EA8A7688A9BA}" name="18_1" dataDxfId="78" dataCellStyle="Normal 2"/>
    <tableColumn id="17" xr3:uid="{9621F5A2-B3C2-49B2-8F04-E8BE00833B7E}" name="18_2" dataDxfId="77" dataCellStyle="Normal 2"/>
    <tableColumn id="18" xr3:uid="{8BB29116-C5B6-460A-90CC-8DCCE9925A1E}" name="18_3" dataDxfId="76" dataCellStyle="Normal 2"/>
    <tableColumn id="19" xr3:uid="{94DD8744-529A-485D-9016-ED5ABA2004DA}" name="18_4" dataDxfId="75" dataCellStyle="Normal 2"/>
    <tableColumn id="20" xr3:uid="{36442589-C905-44CF-BA78-A382FE71B998}" name="18_5" dataDxfId="74" dataCellStyle="Normal 2"/>
    <tableColumn id="32" xr3:uid="{D1B1E322-0B93-40D8-8329-4D5FB7EE3C86}" name="19_1" dataDxfId="73" dataCellStyle="Normal 2"/>
    <tableColumn id="21" xr3:uid="{128CE7DB-AFF0-46C2-B241-AB4377A91FF8}" name="20_0" dataDxfId="72" dataCellStyle="Normal 2"/>
    <tableColumn id="22" xr3:uid="{6A58D1A5-3A0A-4E3D-890C-A566485EC6D4}" name="20_1" dataDxfId="71" dataCellStyle="Normal 2"/>
    <tableColumn id="23" xr3:uid="{180BFBD8-2D98-49F0-BFDE-5E1FA1E20250}" name="20_2" dataDxfId="70" dataCellStyle="Normal 2"/>
    <tableColumn id="24" xr3:uid="{8674B0A8-7D27-4BB5-8E81-C6F2A968BB6E}" name="20_3" dataDxfId="69" dataCellStyle="Normal 2"/>
    <tableColumn id="25" xr3:uid="{79C87A4E-08EA-469B-A4CE-37F01323D367}" name="20_4" dataDxfId="68" dataCellStyle="Normal 2"/>
    <tableColumn id="26" xr3:uid="{88542DE2-2B06-479A-8506-242EDDCC7236}" name="20_5" dataDxfId="67" dataCellStyle="Normal 2"/>
    <tableColumn id="27" xr3:uid="{47BBBB1B-79E5-47F1-BAD2-114F0304B05E}" name="22_0" dataDxfId="66" dataCellStyle="Normal 2"/>
    <tableColumn id="28" xr3:uid="{95ABE46D-1F0C-47B2-9EE9-CDA5DC71FD72}" name="22_5" dataDxfId="65" dataCellStyle="Normal 2"/>
    <tableColumn id="29" xr3:uid="{DD60D8DE-B09A-4B44-B2EC-BDD459C69DE6}" name="22_6" dataDxfId="64" dataCellStyle="Normal 2"/>
    <tableColumn id="30" xr3:uid="{8602497F-93F7-4357-9543-DFC05B05A771}" name="Column29" dataDxfId="63" dataCellStyle="Normal 2"/>
    <tableColumn id="31" xr3:uid="{9D20A915-92EF-4EE0-819E-C2185AFBD652}" name="Column30" dataDxfId="62" dataCellStyle="Normal 2"/>
    <tableColumn id="34" xr3:uid="{C5EEE243-87BC-48BB-93D6-03BEAEE38CE0}" name="Column31" dataDxfId="61" dataCellStyle="Normal 2">
      <calculatedColumnFormula>Table467910111213[[#This Row],[Column29]]/$D$350*0.5</calculatedColumnFormula>
    </tableColumn>
    <tableColumn id="35" xr3:uid="{2A5E8DB0-04B0-460B-BF05-A3F54E388E2A}" name="Column32" dataDxfId="60" dataCellStyle="Normal 2">
      <calculatedColumnFormula>Table467910111213[[#This Row],[Column29]]/$D$350*1.5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5DE6052-B645-47A7-9992-7123EC506265}" name="Table467910111214" displayName="Table467910111214" ref="C358:AP383" totalsRowShown="0" headerRowDxfId="59" dataDxfId="57" headerRowBorderDxfId="58" tableBorderDxfId="56" headerRowCellStyle="Normal 2" dataCellStyle="Normal 2">
  <autoFilter ref="C358:AP383" xr:uid="{97EDE54C-8E5B-4525-B581-D9366688ED90}"/>
  <tableColumns count="40">
    <tableColumn id="1" xr3:uid="{208177EF-553F-4E2C-A7BD-3DF589C5B566}" name="Column1" dataDxfId="55" dataCellStyle="Normal 2"/>
    <tableColumn id="2" xr3:uid="{C06BA810-659B-46C6-A124-55174A4EFF5B}" name="Column2" dataDxfId="54" dataCellStyle="Normal 2">
      <calculatedColumnFormula>SUM(E358:AI358)</calculatedColumnFormula>
    </tableColumn>
    <tableColumn id="3" xr3:uid="{CE1E0E23-C282-41D8-9DB5-EE775032916E}" name="12_0" dataDxfId="53" dataCellStyle="Normal 2"/>
    <tableColumn id="4" xr3:uid="{883C17BC-9528-4748-8C6F-A2F8E259A5B5}" name="13_0" dataDxfId="52" dataCellStyle="Normal 2"/>
    <tableColumn id="5" xr3:uid="{C9AF5A48-A05A-4C56-9C65-750379065C4C}" name="14_0" dataDxfId="51" dataCellStyle="Normal 2"/>
    <tableColumn id="6" xr3:uid="{7604CAD3-BC47-4A94-B3EA-32882AD11CA9}" name="14_1" dataDxfId="50" dataCellStyle="Normal 2"/>
    <tableColumn id="7" xr3:uid="{8019185B-74D4-4AA2-87CC-93BB9B2F6AA7}" name="15_0" dataDxfId="49" dataCellStyle="Normal 2"/>
    <tableColumn id="8" xr3:uid="{F9954726-90C9-4886-9F74-C4F7DABD8605}" name="15_1" dataDxfId="48" dataCellStyle="Normal 2"/>
    <tableColumn id="9" xr3:uid="{C35E2F0A-8C46-4586-933F-4733FD7E210E}" name="16_0" dataDxfId="47" dataCellStyle="Normal 2"/>
    <tableColumn id="10" xr3:uid="{3F44ABB6-3A55-45DA-9AB9-08A50BEA0D77}" name="16_1" dataDxfId="46" dataCellStyle="Normal 2"/>
    <tableColumn id="11" xr3:uid="{86D71131-9A5D-4F91-83FC-219329B34E25}" name="16_2" dataDxfId="45" dataCellStyle="Normal 2"/>
    <tableColumn id="12" xr3:uid="{B603EA12-DD44-45A6-9777-7802860CF0CD}" name="16_3" dataDxfId="44" dataCellStyle="Normal 2"/>
    <tableColumn id="13" xr3:uid="{CD16FEAB-3483-408E-B126-D88C831908B7}" name="17_0" dataDxfId="43" dataCellStyle="Normal 2"/>
    <tableColumn id="14" xr3:uid="{0B8AA4AA-3766-4F2B-82AE-31AD0B01B082}" name="17_1" dataDxfId="42" dataCellStyle="Normal 2"/>
    <tableColumn id="15" xr3:uid="{DA3671EE-08E3-43FF-A91B-58B8875E39D9}" name="18_0" dataDxfId="41" dataCellStyle="Normal 2"/>
    <tableColumn id="16" xr3:uid="{20DA3D29-13CD-4E8B-BA77-1FE38280312F}" name="18_1" dataDxfId="40" dataCellStyle="Normal 2"/>
    <tableColumn id="17" xr3:uid="{7698691D-BD1F-4E34-A168-6267485D022F}" name="18_2" dataDxfId="39" dataCellStyle="Normal 2"/>
    <tableColumn id="18" xr3:uid="{18F2DDB7-229E-4589-B99D-0D1316D0D987}" name="18_3" dataDxfId="38" dataCellStyle="Normal 2"/>
    <tableColumn id="19" xr3:uid="{96B8EC46-1DC1-4580-AA3C-93661DE3D8CD}" name="18_4" dataDxfId="37" dataCellStyle="Normal 2"/>
    <tableColumn id="20" xr3:uid="{EEF94ADF-4D8E-4526-8060-91A74C8CC50D}" name="18_5" dataDxfId="36" dataCellStyle="Normal 2"/>
    <tableColumn id="32" xr3:uid="{E87AF775-2491-47D2-9F4F-07D3D47506A1}" name="19_1" dataDxfId="35" dataCellStyle="Normal 2"/>
    <tableColumn id="37" xr3:uid="{672FEB77-DCBE-4DD8-B048-336325825F1B}" name="19_2" dataDxfId="34" dataCellStyle="Normal 2"/>
    <tableColumn id="21" xr3:uid="{A29B50EA-8357-4B96-A31A-6BFBD654B29D}" name="20_0" dataDxfId="33" dataCellStyle="Normal 2"/>
    <tableColumn id="22" xr3:uid="{94C9F9B1-288A-42CE-B9CD-E56295A413E7}" name="20_1" dataDxfId="32" dataCellStyle="Normal 2"/>
    <tableColumn id="23" xr3:uid="{BCB02EAD-A971-4B1E-91F5-06E1B51F0AB1}" name="20_2" dataDxfId="31" dataCellStyle="Normal 2"/>
    <tableColumn id="24" xr3:uid="{AC7AE108-7D98-4A7B-B65C-EB2D99CD9A85}" name="20_3" dataDxfId="30" dataCellStyle="Normal 2"/>
    <tableColumn id="25" xr3:uid="{1DE1058B-A6EC-4D2A-B4E8-9CB13B76B811}" name="20_4" dataDxfId="29" dataCellStyle="Normal 2"/>
    <tableColumn id="26" xr3:uid="{C08A493C-27CC-47E7-8FCB-7C315E14FF47}" name="20_5" dataDxfId="28" dataCellStyle="Normal 2"/>
    <tableColumn id="38" xr3:uid="{1980182A-D593-4DC1-B935-559424D36070}" name="21_0" dataDxfId="27" dataCellStyle="Normal 2"/>
    <tableColumn id="27" xr3:uid="{71CA000E-E133-43DD-8B7E-B86B558C34D4}" name="22_0" dataDxfId="26" dataCellStyle="Normal 2"/>
    <tableColumn id="36" xr3:uid="{CB81AB8E-DDAC-45E7-97AB-AB72B2385CB1}" name="22_2" dataDxfId="25" dataCellStyle="Normal 2"/>
    <tableColumn id="28" xr3:uid="{E789D69D-8637-4C42-A614-48B5910B1ABA}" name="22_5" dataDxfId="24" dataCellStyle="Normal 2"/>
    <tableColumn id="29" xr3:uid="{3C70E344-CF48-4C8D-B14C-1E6FD578B6F7}" name="22_6" dataDxfId="23" dataCellStyle="Normal 2"/>
    <tableColumn id="33" xr3:uid="{E7E63474-C77B-4435-B1A3-C377F336A462}" name="24_0" dataDxfId="22" dataCellStyle="Normal 2"/>
    <tableColumn id="35" xr3:uid="{06B332F7-0D8B-4EF6-B234-4E8CCC7A84E4}" name="25_0" dataDxfId="21" dataCellStyle="Normal 2"/>
    <tableColumn id="34" xr3:uid="{D2D19F43-BE17-4830-8620-58E5D6721BD0}" name="26_0" dataDxfId="20" dataCellStyle="Normal 2"/>
    <tableColumn id="30" xr3:uid="{2DBA23F5-5379-4F5E-88EA-94D2FFF1BCAA}" name="Column29" dataDxfId="19" dataCellStyle="Normal 2"/>
    <tableColumn id="31" xr3:uid="{5831DE8C-FD6B-41A5-A8F9-E240D9FFB934}" name="Column30" dataDxfId="18" dataCellStyle="Normal 2"/>
    <tableColumn id="39" xr3:uid="{B33902ED-E842-4E65-9D54-D6EC2647CE4D}" name="Column31" dataDxfId="17" dataCellStyle="Normal 2">
      <calculatedColumnFormula>Table467910111214[[#This Row],[Column29]]/$D$379*0.5</calculatedColumnFormula>
    </tableColumn>
    <tableColumn id="40" xr3:uid="{8DA93C15-CB6B-45B8-A8B1-EB382E359C17}" name="Column32" dataDxfId="16" dataCellStyle="Normal 2">
      <calculatedColumnFormula>Table467910111214[[#This Row],[Column29]]/$D$379*1.5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9E52598-CD85-4467-B488-E6F0C14A8658}" name="Table114" displayName="Table114" ref="C3:AH134" totalsRowShown="0">
  <autoFilter ref="C3:AH134" xr:uid="{59E52598-CD85-4467-B488-E6F0C14A8658}"/>
  <sortState xmlns:xlrd2="http://schemas.microsoft.com/office/spreadsheetml/2017/richdata2" ref="C4:AH134">
    <sortCondition ref="C3:C134"/>
  </sortState>
  <tableColumns count="32">
    <tableColumn id="1" xr3:uid="{AC254F46-20C9-4EDE-9C6E-5E2D1C632FE0}" name="Column1"/>
    <tableColumn id="2" xr3:uid="{E7DEC0F3-1D4A-49BC-8A31-68EC8A82AA5C}" name="Column2"/>
    <tableColumn id="3" xr3:uid="{6D83BF1A-04C2-432E-90F4-F622C037CDB4}" name="12_0"/>
    <tableColumn id="4" xr3:uid="{AACE5FA4-7DCE-4AA8-9E2B-E61BF3C88154}" name="13_0"/>
    <tableColumn id="5" xr3:uid="{C5C4AA79-8A03-405B-A2CF-320BA733F608}" name="14_0"/>
    <tableColumn id="6" xr3:uid="{40AB844D-218A-4B7D-80C4-B00FF1CF3602}" name="14_1"/>
    <tableColumn id="7" xr3:uid="{92B4F2EF-F8C2-4FE3-8EF4-B07AFB82AED6}" name="15_0"/>
    <tableColumn id="8" xr3:uid="{91FFE97A-DF1B-48F1-9C1F-7B93D29B2DE4}" name="15_1"/>
    <tableColumn id="9" xr3:uid="{969BA721-5D3D-4273-8CE4-CD93AE2C801A}" name="16_0"/>
    <tableColumn id="10" xr3:uid="{7636F005-DF08-4218-9483-8588F1EF0E82}" name="16_1"/>
    <tableColumn id="11" xr3:uid="{7C17E00D-1D07-4009-AF0C-54AD5693820E}" name="16_2"/>
    <tableColumn id="12" xr3:uid="{2DA5508C-57E1-4865-967E-31BB62C4D71E}" name="16_3"/>
    <tableColumn id="13" xr3:uid="{0DAA4DE5-0451-40AE-BEC5-0F892C673A1E}" name="17_0"/>
    <tableColumn id="14" xr3:uid="{3B466E86-B5B5-4607-AEF0-D7EF9E9B7914}" name="17_1"/>
    <tableColumn id="15" xr3:uid="{9474A65A-6CAB-4638-B83B-E9133AC12F8C}" name="18_0"/>
    <tableColumn id="16" xr3:uid="{FC8F2E9B-B7D1-4FBD-8FCD-D72CA2B51247}" name="18_1"/>
    <tableColumn id="17" xr3:uid="{E12A9193-B682-4D74-A1AD-86AF086A0A7B}" name="18_2"/>
    <tableColumn id="18" xr3:uid="{1D8DEB24-7A29-475A-A79E-4F3E2693F21A}" name="18_3"/>
    <tableColumn id="19" xr3:uid="{A44F6501-55A3-4531-B468-451142CED002}" name="18_4"/>
    <tableColumn id="20" xr3:uid="{32D21778-0700-41AB-8AAC-9CB512B388EA}" name="18_5"/>
    <tableColumn id="21" xr3:uid="{28E19882-6B30-40AC-81CC-EEDEDD2BA651}" name="20_1"/>
    <tableColumn id="22" xr3:uid="{8EEEC7F3-7F79-42CA-9C1E-09A35AD2AA12}" name="20_2"/>
    <tableColumn id="23" xr3:uid="{86217AD9-2A38-4DE7-9E4B-FDD044173875}" name="20_3"/>
    <tableColumn id="24" xr3:uid="{FB5F7423-6594-45CE-B738-69063307880F}" name="20_4"/>
    <tableColumn id="25" xr3:uid="{4A97FE8E-9AFF-4F8D-84B8-B156E84BD77A}" name="20_5"/>
    <tableColumn id="26" xr3:uid="{1C8FCA06-8686-42CF-B652-B440C130FDAE}" name="22_0"/>
    <tableColumn id="27" xr3:uid="{9B6D120F-522A-4395-9B5B-55A3B77675D3}" name="22_5"/>
    <tableColumn id="28" xr3:uid="{4A17A86D-9E46-4998-8689-1B25888DE71F}" name="22_6"/>
    <tableColumn id="29" xr3:uid="{E8F8AD0B-CB14-49DE-9236-578FF00D39D9}" name="Column29"/>
    <tableColumn id="30" xr3:uid="{2940BCFA-2446-40EA-807D-8EF5A5332B14}" name="Column30"/>
    <tableColumn id="31" xr3:uid="{CA2B4ED6-BA23-4451-91D1-012E1CE3D0FD}" name="Column31" dataDxfId="15" dataCellStyle="Normal 2">
      <calculatedColumnFormula>Table114[[#This Row],[Column2]]*0.5</calculatedColumnFormula>
    </tableColumn>
    <tableColumn id="32" xr3:uid="{1DD3E0CE-26BC-4DD8-8229-86B5305CE85D}" name="Column32" dataDxfId="14" dataCellStyle="Normal 2">
      <calculatedColumnFormula>Table114[[#This Row],[Column29]]/$D$129*1.5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DD92347-34F9-443E-826F-53A4D52A9F96}" name="Table11417" displayName="Table11417" ref="C137:E224" totalsRowShown="0">
  <autoFilter ref="C137:E224" xr:uid="{ADD92347-34F9-443E-826F-53A4D52A9F96}"/>
  <sortState xmlns:xlrd2="http://schemas.microsoft.com/office/spreadsheetml/2017/richdata2" ref="C138:E224">
    <sortCondition ref="C3:C134"/>
  </sortState>
  <tableColumns count="3">
    <tableColumn id="1" xr3:uid="{90BE9D07-5062-4272-9EA5-18A6578EF873}" name="Column1"/>
    <tableColumn id="31" xr3:uid="{F5A8996E-3DE4-47CE-BD6B-C1808EBC89F4}" name="Column31" dataDxfId="13" dataCellStyle="Normal 2">
      <calculatedColumnFormula>#REF!*0.5</calculatedColumnFormula>
    </tableColumn>
    <tableColumn id="32" xr3:uid="{F02F8137-0123-4E5E-9941-7C609EDEC65B}" name="Column32" dataDxfId="12" dataCellStyle="Normal 2">
      <calculatedColumnFormula>#REF!/$D$129*1.5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D25D44E-7492-408C-A22D-DA46F0C9742C}" name="Table12" displayName="Table12" ref="C230:G245" totalsRowShown="0">
  <autoFilter ref="C230:G245" xr:uid="{8D25D44E-7492-408C-A22D-DA46F0C9742C}"/>
  <tableColumns count="5">
    <tableColumn id="1" xr3:uid="{50A5FABB-EA2E-4A59-A7DA-20D897B42F91}" name="Column1"/>
    <tableColumn id="2" xr3:uid="{1385FFC3-24AE-49A2-821C-E3B2F07A522A}" name="Column2"/>
    <tableColumn id="39" xr3:uid="{38E117F8-6819-489E-97B2-3D25FCA11F2B}" name="Column39"/>
    <tableColumn id="40" xr3:uid="{ABEE0041-5B11-4585-94C1-8D67E75A2153}" name="Column40"/>
    <tableColumn id="41" xr3:uid="{BE875227-6510-4ABC-8B9A-A521F32AB7B0}" name="Column41" dataDxfId="11">
      <calculatedColumnFormula>Table12[[#This Row],[Column2]]/$D$242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012B84-6B1E-4B74-9601-E1688198F7DA}" name="Table14" displayName="Table14" ref="C249:E268" totalsRowShown="0">
  <autoFilter ref="C249:E268" xr:uid="{68012B84-6B1E-4B74-9601-E1688198F7DA}"/>
  <tableColumns count="3">
    <tableColumn id="1" xr3:uid="{FF19D67D-BAD0-45E4-BC0A-957EE36C7C55}" name="Column1"/>
    <tableColumn id="33" xr3:uid="{AA12394A-2A30-4991-9E48-29E681D88A53}" name="Column33"/>
    <tableColumn id="34" xr3:uid="{60651DC8-D8F6-450B-83F4-7BF4E3E49EDC}" name="Column34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7ED59F-49F7-49D1-B958-F48D0714A42B}" name="Table17" displayName="Table17" ref="C274:E310" totalsRowCount="1">
  <autoFilter ref="C274:E309" xr:uid="{C87ED59F-49F7-49D1-B958-F48D0714A42B}"/>
  <tableColumns count="3">
    <tableColumn id="1" xr3:uid="{E6668584-B7A5-4ABD-B390-38301FCAF1ED}" name="Column1"/>
    <tableColumn id="33" xr3:uid="{27D23CDA-D6ED-4827-8D7D-2BC90A1B0E43}" name="Column33" totalsRowFunction="custom">
      <totalsRowFormula>SUM(Table17[Column33])</totalsRowFormula>
    </tableColumn>
    <tableColumn id="34" xr3:uid="{5BE40F2A-159A-4261-BAB3-8A0774A5CAA2}" name="Column34" totalsRowFunction="custom">
      <totalsRowFormula>SUM(Table17[Column34])</totalsRow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4BD9D4F-B94E-43DB-BD23-FD56FD592952}" name="Table419" displayName="Table419" ref="C5:L12" totalsRowShown="0" dataDxfId="10">
  <autoFilter ref="C5:L12" xr:uid="{84BD9D4F-B94E-43DB-BD23-FD56FD592952}"/>
  <tableColumns count="10">
    <tableColumn id="1" xr3:uid="{F5BD65F8-6BB8-4164-AE52-8447B96F667B}" name="Compound" dataDxfId="9"/>
    <tableColumn id="2" xr3:uid="{EBB127D4-14B9-4E29-BFC6-1ACA86E1463A}" name="Mol.Weight" dataDxfId="8"/>
    <tableColumn id="3" xr3:uid="{6B715F12-CDCD-477E-BE2D-FB1125ABC86A}" name="% mol/mol"/>
    <tableColumn id="4" xr3:uid="{F971C9CE-45A8-4FD8-84D8-6E13D0135D1E}" name="g/g 30 days"/>
    <tableColumn id="5" xr3:uid="{560D3460-CE43-4470-B16E-BD4DC67C15F2}" name="g/g 180 days"/>
    <tableColumn id="6" xr3:uid="{5A1C32A4-7977-4BFD-AC60-A86BE65DE9B1}" name="g/gDW" dataDxfId="7"/>
    <tableColumn id="7" xr3:uid="{B21CB18B-AA39-488A-A76E-610F7298259D}" name="gM/gDW" dataDxfId="6">
      <calculatedColumnFormula>Table419[[#This Row],[g/gDW]]/$H$12*'[1]Macromolecular Composition'!$E$10</calculatedColumnFormula>
    </tableColumn>
    <tableColumn id="10" xr3:uid="{41088900-E9CD-4DE8-AB43-4261FE97D2D0}" name="gM/gMM" dataDxfId="5">
      <calculatedColumnFormula>Table419[[#This Row],[gM/gDW]]/$I$12</calculatedColumnFormula>
    </tableColumn>
    <tableColumn id="8" xr3:uid="{031301AB-97D9-4D46-BEDA-BA03519C2651}" name="mmol M/gMM" dataDxfId="4">
      <calculatedColumnFormula>Table419[[#This Row],[gM/gMM]]/$I$12</calculatedColumnFormula>
    </tableColumn>
    <tableColumn id="9" xr3:uid="{26216948-7886-403E-B0AD-B06524FA1CC5}" name="Column3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B0A5A-77A5-413B-B0BB-18AAA5D2F742}" name="Table1" displayName="Table1" ref="C3:AH146" totalsRowShown="0">
  <autoFilter ref="C3:AH146" xr:uid="{BA62654F-20AE-4788-BCDD-6A8E29C790FD}"/>
  <tableColumns count="32">
    <tableColumn id="1" xr3:uid="{271D5099-B00F-478A-94BD-596993C552B1}" name="Column1"/>
    <tableColumn id="2" xr3:uid="{BC1A623A-9551-4CCE-8970-33DCCF83DE41}" name="Column2"/>
    <tableColumn id="3" xr3:uid="{2062DA23-BEDB-4E11-B596-402954C1C170}" name="12_0"/>
    <tableColumn id="4" xr3:uid="{28CE2A97-18DD-4C43-9EF9-42260321DBF3}" name="13_0"/>
    <tableColumn id="5" xr3:uid="{7C2F2D3D-ADE3-4A91-8416-CDBF36CC8561}" name="14_0"/>
    <tableColumn id="6" xr3:uid="{ACCE2C4C-75DB-4D76-9782-CD3381A99E64}" name="14_1"/>
    <tableColumn id="7" xr3:uid="{26F79262-A0C6-42C3-88AB-7A48907A5800}" name="15_0"/>
    <tableColumn id="8" xr3:uid="{3A218596-FD44-4124-B095-66F84141972C}" name="15_1"/>
    <tableColumn id="9" xr3:uid="{45DFF158-4208-47BC-A56D-7BB0CB375585}" name="16_0"/>
    <tableColumn id="10" xr3:uid="{18486A69-B9B0-4D5F-AB52-9A91CE0BEEE0}" name="16_1"/>
    <tableColumn id="11" xr3:uid="{03BA021D-E506-4367-A4E7-8C5AFC4FA92B}" name="16_2"/>
    <tableColumn id="12" xr3:uid="{B2680718-B87C-412A-BCE0-94B30C427990}" name="16_3"/>
    <tableColumn id="13" xr3:uid="{37638C0E-016C-486D-8A31-A3954229654E}" name="17_0"/>
    <tableColumn id="14" xr3:uid="{1008E175-EFC0-40DC-9C49-91737BD95F67}" name="17_1"/>
    <tableColumn id="15" xr3:uid="{E97B045D-FA01-4C78-BEBC-CEA99C392AE9}" name="18_0"/>
    <tableColumn id="16" xr3:uid="{1A0FE8F9-C948-4FF5-9A43-5BFDD0AAE621}" name="18_1"/>
    <tableColumn id="17" xr3:uid="{56DEBD02-DAF4-4E15-A964-3FE78181BB9D}" name="18_2"/>
    <tableColumn id="18" xr3:uid="{C873A014-2CD4-4713-9426-CBA10EA90871}" name="18_3"/>
    <tableColumn id="19" xr3:uid="{DE136CA2-E608-48A0-B7F1-E700DC3E6912}" name="18_4"/>
    <tableColumn id="20" xr3:uid="{DAFE3173-33CA-4C53-8995-0DB8A5D97E65}" name="18_5"/>
    <tableColumn id="21" xr3:uid="{73714BE9-CAD3-46C3-8CC7-9D7EB1E45D43}" name="20_1"/>
    <tableColumn id="22" xr3:uid="{86B27DC2-2BF5-44A3-A499-AC458AFB901D}" name="20_2"/>
    <tableColumn id="23" xr3:uid="{17AAD975-F7ED-43A4-B0DC-1A4BC1BBAE6E}" name="20_3"/>
    <tableColumn id="24" xr3:uid="{50DFE1C4-1021-4BEC-93C1-9A843A21453C}" name="20_4"/>
    <tableColumn id="25" xr3:uid="{590FA2DB-45F7-4C83-97D9-4384D72FD789}" name="20_5"/>
    <tableColumn id="26" xr3:uid="{3B8AD180-6BFE-4A41-AB6C-7599335DD96A}" name="22_0"/>
    <tableColumn id="27" xr3:uid="{95B5C2CE-DB3A-4E08-B4C4-2A16A797CE3D}" name="22_5"/>
    <tableColumn id="28" xr3:uid="{F10FB664-3B8D-4104-BF95-AD2CC0BADA28}" name="22_6"/>
    <tableColumn id="29" xr3:uid="{AC982526-6A58-4E0F-9BFA-C03C64A484A0}" name="Column29"/>
    <tableColumn id="30" xr3:uid="{7C5B5D5C-E274-46AC-9099-C182F8D919B7}" name="Column30"/>
    <tableColumn id="31" xr3:uid="{348DBF7C-1227-4233-AA1B-BF6E74737990}" name="Column31" dataDxfId="366" dataCellStyle="Normal 2">
      <calculatedColumnFormula>Table1[[#This Row],[Column2]]*0.5</calculatedColumnFormula>
    </tableColumn>
    <tableColumn id="32" xr3:uid="{CDBE15B1-C64A-4D4B-B189-BC77E84F99E0}" name="Column32" dataDxfId="365" dataCellStyle="Normal 2">
      <calculatedColumnFormula>Table1[[#This Row],[Column29]]/$D$141*1.5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2B21B-A7E0-4D4D-9490-D7A163C942AA}" name="Table13" displayName="Table13" ref="C150:AI162" totalsRowShown="0">
  <autoFilter ref="C150:AI162" xr:uid="{15FE6D75-D9AE-47EA-9521-82260F18349F}"/>
  <tableColumns count="33">
    <tableColumn id="1" xr3:uid="{07C318ED-697B-41CA-A7E2-A26E9DFBC48D}" name="Column1"/>
    <tableColumn id="2" xr3:uid="{71D2FB13-6C1E-4637-82D3-A31617B4A63D}" name="Column2"/>
    <tableColumn id="3" xr3:uid="{5AA0BAEA-8F0F-430B-8A9C-7DE41FBBFD5F}" name="12_0"/>
    <tableColumn id="4" xr3:uid="{A78AA4C7-AA48-4686-9CC3-214486DA1FE4}" name="13_0"/>
    <tableColumn id="5" xr3:uid="{2D6CB62A-EB63-4739-AA48-A3FA01E0572D}" name="14_0"/>
    <tableColumn id="6" xr3:uid="{C7F590D0-813C-454F-B234-957EA200228A}" name="14_1"/>
    <tableColumn id="7" xr3:uid="{FE07248A-6DBC-4C95-8167-4A1A88AE2170}" name="15_0"/>
    <tableColumn id="8" xr3:uid="{010C6B75-B73A-4C73-86F1-9B5D8C0E55BD}" name="15_1"/>
    <tableColumn id="9" xr3:uid="{995EDD7A-664E-4D69-AA00-8F685A28A8BF}" name="16_0"/>
    <tableColumn id="10" xr3:uid="{534861AB-5014-43B6-8AE1-9A154939D886}" name="16_1"/>
    <tableColumn id="11" xr3:uid="{3083D2EF-3370-4046-8260-8011F3BF106A}" name="16_2"/>
    <tableColumn id="12" xr3:uid="{B96373BF-C8E6-428B-BB1A-C56A88763D84}" name="16_3"/>
    <tableColumn id="13" xr3:uid="{D243972A-047A-4A7F-9344-BAC616BB4A2A}" name="17_0"/>
    <tableColumn id="14" xr3:uid="{DD8DB140-3C66-41AB-BFEF-6B941B7CD344}" name="17_1"/>
    <tableColumn id="15" xr3:uid="{8D244765-B912-4853-9F1D-BCF62AAE1809}" name="18_0"/>
    <tableColumn id="16" xr3:uid="{0A4CBC33-11F3-4D21-97D3-B63A8DBFE1E0}" name="18_1"/>
    <tableColumn id="17" xr3:uid="{E7F2F2FE-E3E3-4D3E-894A-8397D8AAC541}" name="18_2"/>
    <tableColumn id="18" xr3:uid="{E60C8D67-FDF9-4673-B821-421DDCEF5E3F}" name="18_3"/>
    <tableColumn id="19" xr3:uid="{3E6BB79D-4CDC-4DB7-A4B6-033475139E0D}" name="18_4"/>
    <tableColumn id="20" xr3:uid="{A2B72390-071A-41B3-874A-F5EAC4933E44}" name="18_5"/>
    <tableColumn id="31" xr3:uid="{DB144050-E343-435F-BA88-88711785DACF}" name="20_0"/>
    <tableColumn id="21" xr3:uid="{0C78FF7E-D706-4BB7-8D4C-7547095C8B5A}" name="20_1"/>
    <tableColumn id="22" xr3:uid="{DCD0253A-1B05-4CE1-90C9-1D63E925AFD2}" name="20_2"/>
    <tableColumn id="23" xr3:uid="{D06BE96E-F37E-4CB2-8F80-29A68C877DA2}" name="20_3"/>
    <tableColumn id="24" xr3:uid="{932AE211-31D3-4F45-B1E9-0A5F6DBD1AE5}" name="20_4"/>
    <tableColumn id="25" xr3:uid="{B093BDE6-EB45-4305-913C-A95A31210AB1}" name="20_5"/>
    <tableColumn id="26" xr3:uid="{8F6AF139-2216-41A4-99E4-77EB04F3031C}" name="22_0"/>
    <tableColumn id="27" xr3:uid="{2DEF489D-E861-46A3-8E3C-F3109E999AB2}" name="22_5"/>
    <tableColumn id="28" xr3:uid="{E90E6D22-E6D6-4DFF-8DAB-757E4D2D92C3}" name="22_6"/>
    <tableColumn id="29" xr3:uid="{59B10464-2D17-4B1B-BF7B-CCD27E61D76D}" name="Column29"/>
    <tableColumn id="30" xr3:uid="{A6BD5C7A-6388-40AB-9D25-5731F422DC80}" name="Column30"/>
    <tableColumn id="32" xr3:uid="{FA1752DB-D7FA-4351-B226-53FBB1386849}" name="Column31" dataDxfId="364" dataCellStyle="Normal 2">
      <calculatedColumnFormula>Table13[[#This Row],[Column29]]/$D$158*0.5</calculatedColumnFormula>
    </tableColumn>
    <tableColumn id="33" xr3:uid="{F41B7F3F-34C2-40ED-9A22-535448DFB741}" name="Column32" dataDxfId="363" dataCellStyle="Normal 2">
      <calculatedColumnFormula>Table13[[#This Row],[Column29]]/$D$158*1.5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607FF4-D656-4507-ABC2-B9B7D64F2AA3}" name="Table4" displayName="Table4" ref="C164:AI185" totalsRowShown="0" headerRowDxfId="362" dataDxfId="360" headerRowBorderDxfId="361" tableBorderDxfId="359" headerRowCellStyle="Normal 2" dataCellStyle="Normal 2">
  <autoFilter ref="C164:AI185" xr:uid="{0F1D253C-124E-49BD-993A-05147AB10647}"/>
  <tableColumns count="33">
    <tableColumn id="1" xr3:uid="{8E3B324C-993A-4D3F-B049-6D97805ECE59}" name="Column1" dataDxfId="358" dataCellStyle="Normal 2"/>
    <tableColumn id="2" xr3:uid="{98BA840D-9A70-4BEC-B5FC-47CC71FD3A82}" name="Column2" dataDxfId="357" dataCellStyle="Normal 2">
      <calculatedColumnFormula>SUM(E164:AE164)</calculatedColumnFormula>
    </tableColumn>
    <tableColumn id="3" xr3:uid="{8A07E6E9-E89E-4909-BAE3-F9358E602FDD}" name="12_0" dataDxfId="356" dataCellStyle="Normal 2"/>
    <tableColumn id="4" xr3:uid="{F8000DCB-9B56-4505-BFDE-AD915E7F4C26}" name="13_0" dataDxfId="355" dataCellStyle="Normal 2"/>
    <tableColumn id="5" xr3:uid="{537D4EC6-F229-43B0-B452-809E61ED4B9A}" name="14_0" dataDxfId="354" dataCellStyle="Normal 2"/>
    <tableColumn id="6" xr3:uid="{F825F8FF-B529-454E-A5F0-638400F7DC3A}" name="14_1" dataDxfId="353" dataCellStyle="Normal 2"/>
    <tableColumn id="7" xr3:uid="{91C9C879-BC0E-41FF-80BD-EE07BBE8E1D8}" name="15_0" dataDxfId="352" dataCellStyle="Normal 2"/>
    <tableColumn id="8" xr3:uid="{9C54055F-7462-45F3-B3C8-1EFC59A16E58}" name="15_1" dataDxfId="351" dataCellStyle="Normal 2"/>
    <tableColumn id="9" xr3:uid="{35966788-D393-483B-8451-99ACC01625C9}" name="16_0" dataDxfId="350" dataCellStyle="Normal 2"/>
    <tableColumn id="10" xr3:uid="{2A9B875C-33A6-4B16-BABE-33C4F91B45D1}" name="16_1" dataDxfId="349" dataCellStyle="Normal 2"/>
    <tableColumn id="11" xr3:uid="{7A4C5589-F832-4C03-869A-D5E62BCC2D9C}" name="16_2" dataDxfId="348" dataCellStyle="Normal 2"/>
    <tableColumn id="12" xr3:uid="{8C541717-448A-4299-A242-0C00BFC3FACD}" name="16_3" dataDxfId="347" dataCellStyle="Normal 2"/>
    <tableColumn id="13" xr3:uid="{AD246211-8D0D-4BA4-987F-F5A553A1632F}" name="17_0" dataDxfId="346" dataCellStyle="Normal 2"/>
    <tableColumn id="14" xr3:uid="{75F42CA2-6179-4220-8292-B310488489CB}" name="17_1" dataDxfId="345" dataCellStyle="Normal 2"/>
    <tableColumn id="15" xr3:uid="{C7BBFD5C-3065-484A-BF60-169B2585053D}" name="18_0" dataDxfId="344" dataCellStyle="Normal 2"/>
    <tableColumn id="16" xr3:uid="{A280EB4A-7A84-496C-989B-34CE7200FA9A}" name="18_1" dataDxfId="343" dataCellStyle="Normal 2"/>
    <tableColumn id="17" xr3:uid="{5FEF58BD-3473-4EB9-B1F7-2C391C337D37}" name="18_2" dataDxfId="342" dataCellStyle="Normal 2"/>
    <tableColumn id="18" xr3:uid="{4FC7C0AC-456B-43E7-8526-45C6481A82FF}" name="18_3" dataDxfId="341" dataCellStyle="Normal 2"/>
    <tableColumn id="19" xr3:uid="{CA9A5519-B020-40C9-886F-117409AB6E3B}" name="18_4" dataDxfId="340" dataCellStyle="Normal 2"/>
    <tableColumn id="20" xr3:uid="{46ED30B8-D5B7-4136-8127-3BF2679F17D5}" name="18_5" dataDxfId="339" dataCellStyle="Normal 2"/>
    <tableColumn id="21" xr3:uid="{9B70D8A2-A826-41FA-AFA1-453D1B079F99}" name="20_0" dataDxfId="338" dataCellStyle="Normal 2"/>
    <tableColumn id="22" xr3:uid="{A8C1976D-DA9A-456C-8E9D-6A25916BD7C7}" name="20_1" dataDxfId="337" dataCellStyle="Normal 2"/>
    <tableColumn id="23" xr3:uid="{344A599E-CEF7-4623-B2E3-0DB220C56454}" name="20_2" dataDxfId="336" dataCellStyle="Normal 2"/>
    <tableColumn id="24" xr3:uid="{32FCA1E6-4635-4B31-9026-53E1FF502352}" name="20_3" dataDxfId="335" dataCellStyle="Normal 2"/>
    <tableColumn id="25" xr3:uid="{0235738A-E736-4F09-9A6A-CCBE60B3EDEA}" name="20_4" dataDxfId="334" dataCellStyle="Normal 2"/>
    <tableColumn id="26" xr3:uid="{3F570C40-FAF9-4E57-9951-A9F1D43E2409}" name="20_5" dataDxfId="333" dataCellStyle="Normal 2"/>
    <tableColumn id="27" xr3:uid="{E8FD8475-058B-4721-AED5-8C5F69540F14}" name="22_0" dataDxfId="332" dataCellStyle="Normal 2"/>
    <tableColumn id="28" xr3:uid="{0FC50429-7540-41A2-A349-B45E18D48084}" name="22_5" dataDxfId="331" dataCellStyle="Normal 2"/>
    <tableColumn id="29" xr3:uid="{92EEE8A8-0A22-42DD-A512-D0325FC22010}" name="22_6" dataDxfId="330" dataCellStyle="Normal 2"/>
    <tableColumn id="30" xr3:uid="{A198CC0F-D2B3-4857-97AE-9ECAA320B77C}" name="Column29" dataDxfId="329" dataCellStyle="Normal 2"/>
    <tableColumn id="31" xr3:uid="{66DD2751-2BE0-46BF-AD17-7A81B913641A}" name="Column30" dataDxfId="328" dataCellStyle="Normal 2"/>
    <tableColumn id="32" xr3:uid="{4F40CE44-8CCD-41D1-8F28-3615A4AA618C}" name="Column31" dataDxfId="327" dataCellStyle="Normal 2">
      <calculatedColumnFormula>Table4[[#This Row],[Column29]]/$D$181*0.5</calculatedColumnFormula>
    </tableColumn>
    <tableColumn id="33" xr3:uid="{FC36766A-C9DC-4334-9C0B-A6D7E55C92BC}" name="Column32" dataDxfId="326" dataCellStyle="Normal 2">
      <calculatedColumnFormula>Table4[[#This Row],[Column29]]/$D$181*1.5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034B15-84BE-41E9-886E-C534589D040F}" name="Table46" displayName="Table46" ref="C188:AJ217" totalsRowShown="0" headerRowDxfId="325" dataDxfId="323" headerRowBorderDxfId="324" tableBorderDxfId="322" headerRowCellStyle="Normal 2" dataCellStyle="Normal 2">
  <autoFilter ref="C188:AJ217" xr:uid="{32730255-9974-4DDD-8B9A-AF79EB87EA1F}"/>
  <tableColumns count="34">
    <tableColumn id="1" xr3:uid="{40D20AA0-76A4-4508-AE5E-20FF721301E8}" name="Column1" dataDxfId="321" dataCellStyle="Normal 2"/>
    <tableColumn id="2" xr3:uid="{B9D99189-9F17-4845-9C8B-8C571AA687F9}" name="Column2" dataDxfId="320" dataCellStyle="Normal 2">
      <calculatedColumnFormula>SUM(E188:AF188)</calculatedColumnFormula>
    </tableColumn>
    <tableColumn id="3" xr3:uid="{EAB82F97-1D16-4E1C-8536-22821D778ADA}" name="12_0" dataDxfId="319" dataCellStyle="Normal 2"/>
    <tableColumn id="4" xr3:uid="{FF7770D9-893A-40AD-B850-F799D0B1ED44}" name="13_0" dataDxfId="318" dataCellStyle="Normal 2"/>
    <tableColumn id="5" xr3:uid="{F72DB4A1-74C9-4B25-8827-D2FF51E60694}" name="14_0" dataDxfId="317" dataCellStyle="Normal 2"/>
    <tableColumn id="6" xr3:uid="{238C4851-F099-4BE6-A596-7642EE76869F}" name="14_1" dataDxfId="316" dataCellStyle="Normal 2"/>
    <tableColumn id="7" xr3:uid="{C512D67F-040E-4398-962C-25A6F8CFA224}" name="15_0" dataDxfId="315" dataCellStyle="Normal 2"/>
    <tableColumn id="8" xr3:uid="{DA10A2F9-6EE7-48C8-B378-463DBF002A1D}" name="15_1" dataDxfId="314" dataCellStyle="Normal 2"/>
    <tableColumn id="9" xr3:uid="{AEBD6D7E-9ED9-4B8A-A1BB-2DA381D8A907}" name="16_0" dataDxfId="313" dataCellStyle="Normal 2"/>
    <tableColumn id="10" xr3:uid="{DE95E23E-9A26-40B3-8DDF-A9C7A5C20CD8}" name="16_1" dataDxfId="312" dataCellStyle="Normal 2"/>
    <tableColumn id="11" xr3:uid="{33246E72-CC61-4D9E-84E0-05FEB22B8C2C}" name="16_2" dataDxfId="311" dataCellStyle="Normal 2"/>
    <tableColumn id="12" xr3:uid="{0BDE8873-6A3F-4216-B0AF-42403669F158}" name="16_3" dataDxfId="310" dataCellStyle="Normal 2"/>
    <tableColumn id="13" xr3:uid="{F0FA78DF-36B8-44C7-8C91-1852FC4603C6}" name="17_0" dataDxfId="309" dataCellStyle="Normal 2"/>
    <tableColumn id="14" xr3:uid="{E9478F6C-99F6-4F9B-9561-AB486DD8AB91}" name="17_1" dataDxfId="308" dataCellStyle="Normal 2"/>
    <tableColumn id="15" xr3:uid="{1C90BF74-8950-4A47-8E94-86F7380C0472}" name="18_0" dataDxfId="307" dataCellStyle="Normal 2"/>
    <tableColumn id="16" xr3:uid="{83B606C8-316C-4797-BF9D-A061E7E3A9B4}" name="18_1" dataDxfId="306" dataCellStyle="Normal 2"/>
    <tableColumn id="17" xr3:uid="{B88F09BE-B5CA-4ECB-B82B-F31187DD31CD}" name="18_2" dataDxfId="305" dataCellStyle="Normal 2"/>
    <tableColumn id="18" xr3:uid="{1220999D-236E-4394-A6B3-03EF584528C8}" name="18_3" dataDxfId="304" dataCellStyle="Normal 2"/>
    <tableColumn id="19" xr3:uid="{2051D109-66E6-4400-B6C9-F17AE743BD93}" name="18_4" dataDxfId="303" dataCellStyle="Normal 2"/>
    <tableColumn id="20" xr3:uid="{285D0238-5630-44AF-87D2-A74BC9AF0EB3}" name="18_5" dataDxfId="302" dataCellStyle="Normal 2"/>
    <tableColumn id="32" xr3:uid="{63EDEA5A-7290-48E0-8B58-36B7E4C0241F}" name="19_1" dataDxfId="301" dataCellStyle="Normal 2"/>
    <tableColumn id="21" xr3:uid="{BC2A0AFD-B064-4867-90B2-729E873F97BC}" name="20_0" dataDxfId="300" dataCellStyle="Normal 2"/>
    <tableColumn id="22" xr3:uid="{04FA42A0-EA7E-4A22-B101-9C643E7AEA5B}" name="20_1" dataDxfId="299" dataCellStyle="Normal 2"/>
    <tableColumn id="23" xr3:uid="{EC4EC91B-D607-424C-B2B9-ED96DCD836E1}" name="20_2" dataDxfId="298" dataCellStyle="Normal 2"/>
    <tableColumn id="24" xr3:uid="{EE6D3DCC-5904-42F0-8CBE-34A13003486A}" name="20_3" dataDxfId="297" dataCellStyle="Normal 2"/>
    <tableColumn id="25" xr3:uid="{79ACB9FE-02AF-427A-8540-5FF934E963E0}" name="20_4" dataDxfId="296" dataCellStyle="Normal 2"/>
    <tableColumn id="26" xr3:uid="{80D81CD4-4787-43AF-871D-441EE8025D7D}" name="20_5" dataDxfId="295" dataCellStyle="Normal 2"/>
    <tableColumn id="27" xr3:uid="{3FCE9B83-2FE2-448A-9468-07EAE100D1F9}" name="22_0" dataDxfId="294" dataCellStyle="Normal 2"/>
    <tableColumn id="28" xr3:uid="{C22FDD30-0FE1-48B3-9CCF-DF04853D762D}" name="22_5" dataDxfId="293" dataCellStyle="Normal 2"/>
    <tableColumn id="29" xr3:uid="{0AC5E211-C883-4150-B69A-AC2C6796C62F}" name="22_6" dataDxfId="292" dataCellStyle="Normal 2"/>
    <tableColumn id="30" xr3:uid="{6CCAB523-10CF-416E-B0B2-FCACFF187C9D}" name="Column29" dataDxfId="291" dataCellStyle="Normal 2"/>
    <tableColumn id="31" xr3:uid="{BFC67D45-610E-4263-91CE-89B4ADF0F6D3}" name="Column30" dataDxfId="290" dataCellStyle="Normal 2"/>
    <tableColumn id="33" xr3:uid="{9E61DD8A-52C1-40E8-A4E9-5D788F789E89}" name="Column31" dataDxfId="289" dataCellStyle="Normal 2">
      <calculatedColumnFormula>Table46[[#This Row],[Column29]]/$D$213*0.5</calculatedColumnFormula>
    </tableColumn>
    <tableColumn id="34" xr3:uid="{B451AFAC-E972-430B-8E05-3DB4794E28AB}" name="Column32" dataDxfId="288" dataCellStyle="Normal 2">
      <calculatedColumnFormula>Table46[[#This Row],[Column29]]/$D$213*1.5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C957BE-05D4-4270-9587-011BB4E52828}" name="Table467" displayName="Table467" ref="C220:AJ237" totalsRowShown="0" headerRowDxfId="287" dataDxfId="285" headerRowBorderDxfId="286" tableBorderDxfId="284" headerRowCellStyle="Normal 2" dataCellStyle="Normal 2">
  <autoFilter ref="C220:AJ237" xr:uid="{3C8E159F-0DBC-4094-B76F-7D64AB5949CD}"/>
  <tableColumns count="34">
    <tableColumn id="1" xr3:uid="{3EC0DA48-8110-412A-A87E-6E49B329584F}" name="Column1" dataDxfId="283" dataCellStyle="Normal 2"/>
    <tableColumn id="2" xr3:uid="{A78FB0E6-FB8A-47B0-B18D-C150EECC0F21}" name="Column2" dataDxfId="282" dataCellStyle="Normal 2">
      <calculatedColumnFormula>SUM(E220:AF220)</calculatedColumnFormula>
    </tableColumn>
    <tableColumn id="3" xr3:uid="{A8923051-2D65-4AF9-95AD-782F2FAEC9A7}" name="12_0" dataDxfId="281" dataCellStyle="Normal 2"/>
    <tableColumn id="4" xr3:uid="{B5E4646A-6D45-4142-9691-45EA388EF69C}" name="13_0" dataDxfId="280" dataCellStyle="Normal 2"/>
    <tableColumn id="5" xr3:uid="{3A9BA7E7-7BA4-427D-BB72-288B37EBDDB9}" name="14_0" dataDxfId="279" dataCellStyle="Normal 2"/>
    <tableColumn id="6" xr3:uid="{E1437B0C-0206-4AFC-86E6-DC2AEDCB6477}" name="14_1" dataDxfId="278" dataCellStyle="Normal 2"/>
    <tableColumn id="7" xr3:uid="{DB79E720-DDCE-4A05-9002-65BED911A5F2}" name="15_0" dataDxfId="277" dataCellStyle="Normal 2"/>
    <tableColumn id="8" xr3:uid="{90BBED66-9235-491A-879A-9939259A7157}" name="15_1" dataDxfId="276" dataCellStyle="Normal 2"/>
    <tableColumn id="9" xr3:uid="{C74AE0D8-59D1-479F-A4EE-907BFDFCE06E}" name="16_0" dataDxfId="275" dataCellStyle="Normal 2"/>
    <tableColumn id="10" xr3:uid="{C878237A-840E-4D76-92F3-0F49A608B9D0}" name="16_1" dataDxfId="274" dataCellStyle="Normal 2"/>
    <tableColumn id="11" xr3:uid="{2BE9809A-E695-45FA-9CBD-7849FFBB2F47}" name="16_2" dataDxfId="273" dataCellStyle="Normal 2"/>
    <tableColumn id="12" xr3:uid="{E43068CA-11B5-49B7-9CB1-A797F4991D52}" name="16_3" dataDxfId="272" dataCellStyle="Normal 2"/>
    <tableColumn id="13" xr3:uid="{CCBFA00A-EE59-46C7-A4E0-9468874C13D2}" name="17_0" dataDxfId="271" dataCellStyle="Normal 2"/>
    <tableColumn id="14" xr3:uid="{6F25C3DE-6F99-4084-B7B2-8992DC7D6F52}" name="17_1" dataDxfId="270" dataCellStyle="Normal 2"/>
    <tableColumn id="15" xr3:uid="{4504E934-5892-4C1B-9BCC-603259B72993}" name="18_0" dataDxfId="269" dataCellStyle="Normal 2"/>
    <tableColumn id="16" xr3:uid="{ACEE2CE4-43BF-4C73-A6C3-4814A31CA1C4}" name="18_1" dataDxfId="268" dataCellStyle="Normal 2"/>
    <tableColumn id="17" xr3:uid="{81B4EE7F-FBDA-4A44-9BE2-E1CB098C4886}" name="18_2" dataDxfId="267" dataCellStyle="Normal 2"/>
    <tableColumn id="18" xr3:uid="{3585FE2E-575B-4909-A080-E72FE08F5F80}" name="18_3" dataDxfId="266" dataCellStyle="Normal 2"/>
    <tableColumn id="19" xr3:uid="{1FA60EC6-C9C0-4F4B-BA95-F889E9B85272}" name="18_4" dataDxfId="265" dataCellStyle="Normal 2"/>
    <tableColumn id="20" xr3:uid="{C5775184-5D94-46A0-802E-EB45F598866D}" name="18_5" dataDxfId="264" dataCellStyle="Normal 2"/>
    <tableColumn id="32" xr3:uid="{DCA647CC-ED3F-4C92-8496-DAE73CE28456}" name="19_1" dataDxfId="263" dataCellStyle="Normal 2"/>
    <tableColumn id="21" xr3:uid="{5C32BA1B-F64C-4551-809D-586C7A0FB111}" name="20_0" dataDxfId="262" dataCellStyle="Normal 2"/>
    <tableColumn id="22" xr3:uid="{6AF63C9A-1432-42BF-8227-0E55B89E738E}" name="20_1" dataDxfId="261" dataCellStyle="Normal 2"/>
    <tableColumn id="23" xr3:uid="{9A4C2107-56BD-4896-90FE-7DE43855BE8A}" name="20_2" dataDxfId="260" dataCellStyle="Normal 2"/>
    <tableColumn id="24" xr3:uid="{51E78D0C-260E-4649-87DF-0D0518508D50}" name="20_3" dataDxfId="259" dataCellStyle="Normal 2"/>
    <tableColumn id="25" xr3:uid="{DC7FA233-EA27-4EF8-83FD-9996DBB3D48D}" name="20_4" dataDxfId="258" dataCellStyle="Normal 2"/>
    <tableColumn id="26" xr3:uid="{A06D060E-5D2E-4F19-B33A-00CAB5DE9DAB}" name="20_5" dataDxfId="257" dataCellStyle="Normal 2"/>
    <tableColumn id="27" xr3:uid="{02C865CA-303C-4C6F-B809-82286DB97591}" name="22_0" dataDxfId="256" dataCellStyle="Normal 2"/>
    <tableColumn id="28" xr3:uid="{1E4C5A2A-62F9-49B1-855D-FF76396F14D1}" name="22_5" dataDxfId="255" dataCellStyle="Normal 2"/>
    <tableColumn id="29" xr3:uid="{8F031A55-2621-4CC9-AAF3-D55296DB4C12}" name="22_6" dataDxfId="254" dataCellStyle="Normal 2"/>
    <tableColumn id="30" xr3:uid="{EA2591C9-79B3-4562-9593-D685F3907914}" name="Column29" dataDxfId="253" dataCellStyle="Normal 2"/>
    <tableColumn id="31" xr3:uid="{269717B3-122D-4226-9420-93FA5DEEF417}" name="Column30" dataDxfId="252" dataCellStyle="Normal 2"/>
    <tableColumn id="33" xr3:uid="{6BE12C53-4B8D-4110-AB73-501339A0B33D}" name="Column31" dataDxfId="251" dataCellStyle="Normal 2">
      <calculatedColumnFormula>Table467[[#This Row],[Column29]]/$D$233*0.5</calculatedColumnFormula>
    </tableColumn>
    <tableColumn id="34" xr3:uid="{1C3AAE02-45AA-4903-8D30-DF7348306612}" name="Column32" dataDxfId="250" dataCellStyle="Normal 2">
      <calculatedColumnFormula>Table467[[#This Row],[Column29]]/$D$233*1.5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4EA233-CA92-43FD-BC6D-FA7B0C6CB498}" name="Table4679" displayName="Table4679" ref="C241:AJ255" totalsRowShown="0" headerRowDxfId="249" dataDxfId="247" headerRowBorderDxfId="248" tableBorderDxfId="246" headerRowCellStyle="Normal 2" dataCellStyle="Normal 2">
  <autoFilter ref="C241:AJ255" xr:uid="{2CD8D552-D330-44DF-B26B-68E0398E2A0F}"/>
  <tableColumns count="34">
    <tableColumn id="1" xr3:uid="{EFA1F8FA-D495-4C97-A613-86B3E980EC88}" name="Column1" dataDxfId="245" dataCellStyle="Normal 2"/>
    <tableColumn id="2" xr3:uid="{23E85D20-7F1C-40D2-855B-7B448187A107}" name="Column2" dataDxfId="244" dataCellStyle="Normal 2">
      <calculatedColumnFormula>SUM(E241:AF241)</calculatedColumnFormula>
    </tableColumn>
    <tableColumn id="3" xr3:uid="{5D987F05-089A-40EB-89EA-30C7A6D060D1}" name="12_0" dataDxfId="243" dataCellStyle="Normal 2"/>
    <tableColumn id="4" xr3:uid="{37817ED2-4AC4-46E1-AE14-F4F0328D6092}" name="13_0" dataDxfId="242" dataCellStyle="Normal 2"/>
    <tableColumn id="5" xr3:uid="{E3BA4212-4FC9-4091-86AC-22443BD746DF}" name="14_0" dataDxfId="241" dataCellStyle="Normal 2"/>
    <tableColumn id="6" xr3:uid="{FFDA3D83-25CF-4C96-B74B-B5D88A9EFB69}" name="14_1" dataDxfId="240" dataCellStyle="Normal 2"/>
    <tableColumn id="7" xr3:uid="{6B911E5F-692F-49B0-B748-C80CAE9FF990}" name="15_0" dataDxfId="239" dataCellStyle="Normal 2"/>
    <tableColumn id="8" xr3:uid="{BEE3233F-0127-4181-8B99-AF8D6C440A45}" name="15_1" dataDxfId="238" dataCellStyle="Normal 2"/>
    <tableColumn id="9" xr3:uid="{50B9783A-461E-493F-9769-7B8EB8CA299F}" name="16_0" dataDxfId="237" dataCellStyle="Normal 2"/>
    <tableColumn id="10" xr3:uid="{10F80D8B-0A37-41DD-AF73-F6F4955B98C8}" name="16_1" dataDxfId="236" dataCellStyle="Normal 2"/>
    <tableColumn id="11" xr3:uid="{8BA4908B-D322-4E70-A0DB-555A2EEA6067}" name="16_2" dataDxfId="235" dataCellStyle="Normal 2"/>
    <tableColumn id="12" xr3:uid="{571FCD2D-AEE7-4E74-9685-737DFC07928A}" name="16_3" dataDxfId="234" dataCellStyle="Normal 2"/>
    <tableColumn id="13" xr3:uid="{A4481996-4C4B-49BB-B311-65F6E39E6C24}" name="17_0" dataDxfId="233" dataCellStyle="Normal 2"/>
    <tableColumn id="14" xr3:uid="{6011B38A-E960-4171-AF1B-18E89ED7198C}" name="17_1" dataDxfId="232" dataCellStyle="Normal 2"/>
    <tableColumn id="15" xr3:uid="{A7E9B855-EDE5-4376-9785-DD7EDCCF7FEF}" name="18_0" dataDxfId="231" dataCellStyle="Normal 2"/>
    <tableColumn id="16" xr3:uid="{BB300639-3BBB-4EB2-B687-BDED869DE280}" name="18_1" dataDxfId="230" dataCellStyle="Normal 2"/>
    <tableColumn id="17" xr3:uid="{D540F838-E390-4E51-ADA0-860993F51F0B}" name="18_2" dataDxfId="229" dataCellStyle="Normal 2"/>
    <tableColumn id="18" xr3:uid="{9C84B4BA-6FC6-48CE-A8E6-A00C79B59964}" name="18_3" dataDxfId="228" dataCellStyle="Normal 2"/>
    <tableColumn id="19" xr3:uid="{C36E4FDD-E0A7-4A8E-A4AB-ADF82D51E577}" name="18_4" dataDxfId="227" dataCellStyle="Normal 2"/>
    <tableColumn id="20" xr3:uid="{B3D258E7-D46D-42EE-AB55-81DF326249B2}" name="18_5" dataDxfId="226" dataCellStyle="Normal 2"/>
    <tableColumn id="32" xr3:uid="{72C8E1C8-CBD8-4E14-812E-073554AC3046}" name="19_1" dataDxfId="225" dataCellStyle="Normal 2"/>
    <tableColumn id="21" xr3:uid="{306DADB9-B508-4116-AEBD-9F3A36758317}" name="20_0" dataDxfId="224" dataCellStyle="Normal 2"/>
    <tableColumn id="22" xr3:uid="{502B68EA-4F21-4AE2-8620-EBF336CE988D}" name="20_1" dataDxfId="223" dataCellStyle="Normal 2"/>
    <tableColumn id="23" xr3:uid="{83DC8EC2-F46E-4AF0-8DDF-0CBCCDA65DE6}" name="20_2" dataDxfId="222" dataCellStyle="Normal 2"/>
    <tableColumn id="24" xr3:uid="{2176F6B1-9F52-439C-A135-273B476EB683}" name="20_3" dataDxfId="221" dataCellStyle="Normal 2"/>
    <tableColumn id="25" xr3:uid="{CA622321-9E5B-480A-ADF6-5ED9295BE8AC}" name="20_4" dataDxfId="220" dataCellStyle="Normal 2"/>
    <tableColumn id="26" xr3:uid="{E69B0336-D82F-46DB-B8A1-843B1C00BDBE}" name="20_5" dataDxfId="219" dataCellStyle="Normal 2"/>
    <tableColumn id="27" xr3:uid="{7449855B-6BB3-4ACF-BDEC-C8C396EB32BD}" name="22_0" dataDxfId="218" dataCellStyle="Normal 2"/>
    <tableColumn id="28" xr3:uid="{CE2DFCBB-E8AA-4A45-AF56-D2B86A8330B0}" name="22_5" dataDxfId="217" dataCellStyle="Normal 2"/>
    <tableColumn id="29" xr3:uid="{F9BD8908-6ABF-4915-800E-FDC66F9B26AD}" name="22_6" dataDxfId="216" dataCellStyle="Normal 2"/>
    <tableColumn id="30" xr3:uid="{61FFF005-4D31-4648-A07C-E44DC5138F0C}" name="Column29" dataDxfId="215" dataCellStyle="Normal 2"/>
    <tableColumn id="31" xr3:uid="{11D1F5B4-904A-4A48-A914-3480D61B3AD6}" name="Column30" dataDxfId="214" dataCellStyle="Normal 2"/>
    <tableColumn id="33" xr3:uid="{A07E343B-E80E-492E-B5A0-28479393A760}" name="Column31" dataDxfId="213" dataCellStyle="Normal 2">
      <calculatedColumnFormula>Table4679[[#This Row],[Column29]]/$D$251*0.5</calculatedColumnFormula>
    </tableColumn>
    <tableColumn id="34" xr3:uid="{92806A5A-705A-4A73-93A3-D213720F4AD8}" name="Column32" dataDxfId="212" dataCellStyle="Normal 2">
      <calculatedColumnFormula>Table4679[[#This Row],[Column29]]/$D$251*1.5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03802F-9AEE-40A2-87FB-DC42090CA82E}" name="Table467910" displayName="Table467910" ref="C259:AJ267" totalsRowShown="0" headerRowDxfId="211" dataDxfId="209" headerRowBorderDxfId="210" tableBorderDxfId="208" headerRowCellStyle="Normal 2" dataCellStyle="Normal 2">
  <autoFilter ref="C259:AJ267" xr:uid="{1E58B623-5DEE-4712-8D61-5E7A5A8F9706}"/>
  <tableColumns count="34">
    <tableColumn id="1" xr3:uid="{8760302A-2215-4ABD-8C12-E9950F2EBF81}" name="Column1" dataDxfId="207" dataCellStyle="Normal 2"/>
    <tableColumn id="2" xr3:uid="{11A1BAFE-F4BC-43F5-BC5F-D869547C475B}" name="Column2" dataDxfId="206" dataCellStyle="Normal 2">
      <calculatedColumnFormula>SUM(E259:AF259)</calculatedColumnFormula>
    </tableColumn>
    <tableColumn id="3" xr3:uid="{5AD1AB67-1134-4D37-A5BF-5CCA17EB11C4}" name="12_0" dataDxfId="205" dataCellStyle="Normal 2"/>
    <tableColumn id="4" xr3:uid="{426B7289-C294-4BB5-8E90-BB10A4A5A71B}" name="13_0" dataDxfId="204" dataCellStyle="Normal 2"/>
    <tableColumn id="5" xr3:uid="{D3A14012-5E91-4A4D-8943-ED8D3D2CF69A}" name="14_0" dataDxfId="203" dataCellStyle="Normal 2"/>
    <tableColumn id="6" xr3:uid="{0FC6BF3A-CD42-489D-AFB8-E3BA9F141153}" name="14_1" dataDxfId="202" dataCellStyle="Normal 2"/>
    <tableColumn id="7" xr3:uid="{B63EDEE7-B465-414F-9753-79E671E730AD}" name="15_0" dataDxfId="201" dataCellStyle="Normal 2"/>
    <tableColumn id="8" xr3:uid="{54C6FD16-A51F-4582-AEDA-62C342DA280B}" name="15_1" dataDxfId="200" dataCellStyle="Normal 2"/>
    <tableColumn id="9" xr3:uid="{5145B7AF-831F-43F9-9B22-DD6194A4FAAE}" name="16_0" dataDxfId="199" dataCellStyle="Normal 2"/>
    <tableColumn id="10" xr3:uid="{8890C6F6-6F46-4497-8304-FEEE8C739598}" name="16_1" dataDxfId="198" dataCellStyle="Normal 2"/>
    <tableColumn id="11" xr3:uid="{DACD58CF-A1F8-4DEC-8877-584DB79FBC04}" name="16_2" dataDxfId="197" dataCellStyle="Normal 2"/>
    <tableColumn id="12" xr3:uid="{C88E81AA-C293-4CD3-963E-08E2E3622057}" name="16_3" dataDxfId="196" dataCellStyle="Normal 2"/>
    <tableColumn id="13" xr3:uid="{CAD9AAD6-34A5-4E37-B64B-608A7313D966}" name="17_0" dataDxfId="195" dataCellStyle="Normal 2"/>
    <tableColumn id="14" xr3:uid="{7ACB3077-2FF0-439C-9183-EEBFED2B6BB7}" name="17_1" dataDxfId="194" dataCellStyle="Normal 2"/>
    <tableColumn id="15" xr3:uid="{5F90AC78-7C9F-48E7-8D42-DD03B7985AAF}" name="18_0" dataDxfId="193" dataCellStyle="Normal 2"/>
    <tableColumn id="16" xr3:uid="{10BC8E73-E160-42FF-BA58-D98D16029C40}" name="18_1" dataDxfId="192" dataCellStyle="Normal 2"/>
    <tableColumn id="17" xr3:uid="{8325778F-9C02-414E-8036-E0B8BDEE91FA}" name="18_2" dataDxfId="191" dataCellStyle="Normal 2"/>
    <tableColumn id="18" xr3:uid="{FA2838D8-7B00-4E07-9698-A45F6547D152}" name="18_3" dataDxfId="190" dataCellStyle="Normal 2"/>
    <tableColumn id="19" xr3:uid="{B4AF65C2-24A3-461B-B746-DA1D8F7D9380}" name="18_4" dataDxfId="189" dataCellStyle="Normal 2"/>
    <tableColumn id="20" xr3:uid="{4D7BBDC3-8A2A-41BB-94C2-8A990BB3245A}" name="18_5" dataDxfId="188" dataCellStyle="Normal 2"/>
    <tableColumn id="32" xr3:uid="{31E3B7E9-DD6A-4D88-8FAD-F952CB097D0B}" name="19_1" dataDxfId="187" dataCellStyle="Normal 2"/>
    <tableColumn id="21" xr3:uid="{F4DB1CB6-FBF3-41E7-A4E1-C919D2449F78}" name="20_0" dataDxfId="186" dataCellStyle="Normal 2"/>
    <tableColumn id="22" xr3:uid="{F95F23FE-99A5-4608-B83B-37CD55857E87}" name="20_1" dataDxfId="185" dataCellStyle="Normal 2"/>
    <tableColumn id="23" xr3:uid="{4063F2D2-DF42-4CA9-AFC7-33350D5DE237}" name="20_2" dataDxfId="184" dataCellStyle="Normal 2"/>
    <tableColumn id="24" xr3:uid="{18F6F3DB-9372-4A36-BDF1-B0D7A1A61E00}" name="20_3" dataDxfId="183" dataCellStyle="Normal 2"/>
    <tableColumn id="25" xr3:uid="{F155FA4A-89FE-4C09-8343-6D227AC8FEA7}" name="20_4" dataDxfId="182" dataCellStyle="Normal 2"/>
    <tableColumn id="26" xr3:uid="{ADFEB69B-1F30-44D1-88A3-0453B7B3E21C}" name="20_5" dataDxfId="181" dataCellStyle="Normal 2"/>
    <tableColumn id="27" xr3:uid="{F7B6232D-8631-4151-9467-639ECCAE61A3}" name="22_0" dataDxfId="180" dataCellStyle="Normal 2"/>
    <tableColumn id="28" xr3:uid="{AB7682B2-971E-4A60-A0A5-6E51B7114854}" name="22_5" dataDxfId="179" dataCellStyle="Normal 2"/>
    <tableColumn id="29" xr3:uid="{4F56DDA7-96B6-47F0-ABE4-476A3E829CF6}" name="22_6" dataDxfId="178" dataCellStyle="Normal 2"/>
    <tableColumn id="30" xr3:uid="{22433F41-7727-4A71-A438-13807DC3BAFE}" name="Column29" dataDxfId="177" dataCellStyle="Normal 2"/>
    <tableColumn id="31" xr3:uid="{08577715-233F-4DF0-98F4-122FCC9044EE}" name="Column30" dataDxfId="176" dataCellStyle="Normal 2"/>
    <tableColumn id="33" xr3:uid="{CCCBD936-C6D9-4EC6-8B6F-B389FBECE052}" name="Column31" dataDxfId="175" dataCellStyle="Normal 2">
      <calculatedColumnFormula>Table467910[[#This Row],[Column29]]/$D$263*0.5</calculatedColumnFormula>
    </tableColumn>
    <tableColumn id="34" xr3:uid="{EF66CADB-E87E-4B8B-B0D2-F7FC5EE3740B}" name="Column32" dataDxfId="174" dataCellStyle="Normal 2">
      <calculatedColumnFormula>Table467910[[#This Row],[Column29]]/$D$263*1.5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B9F81D-6254-466A-93B6-B43744249D59}" name="Table46791011" displayName="Table46791011" ref="C271:AJ282" totalsRowShown="0" headerRowDxfId="173" dataDxfId="171" headerRowBorderDxfId="172" tableBorderDxfId="170" headerRowCellStyle="Normal 2" dataCellStyle="Normal 2">
  <autoFilter ref="C271:AJ282" xr:uid="{0B222D87-C388-4414-BB08-FFA15909AEF9}"/>
  <tableColumns count="34">
    <tableColumn id="1" xr3:uid="{2A6CD3EE-3869-4C96-9E3C-49BFF496DDDE}" name="Column1" dataDxfId="169" dataCellStyle="Normal 2"/>
    <tableColumn id="2" xr3:uid="{330687C8-072B-4B90-9356-B1BDC97FE8BF}" name="Column2" dataDxfId="168" dataCellStyle="Normal 2">
      <calculatedColumnFormula>SUM(E271:AF271)</calculatedColumnFormula>
    </tableColumn>
    <tableColumn id="3" xr3:uid="{63E7CA30-E925-4E8A-B2F9-93690DA8232A}" name="12_0" dataDxfId="167" dataCellStyle="Normal 2"/>
    <tableColumn id="4" xr3:uid="{EEDF88A4-E9E4-4534-ABF3-8BCB7CB34D7B}" name="13_0" dataDxfId="166" dataCellStyle="Normal 2"/>
    <tableColumn id="5" xr3:uid="{627165F0-FE91-4D7C-B8D5-6A7181D22DC4}" name="14_0" dataDxfId="165" dataCellStyle="Normal 2"/>
    <tableColumn id="6" xr3:uid="{8F2FD025-79BA-4F5F-81FC-F1CF53F92974}" name="14_1" dataDxfId="164" dataCellStyle="Normal 2"/>
    <tableColumn id="7" xr3:uid="{B31C7CD4-D4F0-4DA4-B2C1-DD18AA293B61}" name="15_0" dataDxfId="163" dataCellStyle="Normal 2"/>
    <tableColumn id="8" xr3:uid="{B7E04FCE-39DE-4344-8F70-807147A59E8F}" name="15_1" dataDxfId="162" dataCellStyle="Normal 2"/>
    <tableColumn id="9" xr3:uid="{094C87B9-41EC-4390-8E68-922333AA4F69}" name="16_0" dataDxfId="161" dataCellStyle="Normal 2"/>
    <tableColumn id="10" xr3:uid="{EC615F0C-824E-4C65-8DD5-DE5311103106}" name="16_1" dataDxfId="160" dataCellStyle="Normal 2"/>
    <tableColumn id="11" xr3:uid="{5546BD3E-7E7A-47D8-B791-A6DA866B3A09}" name="16_2" dataDxfId="159" dataCellStyle="Normal 2"/>
    <tableColumn id="12" xr3:uid="{5C1E773F-1320-4A04-B4BA-91DF364C80B3}" name="16_3" dataDxfId="158" dataCellStyle="Normal 2"/>
    <tableColumn id="13" xr3:uid="{EABB2626-7B8C-4DF7-99E7-01EEC7728DB0}" name="17_0" dataDxfId="157" dataCellStyle="Normal 2"/>
    <tableColumn id="14" xr3:uid="{C73AD646-D121-4692-A51F-32668670BC7A}" name="17_1" dataDxfId="156" dataCellStyle="Normal 2"/>
    <tableColumn id="15" xr3:uid="{D36DDFFC-DA1A-41E9-AB56-219297E6406C}" name="18_0" dataDxfId="155" dataCellStyle="Normal 2"/>
    <tableColumn id="16" xr3:uid="{58C7E56C-B4B9-4579-BB10-3748998CD558}" name="18_1" dataDxfId="154" dataCellStyle="Normal 2"/>
    <tableColumn id="17" xr3:uid="{1A7EC529-2292-4AE3-9061-5ACC2B9420C9}" name="18_2" dataDxfId="153" dataCellStyle="Normal 2"/>
    <tableColumn id="18" xr3:uid="{A6003E78-1CAA-49AD-9B69-FA58F773528B}" name="18_3" dataDxfId="152" dataCellStyle="Normal 2"/>
    <tableColumn id="19" xr3:uid="{DE7B1C77-16E6-481A-843A-5DE3171E2A45}" name="18_4" dataDxfId="151" dataCellStyle="Normal 2"/>
    <tableColumn id="20" xr3:uid="{484C7E71-1C97-4047-B940-7941B30603AF}" name="18_5" dataDxfId="150" dataCellStyle="Normal 2"/>
    <tableColumn id="32" xr3:uid="{2FFA3264-5074-40DC-9241-2403F19982FA}" name="19_1" dataDxfId="149" dataCellStyle="Normal 2"/>
    <tableColumn id="21" xr3:uid="{4027F0D1-EF87-4D22-8080-F80E43634025}" name="20_0" dataDxfId="148" dataCellStyle="Normal 2"/>
    <tableColumn id="22" xr3:uid="{CDA17535-B3B6-4F61-8A1D-EED45FA8CBCF}" name="20_1" dataDxfId="147" dataCellStyle="Normal 2"/>
    <tableColumn id="23" xr3:uid="{E21BD9CB-BCE2-4E34-9823-165B9A633E06}" name="20_2" dataDxfId="146" dataCellStyle="Normal 2"/>
    <tableColumn id="24" xr3:uid="{A0DC1C34-2FEF-4415-AA71-D3B09F0C8D63}" name="20_3" dataDxfId="145" dataCellStyle="Normal 2"/>
    <tableColumn id="25" xr3:uid="{2C0BB783-E759-4196-9888-C98D1FEE7A92}" name="20_4" dataDxfId="144" dataCellStyle="Normal 2"/>
    <tableColumn id="26" xr3:uid="{E4BE3552-C532-47AD-996D-956EFC0352CF}" name="20_5" dataDxfId="143" dataCellStyle="Normal 2"/>
    <tableColumn id="27" xr3:uid="{429E2D7E-3991-4B10-A610-8107E31D4E07}" name="22_0" dataDxfId="142" dataCellStyle="Normal 2"/>
    <tableColumn id="28" xr3:uid="{0DBC6FAA-8C89-4560-B7EC-B8FA65CF1CDA}" name="22_5" dataDxfId="141" dataCellStyle="Normal 2"/>
    <tableColumn id="29" xr3:uid="{E776980A-DA4D-45FF-87DF-8EBE98341770}" name="22_6" dataDxfId="140" dataCellStyle="Normal 2"/>
    <tableColumn id="30" xr3:uid="{CE98A95C-8976-47E9-8F88-7C9CD5015BEF}" name="Column29" dataDxfId="139" dataCellStyle="Normal 2"/>
    <tableColumn id="31" xr3:uid="{DFCE4969-8293-4935-AFCF-E0B88C7BEA60}" name="Column30" dataDxfId="138" dataCellStyle="Normal 2"/>
    <tableColumn id="33" xr3:uid="{69898C70-F152-44A1-8754-F720073028CB}" name="Column31" dataDxfId="137" dataCellStyle="Normal 2">
      <calculatedColumnFormula>Table46791011[[#This Row],[Column29]]/$D$278*0.5</calculatedColumnFormula>
    </tableColumn>
    <tableColumn id="34" xr3:uid="{0279B754-2B8E-43CF-BBC8-3DBEAC4ECE5A}" name="Column32" dataDxfId="136" dataCellStyle="Normal 2">
      <calculatedColumnFormula>Table46791011[[#This Row],[Column29]]/$D$278*1.5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sciencedirect.com/science/article/pii/S1466856416300492" TargetMode="External"/><Relationship Id="rId1" Type="http://schemas.openxmlformats.org/officeDocument/2006/relationships/hyperlink" Target="https://www.sciencedirect.com/science/article/pii/S2211926416305884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kegg.jp/entry/C19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48"/>
  <sheetViews>
    <sheetView workbookViewId="0">
      <selection activeCell="F10" sqref="F10"/>
    </sheetView>
  </sheetViews>
  <sheetFormatPr defaultRowHeight="15"/>
  <cols>
    <col min="3" max="3" width="14.85546875" bestFit="1" customWidth="1"/>
    <col min="4" max="4" width="23" bestFit="1" customWidth="1"/>
    <col min="5" max="5" width="33.85546875" bestFit="1" customWidth="1"/>
    <col min="6" max="6" width="12" bestFit="1" customWidth="1"/>
  </cols>
  <sheetData>
    <row r="4" spans="3:16">
      <c r="C4" t="s">
        <v>0</v>
      </c>
      <c r="D4" t="s">
        <v>7</v>
      </c>
      <c r="E4" t="s">
        <v>8</v>
      </c>
      <c r="F4" t="s">
        <v>9</v>
      </c>
    </row>
    <row r="5" spans="3:16">
      <c r="C5" t="s">
        <v>1</v>
      </c>
      <c r="D5">
        <f>P21</f>
        <v>0.49326327570865036</v>
      </c>
      <c r="E5">
        <f t="shared" ref="E5:E13" si="0">D5/$D$14*100</f>
        <v>43.449153305591125</v>
      </c>
      <c r="F5" s="13">
        <f>E5/100</f>
        <v>0.43449153305591126</v>
      </c>
      <c r="G5" s="10"/>
      <c r="I5">
        <f>P21</f>
        <v>0.49326327570865036</v>
      </c>
      <c r="J5">
        <f>I5/$I$14</f>
        <v>0.44700797255011154</v>
      </c>
      <c r="L5" s="57">
        <f>F5*100</f>
        <v>43.449153305591125</v>
      </c>
    </row>
    <row r="6" spans="3:16">
      <c r="C6" t="s">
        <v>3</v>
      </c>
      <c r="D6">
        <f>P22</f>
        <v>3.1988688501798535E-2</v>
      </c>
      <c r="E6">
        <f t="shared" si="0"/>
        <v>2.8177273663089175</v>
      </c>
      <c r="F6" s="13">
        <f t="shared" ref="F6:F13" si="1">E6/100</f>
        <v>2.8177273663089177E-2</v>
      </c>
      <c r="G6" s="10"/>
      <c r="I6">
        <f>P22</f>
        <v>3.1988688501798535E-2</v>
      </c>
      <c r="J6">
        <f t="shared" ref="J6:J11" si="2">I6/$I$14</f>
        <v>2.8988979102859375E-2</v>
      </c>
      <c r="L6" s="57">
        <f t="shared" ref="L6:L13" si="3">F6*100</f>
        <v>2.8177273663089175</v>
      </c>
      <c r="P6">
        <v>2.8199999999999999E-2</v>
      </c>
    </row>
    <row r="7" spans="3:16">
      <c r="C7" t="s">
        <v>2</v>
      </c>
      <c r="D7">
        <f>P23</f>
        <v>6.9923185468094085E-3</v>
      </c>
      <c r="E7">
        <f t="shared" si="0"/>
        <v>0.61591919663060013</v>
      </c>
      <c r="F7" s="13">
        <f t="shared" si="1"/>
        <v>6.159191966306001E-3</v>
      </c>
      <c r="G7" s="10"/>
      <c r="I7">
        <f>P23</f>
        <v>6.9923185468094085E-3</v>
      </c>
      <c r="J7">
        <f t="shared" si="2"/>
        <v>6.3366204032590254E-3</v>
      </c>
      <c r="L7" s="57">
        <f t="shared" si="3"/>
        <v>0.61591919663060013</v>
      </c>
      <c r="P7">
        <v>6.1999999999999998E-3</v>
      </c>
    </row>
    <row r="8" spans="3:16">
      <c r="C8" t="s">
        <v>10</v>
      </c>
      <c r="D8">
        <f>P24</f>
        <v>0.26469525096678209</v>
      </c>
      <c r="E8">
        <f>D8/$D$14*100</f>
        <v>23.315712125527579</v>
      </c>
      <c r="F8" s="59">
        <f>E8/100</f>
        <v>0.2331571212552758</v>
      </c>
      <c r="G8" s="10"/>
      <c r="I8">
        <f>Q24</f>
        <v>0.2922602509667821</v>
      </c>
      <c r="J8">
        <f t="shared" si="2"/>
        <v>0.26485381879273151</v>
      </c>
      <c r="L8" s="57">
        <f t="shared" si="3"/>
        <v>23.315712125527579</v>
      </c>
    </row>
    <row r="9" spans="3:16">
      <c r="C9" t="s">
        <v>311</v>
      </c>
      <c r="D9">
        <f>AVERAGE(Sterols!G26,Sterols!I27)</f>
        <v>1.379704E-2</v>
      </c>
      <c r="E9">
        <f t="shared" si="0"/>
        <v>1.2153138813388051</v>
      </c>
      <c r="F9" s="13">
        <f t="shared" si="1"/>
        <v>1.2153138813388052E-2</v>
      </c>
      <c r="G9" s="10"/>
      <c r="I9">
        <f>AVERAGE(Sterols!G26,Sterols!I27)</f>
        <v>1.379704E-2</v>
      </c>
      <c r="J9">
        <f t="shared" si="2"/>
        <v>1.2503235455208719E-2</v>
      </c>
      <c r="L9" s="57">
        <f t="shared" si="3"/>
        <v>1.2153138813388051</v>
      </c>
      <c r="P9">
        <v>1.2200000000000001E-2</v>
      </c>
    </row>
    <row r="10" spans="3:16">
      <c r="C10" t="s">
        <v>4</v>
      </c>
      <c r="D10">
        <f>P25</f>
        <v>0.15977982448550476</v>
      </c>
      <c r="E10">
        <f>D10/$D$14*100</f>
        <v>14.074224518817937</v>
      </c>
      <c r="F10" s="59">
        <f t="shared" si="1"/>
        <v>0.14074224518817938</v>
      </c>
      <c r="G10" s="10"/>
      <c r="I10">
        <f>P25</f>
        <v>0.15977982448550476</v>
      </c>
      <c r="J10">
        <f>I10/$I$14</f>
        <v>0.14479662061820431</v>
      </c>
      <c r="L10" s="57">
        <f t="shared" si="3"/>
        <v>14.074224518817937</v>
      </c>
      <c r="P10">
        <v>0.14071</v>
      </c>
    </row>
    <row r="11" spans="3:16">
      <c r="C11" t="s">
        <v>1123</v>
      </c>
      <c r="D11">
        <f>Acids!G12/100</f>
        <v>0.10830000000000002</v>
      </c>
      <c r="E11">
        <f>D11/$D$14*100</f>
        <v>9.539618160778879</v>
      </c>
      <c r="F11" s="59">
        <f>E11/100</f>
        <v>9.5396181607788788E-2</v>
      </c>
      <c r="G11" s="10"/>
      <c r="I11" s="59">
        <f>F11</f>
        <v>9.5396181607788788E-2</v>
      </c>
      <c r="J11">
        <f t="shared" si="2"/>
        <v>8.6450493741413725E-2</v>
      </c>
      <c r="L11" s="57">
        <f t="shared" si="3"/>
        <v>9.539618160778879</v>
      </c>
      <c r="P11">
        <v>9.5399999999999999E-2</v>
      </c>
    </row>
    <row r="12" spans="3:16">
      <c r="C12" t="s">
        <v>5</v>
      </c>
      <c r="D12">
        <f>Pigments!M15</f>
        <v>4.6449166666666666E-2</v>
      </c>
      <c r="E12">
        <f t="shared" si="0"/>
        <v>4.0914802759591709</v>
      </c>
      <c r="F12" s="13">
        <f>E12/100</f>
        <v>4.0914802759591709E-2</v>
      </c>
      <c r="G12" s="10"/>
      <c r="L12" s="57">
        <f t="shared" si="3"/>
        <v>4.0914802759591709</v>
      </c>
      <c r="P12">
        <v>4.0910000000000002E-2</v>
      </c>
    </row>
    <row r="13" spans="3:16">
      <c r="C13" t="s">
        <v>6</v>
      </c>
      <c r="D13">
        <v>0.01</v>
      </c>
      <c r="E13">
        <f t="shared" si="0"/>
        <v>0.88085116904698768</v>
      </c>
      <c r="F13" s="13">
        <f t="shared" si="1"/>
        <v>8.8085116904698772E-3</v>
      </c>
      <c r="G13" s="10"/>
      <c r="I13">
        <v>0.01</v>
      </c>
      <c r="J13">
        <f>I13/$I$14</f>
        <v>9.0622593362117664E-3</v>
      </c>
      <c r="L13" s="57">
        <f t="shared" si="3"/>
        <v>0.88085116904698768</v>
      </c>
      <c r="P13">
        <v>8.8000000000000005E-3</v>
      </c>
    </row>
    <row r="14" spans="3:16">
      <c r="D14">
        <f>SUM(D5:D13)</f>
        <v>1.1352655648762118</v>
      </c>
      <c r="E14">
        <f>SUM(E5:E13)</f>
        <v>100.00000000000001</v>
      </c>
      <c r="F14" s="10">
        <f>SUM(F5:F13)</f>
        <v>1</v>
      </c>
      <c r="G14" s="10"/>
      <c r="H14" s="10"/>
      <c r="I14" s="10">
        <f>SUM(I5:I13)</f>
        <v>1.103477579817334</v>
      </c>
      <c r="J14" s="10">
        <f>SUM(J5:J13)</f>
        <v>1</v>
      </c>
      <c r="K14" s="10">
        <f>SUM(K5:K13)</f>
        <v>0</v>
      </c>
      <c r="L14" s="10">
        <f>SUM(L5:L13)</f>
        <v>100.00000000000001</v>
      </c>
      <c r="M14" s="10"/>
      <c r="N14" s="10"/>
      <c r="O14" s="10"/>
    </row>
    <row r="20" spans="2:17">
      <c r="D20" t="s">
        <v>150</v>
      </c>
      <c r="F20" t="s">
        <v>11</v>
      </c>
      <c r="H20" t="s">
        <v>12</v>
      </c>
    </row>
    <row r="21" spans="2:17">
      <c r="C21" t="s">
        <v>1</v>
      </c>
      <c r="D21">
        <f>AVERAGE(9.915,8.154)</f>
        <v>9.0344999999999995</v>
      </c>
      <c r="E21">
        <f>D21/$D$28</f>
        <v>0.45611625928627864</v>
      </c>
      <c r="F21">
        <v>25.3</v>
      </c>
      <c r="G21">
        <f>F21/$F$28</f>
        <v>0.61407766990291268</v>
      </c>
      <c r="H21">
        <v>33.549999999999997</v>
      </c>
      <c r="I21">
        <f>H21/$H$28</f>
        <v>0.40959589793675982</v>
      </c>
      <c r="J21">
        <v>21.9</v>
      </c>
      <c r="K21">
        <f>J21/$J$28</f>
        <v>0.30932203389830509</v>
      </c>
      <c r="P21">
        <f>AVERAGE(E21,G21,I21)</f>
        <v>0.49326327570865036</v>
      </c>
      <c r="Q21">
        <f>AVERAGE(E21,G21,I21)</f>
        <v>0.49326327570865036</v>
      </c>
    </row>
    <row r="22" spans="2:17">
      <c r="C22" t="s">
        <v>3</v>
      </c>
      <c r="D22">
        <f>AVERAGE(1.123, 0.952)</f>
        <v>1.0375000000000001</v>
      </c>
      <c r="E22">
        <f>D22/$D$28</f>
        <v>5.2379281532958566E-2</v>
      </c>
      <c r="F22" t="s">
        <v>18</v>
      </c>
      <c r="H22">
        <v>0.95</v>
      </c>
      <c r="I22">
        <f>H22/$H$28</f>
        <v>1.1598095470638505E-2</v>
      </c>
      <c r="P22">
        <f>AVERAGE(E22,G22,I22)</f>
        <v>3.1988688501798535E-2</v>
      </c>
      <c r="Q22">
        <f t="shared" ref="Q22:Q28" si="4">AVERAGE(E22,G22,I22)</f>
        <v>3.1988688501798535E-2</v>
      </c>
    </row>
    <row r="23" spans="2:17">
      <c r="C23" t="s">
        <v>2</v>
      </c>
      <c r="D23">
        <f>AVERAGE(0.149,0.128)</f>
        <v>0.13850000000000001</v>
      </c>
      <c r="E23">
        <f>D23/$D$28</f>
        <v>6.9923185468094085E-3</v>
      </c>
      <c r="F23" t="s">
        <v>18</v>
      </c>
      <c r="H23" t="s">
        <v>18</v>
      </c>
      <c r="P23">
        <f>AVERAGE(E23,G23,I23)</f>
        <v>6.9923185468094085E-3</v>
      </c>
      <c r="Q23">
        <f t="shared" si="4"/>
        <v>6.9923185468094085E-3</v>
      </c>
    </row>
    <row r="24" spans="2:17">
      <c r="C24" t="s">
        <v>10</v>
      </c>
      <c r="D24">
        <f>AVERAGE(10.493,5.4429)</f>
        <v>7.9679500000000001</v>
      </c>
      <c r="E24">
        <f>D24/$D$28</f>
        <v>0.40227035787039728</v>
      </c>
      <c r="F24">
        <v>8.86</v>
      </c>
      <c r="G24">
        <f>F24/$F$28</f>
        <v>0.21504854368932039</v>
      </c>
      <c r="H24">
        <v>28.88</v>
      </c>
      <c r="I24">
        <f>H24/$H$28</f>
        <v>0.35258210230741055</v>
      </c>
      <c r="J24">
        <v>31.5</v>
      </c>
      <c r="K24">
        <f>J24/$J$28</f>
        <v>0.44491525423728817</v>
      </c>
      <c r="L24">
        <f>AVERAGE(4.74,7.28,15.62,11.6,5.2)</f>
        <v>8.8880000000000017</v>
      </c>
      <c r="M24">
        <f>L24/100</f>
        <v>8.8880000000000015E-2</v>
      </c>
      <c r="N24">
        <f>AVERAGE(10.7,15.62,31.11,24.4,17.74)</f>
        <v>19.913999999999998</v>
      </c>
      <c r="O24">
        <f>N24/100</f>
        <v>0.19913999999999998</v>
      </c>
      <c r="P24">
        <f>AVERAGE(E24,G24,I24,M24)</f>
        <v>0.26469525096678209</v>
      </c>
      <c r="Q24">
        <f>AVERAGE(E24,G24,I24,O24)</f>
        <v>0.2922602509667821</v>
      </c>
    </row>
    <row r="25" spans="2:17">
      <c r="C25" t="s">
        <v>4</v>
      </c>
      <c r="D25">
        <f>AVERAGE(1.736,1.522)</f>
        <v>1.629</v>
      </c>
      <c r="E25">
        <f>D25/$D$28</f>
        <v>8.2241782763556134E-2</v>
      </c>
      <c r="F25">
        <v>7.04</v>
      </c>
      <c r="G25">
        <f>F25/$F$28</f>
        <v>0.17087378640776701</v>
      </c>
      <c r="H25">
        <v>18.53</v>
      </c>
      <c r="I25">
        <f>H25/$H$28</f>
        <v>0.2262239042851911</v>
      </c>
      <c r="J25">
        <f>10.2+7.2</f>
        <v>17.399999999999999</v>
      </c>
      <c r="K25">
        <f>J25/$J$28</f>
        <v>0.24576271186440676</v>
      </c>
      <c r="P25">
        <f>AVERAGE(E25,G25,I25)</f>
        <v>0.15977982448550476</v>
      </c>
      <c r="Q25">
        <f t="shared" si="4"/>
        <v>0.15977982448550476</v>
      </c>
    </row>
    <row r="26" spans="2:17">
      <c r="C26" t="s">
        <v>5</v>
      </c>
      <c r="D26" t="s">
        <v>18</v>
      </c>
      <c r="H26" t="s">
        <v>18</v>
      </c>
    </row>
    <row r="27" spans="2:17">
      <c r="C27" t="s">
        <v>6</v>
      </c>
      <c r="D27" t="s">
        <v>18</v>
      </c>
      <c r="H27" t="s">
        <v>18</v>
      </c>
    </row>
    <row r="28" spans="2:17">
      <c r="D28">
        <f t="shared" ref="D28:K28" si="5">SUM(D21:D27)</f>
        <v>19.807449999999999</v>
      </c>
      <c r="E28">
        <f t="shared" si="5"/>
        <v>0.99999999999999989</v>
      </c>
      <c r="F28">
        <f t="shared" si="5"/>
        <v>41.199999999999996</v>
      </c>
      <c r="G28">
        <f t="shared" si="5"/>
        <v>1</v>
      </c>
      <c r="H28">
        <f t="shared" si="5"/>
        <v>81.91</v>
      </c>
      <c r="I28">
        <f t="shared" si="5"/>
        <v>1</v>
      </c>
      <c r="J28">
        <f t="shared" si="5"/>
        <v>70.8</v>
      </c>
      <c r="K28">
        <f t="shared" si="5"/>
        <v>1</v>
      </c>
      <c r="P28">
        <f>SUM(P21:P27)</f>
        <v>0.95671935820954512</v>
      </c>
      <c r="Q28">
        <f t="shared" si="4"/>
        <v>1</v>
      </c>
    </row>
    <row r="32" spans="2:17">
      <c r="B32" s="2"/>
      <c r="D32">
        <v>1</v>
      </c>
      <c r="E32" t="s">
        <v>151</v>
      </c>
      <c r="F32" t="s">
        <v>152</v>
      </c>
    </row>
    <row r="33" spans="2:5">
      <c r="B33" s="2"/>
      <c r="D33">
        <v>2</v>
      </c>
      <c r="E33" t="s">
        <v>165</v>
      </c>
    </row>
    <row r="34" spans="2:5">
      <c r="B34" s="2"/>
    </row>
    <row r="35" spans="2:5">
      <c r="B35" s="2"/>
    </row>
    <row r="36" spans="2:5">
      <c r="B36" s="2"/>
    </row>
    <row r="37" spans="2:5">
      <c r="B37" s="2"/>
    </row>
    <row r="38" spans="2:5">
      <c r="B38" s="2"/>
    </row>
    <row r="39" spans="2:5">
      <c r="B39" s="2"/>
    </row>
    <row r="40" spans="2:5">
      <c r="B40" s="1"/>
    </row>
    <row r="41" spans="2:5">
      <c r="B41" s="1"/>
    </row>
    <row r="42" spans="2:5">
      <c r="B42" s="1"/>
    </row>
    <row r="43" spans="2:5">
      <c r="B43" s="3"/>
    </row>
    <row r="44" spans="2:5">
      <c r="B44" s="1"/>
    </row>
    <row r="45" spans="2:5">
      <c r="B45" s="1"/>
    </row>
    <row r="46" spans="2:5">
      <c r="B46" s="1"/>
    </row>
    <row r="47" spans="2:5">
      <c r="B47" s="1"/>
    </row>
    <row r="48" spans="2:5">
      <c r="B48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ACEE-4180-40AA-90A3-9877406B1F04}">
  <dimension ref="B3:X47"/>
  <sheetViews>
    <sheetView topLeftCell="A7" zoomScaleNormal="100" workbookViewId="0">
      <selection activeCell="C25" sqref="C25"/>
    </sheetView>
  </sheetViews>
  <sheetFormatPr defaultRowHeight="15"/>
  <cols>
    <col min="3" max="3" width="23.140625" customWidth="1"/>
    <col min="4" max="4" width="10.140625" customWidth="1"/>
    <col min="5" max="5" width="10.42578125" customWidth="1"/>
    <col min="6" max="7" width="13.5703125" customWidth="1"/>
    <col min="8" max="9" width="10.85546875" customWidth="1"/>
    <col min="10" max="10" width="21.5703125" customWidth="1"/>
    <col min="11" max="11" width="12" bestFit="1" customWidth="1"/>
    <col min="12" max="12" width="12" customWidth="1"/>
    <col min="13" max="13" width="16" customWidth="1"/>
    <col min="14" max="14" width="15.28515625" customWidth="1"/>
  </cols>
  <sheetData>
    <row r="3" spans="3:24">
      <c r="W3" t="s">
        <v>71</v>
      </c>
      <c r="X3" t="s">
        <v>70</v>
      </c>
    </row>
    <row r="5" spans="3:24">
      <c r="C5" t="s">
        <v>13</v>
      </c>
      <c r="D5" t="s">
        <v>14</v>
      </c>
      <c r="E5" t="s">
        <v>15</v>
      </c>
      <c r="F5" t="s">
        <v>16</v>
      </c>
      <c r="H5" t="s">
        <v>33</v>
      </c>
      <c r="I5" t="s">
        <v>112</v>
      </c>
      <c r="J5" t="s">
        <v>34</v>
      </c>
      <c r="K5" t="s">
        <v>118</v>
      </c>
      <c r="N5" t="s">
        <v>175</v>
      </c>
    </row>
    <row r="6" spans="3:24">
      <c r="C6" t="s">
        <v>31</v>
      </c>
      <c r="D6" t="s">
        <v>102</v>
      </c>
      <c r="E6" t="s">
        <v>32</v>
      </c>
      <c r="F6">
        <v>1621.4</v>
      </c>
      <c r="G6">
        <f>F6</f>
        <v>1621.4</v>
      </c>
      <c r="H6">
        <v>100</v>
      </c>
      <c r="I6">
        <f>H6*T7/100</f>
        <v>0.41379310344827597</v>
      </c>
      <c r="J6">
        <f>I6*G6</f>
        <v>670.92413793103469</v>
      </c>
      <c r="K6">
        <f t="shared" ref="K6:K13" si="0">I6/$J$15*1000</f>
        <v>0.31558207271998318</v>
      </c>
      <c r="L6" s="62">
        <f>K6*G6*'Macromolecular Composition'!$F$10/1000</f>
        <v>7.2015663739552607E-2</v>
      </c>
      <c r="M6">
        <f>K6*$S$8/100*F6/1000</f>
        <v>8.9033150451223439E-2</v>
      </c>
      <c r="N6" s="11">
        <f>K6*F6*'Macromolecular Composition'!$F$10</f>
        <v>72.015663739552608</v>
      </c>
      <c r="R6" t="s">
        <v>114</v>
      </c>
      <c r="S6">
        <v>10.199999999999999</v>
      </c>
      <c r="T6">
        <f>S6/$S$8</f>
        <v>0.5862068965517242</v>
      </c>
    </row>
    <row r="7" spans="3:24">
      <c r="C7" t="s">
        <v>69</v>
      </c>
      <c r="D7" t="s">
        <v>105</v>
      </c>
      <c r="E7" t="s">
        <v>107</v>
      </c>
      <c r="F7">
        <v>1297.1248000000001</v>
      </c>
      <c r="G7">
        <f>F7</f>
        <v>1297.1248000000001</v>
      </c>
      <c r="H7" s="6">
        <v>82.2</v>
      </c>
      <c r="I7" s="6">
        <f t="shared" ref="I7:I13" si="1">H7*$T$6/100</f>
        <v>0.48186206896551731</v>
      </c>
      <c r="J7">
        <f t="shared" ref="J7:J13" si="2">I7*G7</f>
        <v>625.03523983448292</v>
      </c>
      <c r="K7">
        <f t="shared" si="0"/>
        <v>0.36749532368242033</v>
      </c>
      <c r="L7" s="62">
        <f>K7*G7*'Macromolecular Composition'!$F$10/1000</f>
        <v>6.7090040605928561E-2</v>
      </c>
      <c r="M7">
        <f t="shared" ref="M7:M13" si="3">K7*$S$8/100*F7/1000</f>
        <v>8.2943589892454067E-2</v>
      </c>
      <c r="N7" s="11">
        <f>K7*F7*'Macromolecular Composition'!$F$10</f>
        <v>67.090040605928564</v>
      </c>
      <c r="R7" t="s">
        <v>113</v>
      </c>
      <c r="S7">
        <v>7.2</v>
      </c>
      <c r="T7">
        <f>S7/$S$8</f>
        <v>0.41379310344827591</v>
      </c>
    </row>
    <row r="8" spans="3:24">
      <c r="C8" t="s">
        <v>104</v>
      </c>
      <c r="F8" s="8">
        <v>534.25990000000002</v>
      </c>
      <c r="G8" s="8">
        <f>F8-F18</f>
        <v>132.1146</v>
      </c>
      <c r="H8" s="6">
        <v>4.9000000000000004</v>
      </c>
      <c r="I8" s="6">
        <f t="shared" si="1"/>
        <v>2.8724137931034486E-2</v>
      </c>
      <c r="J8">
        <f t="shared" si="2"/>
        <v>3.7948779931034484</v>
      </c>
      <c r="K8">
        <f t="shared" si="0"/>
        <v>2.190665554797883E-2</v>
      </c>
      <c r="L8" s="62">
        <f>K8*G8*'Macromolecular Composition'!$F$10/1000</f>
        <v>4.0733466279321454E-4</v>
      </c>
      <c r="M8">
        <f t="shared" si="3"/>
        <v>2.0364694828171851E-3</v>
      </c>
      <c r="N8" s="11">
        <f>K8*F8*'Macromolecular Composition'!$F$10</f>
        <v>1.6472257889017305</v>
      </c>
      <c r="S8">
        <f>SUM(S6:S7)</f>
        <v>17.399999999999999</v>
      </c>
    </row>
    <row r="9" spans="3:24">
      <c r="C9" t="s">
        <v>106</v>
      </c>
      <c r="F9" s="8">
        <v>603.32500000000005</v>
      </c>
      <c r="G9" s="8">
        <f>F9-F19</f>
        <v>162.17900000000003</v>
      </c>
      <c r="H9" s="6">
        <v>6.2</v>
      </c>
      <c r="I9" s="6">
        <f t="shared" si="1"/>
        <v>3.6344827586206899E-2</v>
      </c>
      <c r="J9">
        <f t="shared" si="2"/>
        <v>5.8943677931034495</v>
      </c>
      <c r="K9">
        <f t="shared" si="0"/>
        <v>2.7718625387238516E-2</v>
      </c>
      <c r="L9" s="62">
        <f>K9*G9*'Macromolecular Composition'!$F$10/1000</f>
        <v>6.3268972592698766E-4</v>
      </c>
      <c r="M9">
        <f t="shared" si="3"/>
        <v>2.909861101145488E-3</v>
      </c>
      <c r="N9" s="11">
        <f>K9*F9*'Macromolecular Composition'!$F$10</f>
        <v>2.3536803710400225</v>
      </c>
    </row>
    <row r="10" spans="3:24">
      <c r="C10" t="s">
        <v>117</v>
      </c>
      <c r="F10">
        <v>534.25990000000002</v>
      </c>
      <c r="G10">
        <f>F10-F18</f>
        <v>132.1146</v>
      </c>
      <c r="H10" s="6">
        <v>3.4</v>
      </c>
      <c r="I10" s="6">
        <f t="shared" si="1"/>
        <v>1.9931034482758622E-2</v>
      </c>
      <c r="J10">
        <f t="shared" si="2"/>
        <v>2.6331806482758622</v>
      </c>
      <c r="K10">
        <f t="shared" si="0"/>
        <v>1.5200536502679185E-2</v>
      </c>
      <c r="L10" s="62">
        <f>K10*G10*'Macromolecular Composition'!$F$10/1000</f>
        <v>2.8264037826467947E-4</v>
      </c>
      <c r="M10">
        <f t="shared" si="3"/>
        <v>1.4130604574649854E-3</v>
      </c>
      <c r="N10" s="11">
        <f>K10*F10*'Macromolecular Composition'!$F$10</f>
        <v>1.1429729963807924</v>
      </c>
    </row>
    <row r="11" spans="3:24">
      <c r="C11" t="s">
        <v>103</v>
      </c>
      <c r="F11">
        <v>587.32579999999996</v>
      </c>
      <c r="G11">
        <f>F11-F19</f>
        <v>146.17979999999994</v>
      </c>
      <c r="H11" s="6">
        <v>0.8</v>
      </c>
      <c r="I11" s="6">
        <f t="shared" si="1"/>
        <v>4.6896551724137934E-3</v>
      </c>
      <c r="J11">
        <f>I11*G11</f>
        <v>0.68553285517241358</v>
      </c>
      <c r="K11">
        <f t="shared" si="0"/>
        <v>3.5765968241598086E-3</v>
      </c>
      <c r="L11" s="62">
        <f>K11*G11*'Macromolecular Composition'!$F$10/1000</f>
        <v>7.3583734418550134E-5</v>
      </c>
      <c r="M11">
        <f t="shared" si="3"/>
        <v>3.6550920083871862E-4</v>
      </c>
      <c r="N11" s="11">
        <f>K11*F11*'Macromolecular Composition'!$F$10</f>
        <v>0.29564704346539333</v>
      </c>
    </row>
    <row r="12" spans="3:24">
      <c r="C12" t="s">
        <v>121</v>
      </c>
      <c r="F12">
        <v>228.09389999999999</v>
      </c>
      <c r="G12">
        <f>F12-F20</f>
        <v>132.1139</v>
      </c>
      <c r="H12" s="6">
        <v>1.3</v>
      </c>
      <c r="I12" s="6">
        <f t="shared" si="1"/>
        <v>7.6206896551724145E-3</v>
      </c>
      <c r="J12">
        <f t="shared" si="2"/>
        <v>1.0067990310344828</v>
      </c>
      <c r="K12">
        <f t="shared" si="0"/>
        <v>5.8119698392596897E-3</v>
      </c>
      <c r="L12" s="62">
        <f>K12*G12*'Macromolecular Composition'!$F$10/1000</f>
        <v>1.0806780733195152E-4</v>
      </c>
      <c r="M12">
        <f t="shared" si="3"/>
        <v>2.3066742691352609E-4</v>
      </c>
      <c r="N12" s="11">
        <f>K12*F12*'Macromolecular Composition'!$F$10</f>
        <v>0.18657845721603414</v>
      </c>
    </row>
    <row r="13" spans="3:24">
      <c r="C13" t="s">
        <v>116</v>
      </c>
      <c r="D13" t="s">
        <v>1111</v>
      </c>
      <c r="F13">
        <v>577.26149999999996</v>
      </c>
      <c r="G13">
        <f>F13-F18</f>
        <v>175.11619999999994</v>
      </c>
      <c r="H13" s="6">
        <v>1.2</v>
      </c>
      <c r="I13" s="6">
        <f t="shared" si="1"/>
        <v>7.0344827586206905E-3</v>
      </c>
      <c r="J13">
        <f t="shared" si="2"/>
        <v>1.231851889655172</v>
      </c>
      <c r="K13">
        <f t="shared" si="0"/>
        <v>5.3648952362397133E-3</v>
      </c>
      <c r="L13" s="62">
        <f>K13*G13*'Macromolecular Composition'!$F$10/1000</f>
        <v>1.3222453396282224E-4</v>
      </c>
      <c r="M13">
        <f t="shared" si="3"/>
        <v>5.3886886002613881E-4</v>
      </c>
      <c r="N13" s="11">
        <f>K13*F13*'Macromolecular Composition'!$F$10</f>
        <v>0.43587134035674452</v>
      </c>
    </row>
    <row r="14" spans="3:24">
      <c r="N14">
        <f>SUM(N6:N13)</f>
        <v>145.16768034284186</v>
      </c>
    </row>
    <row r="15" spans="3:24">
      <c r="C15" t="s">
        <v>17</v>
      </c>
      <c r="H15">
        <f>SUM(H6:H13)</f>
        <v>200</v>
      </c>
      <c r="I15">
        <f>SUM(I6:I13)</f>
        <v>1.0000000000000002</v>
      </c>
      <c r="J15">
        <f>SUM(J6:J13)</f>
        <v>1311.2059879758624</v>
      </c>
      <c r="K15">
        <f>SUM(K6:K14)</f>
        <v>0.76265667573995921</v>
      </c>
      <c r="L15">
        <f>SUM(L6:L14)</f>
        <v>0.14074224518817935</v>
      </c>
      <c r="M15">
        <f>SUM(M6:M14)</f>
        <v>0.17947117687288353</v>
      </c>
      <c r="N15">
        <f>N14/1000</f>
        <v>0.14516768034284186</v>
      </c>
    </row>
    <row r="17" spans="3:19">
      <c r="P17">
        <f>L15-L18-L19</f>
        <v>0.13639532068340091</v>
      </c>
    </row>
    <row r="18" spans="3:19">
      <c r="C18" t="s">
        <v>108</v>
      </c>
      <c r="F18">
        <v>402.14530000000002</v>
      </c>
      <c r="K18">
        <f>SUM(K8,K10,K13)</f>
        <v>4.2472087286897733E-2</v>
      </c>
      <c r="L18">
        <f>K18*F18*'Macromolecular Composition'!$F$10/1000</f>
        <v>2.4038705506185514E-3</v>
      </c>
      <c r="M18">
        <f>SUM(M8:M9,M11,M13,M14)</f>
        <v>5.8507086448275304E-3</v>
      </c>
      <c r="N18">
        <f>K18*F18*'Macromolecular Composition'!$F$10</f>
        <v>2.4038705506185516</v>
      </c>
    </row>
    <row r="19" spans="3:19">
      <c r="C19" t="s">
        <v>109</v>
      </c>
      <c r="F19">
        <v>441.14600000000002</v>
      </c>
      <c r="K19">
        <f>SUM(K9,K11)</f>
        <v>3.1295222211398327E-2</v>
      </c>
      <c r="L19">
        <f>K19*F19*'Macromolecular Composition'!$F$10/1000</f>
        <v>1.9430539541598782E-3</v>
      </c>
      <c r="M19">
        <f>SUM(M10,M12)</f>
        <v>1.6437278843785116E-3</v>
      </c>
      <c r="N19">
        <f>K19*F19*'Macromolecular Composition'!$F$10</f>
        <v>1.9430539541598781</v>
      </c>
    </row>
    <row r="20" spans="3:19">
      <c r="C20" t="s">
        <v>1192</v>
      </c>
      <c r="F20">
        <v>95.98</v>
      </c>
      <c r="K20">
        <f>K13</f>
        <v>5.3648952362397133E-3</v>
      </c>
      <c r="M20">
        <f>SUM(M8:M11,M13)</f>
        <v>7.2637691022925163E-3</v>
      </c>
      <c r="N20">
        <f>K20*F20*'Macromolecular Composition'!$F$10</f>
        <v>7.24713691237686E-2</v>
      </c>
    </row>
    <row r="21" spans="3:19">
      <c r="C21" t="s">
        <v>110</v>
      </c>
    </row>
    <row r="22" spans="3:19">
      <c r="S22">
        <f>0.5/(1.7*0.2)</f>
        <v>1.4705882352941175</v>
      </c>
    </row>
    <row r="23" spans="3:19">
      <c r="S23">
        <f>S22*149*5.7</f>
        <v>1248.9705882352941</v>
      </c>
    </row>
    <row r="25" spans="3:19">
      <c r="C25" t="s">
        <v>165</v>
      </c>
    </row>
    <row r="30" spans="3:19">
      <c r="C30" s="2"/>
    </row>
    <row r="31" spans="3:19">
      <c r="C31" s="1"/>
    </row>
    <row r="35" spans="2:15">
      <c r="B35" t="s">
        <v>114</v>
      </c>
    </row>
    <row r="36" spans="2:15">
      <c r="C36" t="s">
        <v>13</v>
      </c>
      <c r="D36" t="s">
        <v>16</v>
      </c>
      <c r="E36" t="s">
        <v>33</v>
      </c>
      <c r="F36" t="s">
        <v>112</v>
      </c>
      <c r="H36" t="s">
        <v>119</v>
      </c>
      <c r="J36" t="s">
        <v>120</v>
      </c>
    </row>
    <row r="37" spans="2:15">
      <c r="C37" t="s">
        <v>69</v>
      </c>
      <c r="D37">
        <v>1333.15</v>
      </c>
      <c r="E37" s="6">
        <v>82.2</v>
      </c>
      <c r="F37">
        <f>E37/$E$47</f>
        <v>0.82199999999999995</v>
      </c>
      <c r="H37">
        <f>D37*F37</f>
        <v>1095.8493000000001</v>
      </c>
      <c r="J37">
        <f>F37/$H$47*1000</f>
        <v>0.68680825114210908</v>
      </c>
    </row>
    <row r="38" spans="2:15">
      <c r="C38" t="s">
        <v>104</v>
      </c>
      <c r="D38" s="8">
        <v>536.2758</v>
      </c>
      <c r="E38" s="6">
        <v>4.9000000000000004</v>
      </c>
      <c r="F38">
        <f t="shared" ref="F38:F43" si="4">E38/$E$47</f>
        <v>4.8999999999999995E-2</v>
      </c>
      <c r="H38">
        <f t="shared" ref="H38:H43" si="5">D38*F38</f>
        <v>26.277514199999999</v>
      </c>
      <c r="J38">
        <f t="shared" ref="J38:J43" si="6">F38/$H$47*1000</f>
        <v>4.0941124459809422E-2</v>
      </c>
    </row>
    <row r="39" spans="2:15">
      <c r="C39" t="s">
        <v>106</v>
      </c>
      <c r="D39" s="8">
        <v>605.34109999999998</v>
      </c>
      <c r="E39" s="6">
        <v>6.2</v>
      </c>
      <c r="F39">
        <f t="shared" si="4"/>
        <v>6.1999999999999993E-2</v>
      </c>
      <c r="H39">
        <f t="shared" si="5"/>
        <v>37.531148199999997</v>
      </c>
      <c r="J39">
        <f t="shared" si="6"/>
        <v>5.1803055438942529E-2</v>
      </c>
    </row>
    <row r="40" spans="2:15">
      <c r="C40" t="s">
        <v>117</v>
      </c>
      <c r="D40">
        <v>536.2758</v>
      </c>
      <c r="E40" s="6">
        <v>3.4</v>
      </c>
      <c r="F40">
        <f t="shared" si="4"/>
        <v>3.3999999999999996E-2</v>
      </c>
      <c r="H40">
        <f t="shared" si="5"/>
        <v>18.233377199999996</v>
      </c>
      <c r="J40">
        <f t="shared" si="6"/>
        <v>2.8408127176194294E-2</v>
      </c>
      <c r="O40" s="7"/>
    </row>
    <row r="41" spans="2:15">
      <c r="C41" t="s">
        <v>103</v>
      </c>
      <c r="D41">
        <v>589.34169999999995</v>
      </c>
      <c r="E41" s="6">
        <v>0.8</v>
      </c>
      <c r="F41">
        <f t="shared" si="4"/>
        <v>8.0000000000000002E-3</v>
      </c>
      <c r="H41">
        <f t="shared" si="5"/>
        <v>4.7147335999999997</v>
      </c>
      <c r="J41">
        <f t="shared" si="6"/>
        <v>6.6842652179280697E-3</v>
      </c>
    </row>
    <row r="42" spans="2:15">
      <c r="C42" t="s">
        <v>115</v>
      </c>
      <c r="D42">
        <v>559.31569999999999</v>
      </c>
      <c r="E42" s="6">
        <v>1.3</v>
      </c>
      <c r="F42">
        <f t="shared" si="4"/>
        <v>1.2999999999999999E-2</v>
      </c>
      <c r="H42">
        <f t="shared" si="5"/>
        <v>7.2711040999999996</v>
      </c>
      <c r="J42">
        <f t="shared" si="6"/>
        <v>1.0861930979133112E-2</v>
      </c>
    </row>
    <row r="43" spans="2:15">
      <c r="C43" t="s">
        <v>116</v>
      </c>
      <c r="D43">
        <v>580.28530000000001</v>
      </c>
      <c r="E43" s="6">
        <v>1.2</v>
      </c>
      <c r="F43">
        <f t="shared" si="4"/>
        <v>1.1999999999999999E-2</v>
      </c>
      <c r="H43">
        <f t="shared" si="5"/>
        <v>6.9634235999999996</v>
      </c>
      <c r="J43">
        <f t="shared" si="6"/>
        <v>1.0026397826892103E-2</v>
      </c>
      <c r="N43" s="7"/>
    </row>
    <row r="44" spans="2:15">
      <c r="E44" s="4"/>
    </row>
    <row r="45" spans="2:15">
      <c r="C45" s="4"/>
      <c r="D45" s="4"/>
      <c r="E45" s="4"/>
      <c r="H45" s="4"/>
      <c r="I45" s="4"/>
    </row>
    <row r="46" spans="2:15">
      <c r="E46" s="4"/>
    </row>
    <row r="47" spans="2:15">
      <c r="C47" t="s">
        <v>17</v>
      </c>
      <c r="E47">
        <f>SUM(E37:E46)</f>
        <v>100.00000000000001</v>
      </c>
      <c r="F47">
        <f>SUM(F37:F46)</f>
        <v>1</v>
      </c>
      <c r="H47">
        <f>SUM(H37:H46)</f>
        <v>1196.8406009</v>
      </c>
      <c r="J47">
        <f>SUM(J37:J46)</f>
        <v>0.83553315224100866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3AB5-5B53-4E1B-9FC6-B80545E42519}">
  <dimension ref="C5:L21"/>
  <sheetViews>
    <sheetView workbookViewId="0">
      <selection activeCell="N24" sqref="N24"/>
    </sheetView>
  </sheetViews>
  <sheetFormatPr defaultRowHeight="15"/>
  <cols>
    <col min="5" max="5" width="13" bestFit="1" customWidth="1"/>
    <col min="7" max="7" width="6.140625" bestFit="1" customWidth="1"/>
    <col min="8" max="8" width="12" bestFit="1" customWidth="1"/>
  </cols>
  <sheetData>
    <row r="5" spans="3:12">
      <c r="C5" t="s">
        <v>1113</v>
      </c>
      <c r="D5" t="s">
        <v>16</v>
      </c>
      <c r="E5" t="s">
        <v>33</v>
      </c>
      <c r="F5" t="s">
        <v>1114</v>
      </c>
      <c r="G5" t="s">
        <v>1115</v>
      </c>
      <c r="H5" t="s">
        <v>179</v>
      </c>
      <c r="I5" t="s">
        <v>1124</v>
      </c>
      <c r="J5" t="s">
        <v>180</v>
      </c>
      <c r="K5" t="s">
        <v>1125</v>
      </c>
      <c r="L5" t="s">
        <v>1126</v>
      </c>
    </row>
    <row r="6" spans="3:12">
      <c r="C6" s="6" t="s">
        <v>1116</v>
      </c>
      <c r="D6" s="6">
        <v>89.07</v>
      </c>
      <c r="E6" s="6"/>
      <c r="F6" s="6">
        <v>4.01</v>
      </c>
      <c r="G6" s="6">
        <v>5.78</v>
      </c>
      <c r="H6" s="6">
        <f>AVERAGE(Table419[[#This Row],[g/g 30 days]:[g/g 180 days]])</f>
        <v>4.8949999999999996</v>
      </c>
      <c r="I6">
        <f>Table419[[#This Row],[g/gDW]]/$H$12*'Macromolecular Composition'!$F$11</f>
        <v>5.1286579788042394E-2</v>
      </c>
      <c r="J6">
        <f>Table419[[#This Row],[gM/gDW]]/$I$12</f>
        <v>0.53761669412410751</v>
      </c>
      <c r="K6" s="58">
        <f>Table419[[#This Row],[gM/gMM]]/Table419[[#This Row],[Mol.Weight]]*1000</f>
        <v>6.035889683665741</v>
      </c>
      <c r="L6" s="6">
        <f>Table419[[#This Row],[mmol M/gMM]]*Table419[[#This Row],[Mol.Weight]]*'[1]Macromolecular Composition'!$F$10/1000</f>
        <v>4.6737002912111497E-2</v>
      </c>
    </row>
    <row r="7" spans="3:12">
      <c r="C7" s="6" t="s">
        <v>1117</v>
      </c>
      <c r="D7" s="6">
        <v>116.07</v>
      </c>
      <c r="F7" s="6">
        <v>0.7</v>
      </c>
      <c r="G7" s="6">
        <v>0.56999999999999995</v>
      </c>
      <c r="H7" s="6">
        <f>AVERAGE(Table419[[#This Row],[g/g 30 days]:[g/g 180 days]])</f>
        <v>0.63500000000000001</v>
      </c>
      <c r="I7">
        <f>Table419[[#This Row],[g/gDW]]/$H$12*'Macromolecular Composition'!$F$11</f>
        <v>6.653110963310914E-3</v>
      </c>
      <c r="J7">
        <f>Table419[[#This Row],[gM/gDW]]/$I$12</f>
        <v>6.9741900054914874E-2</v>
      </c>
      <c r="K7" s="58">
        <f>Table419[[#This Row],[gM/gMM]]/Table419[[#This Row],[Mol.Weight]]*1000</f>
        <v>0.60086068798927272</v>
      </c>
      <c r="L7" s="6">
        <f>Table419[[#This Row],[mmol M/gMM]]*Table419[[#This Row],[Mol.Weight]]*'[1]Macromolecular Composition'!$F$10/1000</f>
        <v>6.0629207046355065E-3</v>
      </c>
    </row>
    <row r="8" spans="3:12">
      <c r="C8" s="6" t="s">
        <v>1118</v>
      </c>
      <c r="D8" s="6">
        <v>45.02</v>
      </c>
      <c r="E8" s="6"/>
      <c r="F8" s="6">
        <v>0.68</v>
      </c>
      <c r="G8" s="6">
        <v>0.65</v>
      </c>
      <c r="H8" s="6">
        <f>AVERAGE(Table419[[#This Row],[g/g 30 days]:[g/g 180 days]])</f>
        <v>0.66500000000000004</v>
      </c>
      <c r="I8">
        <f>Table419[[#This Row],[g/gDW]]/$H$12*'Macromolecular Composition'!$F$11</f>
        <v>6.9674311663019822E-3</v>
      </c>
      <c r="J8">
        <f>Table419[[#This Row],[gM/gDW]]/$I$12</f>
        <v>7.3036792970895117E-2</v>
      </c>
      <c r="K8" s="58">
        <f>Table419[[#This Row],[gM/gMM]]/Table419[[#This Row],[Mol.Weight]]*1000</f>
        <v>1.6223188132140185</v>
      </c>
      <c r="L8" s="6">
        <f>Table419[[#This Row],[mmol M/gMM]]*Table419[[#This Row],[Mol.Weight]]*'[1]Macromolecular Composition'!$F$10/1000</f>
        <v>6.3493579032797044E-3</v>
      </c>
    </row>
    <row r="9" spans="3:12">
      <c r="C9" s="6" t="s">
        <v>1119</v>
      </c>
      <c r="D9" s="6">
        <v>59.04</v>
      </c>
      <c r="F9">
        <v>0.6</v>
      </c>
      <c r="G9">
        <v>0.78</v>
      </c>
      <c r="H9" s="6">
        <f>AVERAGE(Table419[[#This Row],[g/g 30 days]:[g/g 180 days]])</f>
        <v>0.69</v>
      </c>
      <c r="I9">
        <f>Table419[[#This Row],[g/gDW]]/$H$12*'Macromolecular Composition'!$F$11</f>
        <v>7.2293646687945374E-3</v>
      </c>
      <c r="J9">
        <f>Table419[[#This Row],[gM/gDW]]/$I$12</f>
        <v>7.57825370675453E-2</v>
      </c>
      <c r="K9" s="58">
        <f>Table419[[#This Row],[gM/gMM]]/Table419[[#This Row],[Mol.Weight]]*1000</f>
        <v>1.2835795573771223</v>
      </c>
      <c r="L9" s="6">
        <f>Table419[[#This Row],[mmol M/gMM]]*Table419[[#This Row],[Mol.Weight]]*'[1]Macromolecular Composition'!$F$10/1000</f>
        <v>6.5880555688165345E-3</v>
      </c>
    </row>
    <row r="10" spans="3:12">
      <c r="C10" t="s">
        <v>1120</v>
      </c>
      <c r="D10">
        <v>73.069999999999993</v>
      </c>
      <c r="F10">
        <v>0.79</v>
      </c>
      <c r="G10">
        <v>2.46</v>
      </c>
      <c r="H10" s="6">
        <f>AVERAGE(Table419[[#This Row],[g/g 30 days]:[g/g 180 days]])</f>
        <v>1.625</v>
      </c>
      <c r="I10">
        <f>Table419[[#This Row],[g/gDW]]/$H$12*'Macromolecular Composition'!$F$11</f>
        <v>1.7025677662016118E-2</v>
      </c>
      <c r="J10">
        <f>Table419[[#This Row],[gM/gDW]]/$I$12</f>
        <v>0.17847336628226246</v>
      </c>
      <c r="K10" s="58">
        <f>Table419[[#This Row],[gM/gMM]]/Table419[[#This Row],[Mol.Weight]]*1000</f>
        <v>2.4424985121426368</v>
      </c>
      <c r="L10" s="6">
        <f>Table419[[#This Row],[mmol M/gMM]]*Table419[[#This Row],[Mol.Weight]]*'[1]Macromolecular Composition'!$F$10/1000</f>
        <v>1.5515348259894009E-2</v>
      </c>
    </row>
    <row r="11" spans="3:12">
      <c r="C11" s="6" t="s">
        <v>1121</v>
      </c>
      <c r="D11" s="6">
        <v>87.1</v>
      </c>
      <c r="F11">
        <v>0.6</v>
      </c>
      <c r="G11">
        <v>0.59</v>
      </c>
      <c r="H11" s="6">
        <f>AVERAGE(Table419[[#This Row],[g/g 30 days]:[g/g 180 days]])</f>
        <v>0.59499999999999997</v>
      </c>
      <c r="I11">
        <f>Table419[[#This Row],[g/gDW]]/$H$12*'Macromolecular Composition'!$F$11</f>
        <v>6.2340173593228247E-3</v>
      </c>
      <c r="J11">
        <f>Table419[[#This Row],[gM/gDW]]/$I$12</f>
        <v>6.5348709500274563E-2</v>
      </c>
      <c r="K11" s="58">
        <f>Table419[[#This Row],[gM/gMM]]/Table419[[#This Row],[Mol.Weight]]*1000</f>
        <v>0.75027221010648182</v>
      </c>
      <c r="L11" s="6">
        <f>Table419[[#This Row],[mmol M/gMM]]*Table419[[#This Row],[Mol.Weight]]*'[1]Macromolecular Composition'!$F$10/1000</f>
        <v>5.681004439776577E-3</v>
      </c>
    </row>
    <row r="12" spans="3:12">
      <c r="C12" s="6" t="s">
        <v>17</v>
      </c>
      <c r="D12" s="6"/>
      <c r="F12">
        <f t="shared" ref="F12:L12" si="0">SUM(F6:F11)</f>
        <v>7.379999999999999</v>
      </c>
      <c r="G12">
        <f t="shared" si="0"/>
        <v>10.830000000000002</v>
      </c>
      <c r="H12">
        <f t="shared" si="0"/>
        <v>9.1050000000000004</v>
      </c>
      <c r="I12">
        <f t="shared" si="0"/>
        <v>9.5396181607788788E-2</v>
      </c>
      <c r="J12">
        <f t="shared" si="0"/>
        <v>0.99999999999999989</v>
      </c>
      <c r="K12" s="59">
        <f t="shared" si="0"/>
        <v>12.735419464495273</v>
      </c>
      <c r="L12">
        <f t="shared" si="0"/>
        <v>8.6933689788513832E-2</v>
      </c>
    </row>
    <row r="21" spans="3:3">
      <c r="C21" t="s">
        <v>1122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1A99-6869-4CA8-8AFF-CDE465AFCC99}">
  <dimension ref="B5:Z54"/>
  <sheetViews>
    <sheetView zoomScaleNormal="100" workbookViewId="0">
      <selection activeCell="L29" sqref="L29"/>
    </sheetView>
  </sheetViews>
  <sheetFormatPr defaultRowHeight="15"/>
  <cols>
    <col min="2" max="2" width="19.5703125" bestFit="1" customWidth="1"/>
    <col min="3" max="3" width="11.42578125" bestFit="1" customWidth="1"/>
    <col min="4" max="4" width="16.7109375" bestFit="1" customWidth="1"/>
    <col min="5" max="5" width="14" bestFit="1" customWidth="1"/>
  </cols>
  <sheetData>
    <row r="5" spans="2:26">
      <c r="H5" t="s">
        <v>11</v>
      </c>
      <c r="I5" t="s">
        <v>12</v>
      </c>
      <c r="K5" t="s">
        <v>184</v>
      </c>
      <c r="R5" s="10">
        <f>SUM(Q7:Q9)</f>
        <v>17.234733973573359</v>
      </c>
    </row>
    <row r="6" spans="2:26">
      <c r="B6" t="s">
        <v>13</v>
      </c>
      <c r="C6" t="s">
        <v>16</v>
      </c>
      <c r="D6" t="s">
        <v>125</v>
      </c>
      <c r="E6" t="s">
        <v>19</v>
      </c>
      <c r="F6" t="s">
        <v>67</v>
      </c>
      <c r="G6" t="s">
        <v>176</v>
      </c>
      <c r="H6" t="s">
        <v>179</v>
      </c>
      <c r="I6" t="s">
        <v>178</v>
      </c>
      <c r="J6" t="s">
        <v>175</v>
      </c>
      <c r="K6" t="s">
        <v>185</v>
      </c>
      <c r="L6" t="s">
        <v>179</v>
      </c>
      <c r="M6" t="s">
        <v>179</v>
      </c>
      <c r="N6" t="s">
        <v>180</v>
      </c>
      <c r="O6" s="11" t="s">
        <v>186</v>
      </c>
    </row>
    <row r="7" spans="2:26">
      <c r="B7" t="s">
        <v>20</v>
      </c>
      <c r="C7">
        <v>894.5</v>
      </c>
      <c r="D7">
        <v>41.2</v>
      </c>
      <c r="G7">
        <v>0.55000000000000004</v>
      </c>
      <c r="H7">
        <f>G7/100</f>
        <v>5.5000000000000005E-3</v>
      </c>
      <c r="I7">
        <v>4</v>
      </c>
      <c r="J7">
        <f t="shared" ref="J7:J13" si="0">I7/100</f>
        <v>0.04</v>
      </c>
      <c r="K7">
        <v>3.298</v>
      </c>
      <c r="L7">
        <f>K7/1000</f>
        <v>3.2980000000000002E-3</v>
      </c>
      <c r="M7">
        <f t="shared" ref="M7:M13" si="1">AVERAGE(H7,J7,L7)</f>
        <v>1.6265999999999999E-2</v>
      </c>
      <c r="N7">
        <f t="shared" ref="N7:N13" si="2">M7/$M$15</f>
        <v>0.35018927501390407</v>
      </c>
      <c r="O7" s="13">
        <f>N7/C7*1000</f>
        <v>0.39149164339173176</v>
      </c>
      <c r="P7">
        <f>N7*'Macromolecular Composition'!$F$12</f>
        <v>1.4327925115718301E-2</v>
      </c>
      <c r="Q7" s="10">
        <f>P7*1000</f>
        <v>14.327925115718301</v>
      </c>
      <c r="R7" s="10">
        <f>Q7/$R$5</f>
        <v>0.83134007973014423</v>
      </c>
      <c r="T7">
        <f>R7*0.75</f>
        <v>0.62350505979760817</v>
      </c>
      <c r="X7">
        <f>P7</f>
        <v>1.4327925115718301E-2</v>
      </c>
      <c r="Y7">
        <f>X7/$X$15</f>
        <v>0.44264637182912064</v>
      </c>
      <c r="Z7">
        <f>Y7/C7*1000</f>
        <v>0.49485340618124157</v>
      </c>
    </row>
    <row r="8" spans="2:26">
      <c r="B8" t="s">
        <v>187</v>
      </c>
      <c r="C8">
        <v>608.92999999999995</v>
      </c>
      <c r="D8">
        <v>2.7</v>
      </c>
      <c r="G8">
        <v>0.03</v>
      </c>
      <c r="H8">
        <f>G8/100</f>
        <v>2.9999999999999997E-4</v>
      </c>
      <c r="I8">
        <v>0.3</v>
      </c>
      <c r="J8">
        <f t="shared" si="0"/>
        <v>3.0000000000000001E-3</v>
      </c>
      <c r="M8">
        <f t="shared" si="1"/>
        <v>1.65E-3</v>
      </c>
      <c r="N8">
        <f t="shared" si="2"/>
        <v>3.5522704031288682E-2</v>
      </c>
      <c r="O8" s="13">
        <f t="shared" ref="O8:O13" si="3">N8/C8*1000</f>
        <v>5.8336268587996461E-2</v>
      </c>
      <c r="P8">
        <f>N8*'Macromolecular Composition'!$F$12</f>
        <v>1.4534044289275297E-3</v>
      </c>
      <c r="Q8" s="10">
        <f t="shared" ref="Q8:Q13" si="4">P8*1000</f>
        <v>1.4534044289275296</v>
      </c>
      <c r="R8" s="10">
        <f>Q8/$R$5</f>
        <v>8.4329960134927939E-2</v>
      </c>
      <c r="T8">
        <f>R8*0.75</f>
        <v>6.3247470101195954E-2</v>
      </c>
      <c r="X8">
        <f t="shared" ref="X8:X13" si="5">P8</f>
        <v>1.4534044289275297E-3</v>
      </c>
      <c r="Y8">
        <f t="shared" ref="Y8:Y13" si="6">X8/$X$15</f>
        <v>4.4901420971231343E-2</v>
      </c>
      <c r="Z8">
        <f t="shared" ref="Z8:Z13" si="7">Y8/C8*1000</f>
        <v>7.37382309481079E-2</v>
      </c>
    </row>
    <row r="9" spans="2:26">
      <c r="B9" t="s">
        <v>188</v>
      </c>
      <c r="C9">
        <v>606.91</v>
      </c>
      <c r="D9">
        <v>2.7</v>
      </c>
      <c r="G9">
        <v>0.03</v>
      </c>
      <c r="H9">
        <f>G9/100</f>
        <v>2.9999999999999997E-4</v>
      </c>
      <c r="I9">
        <v>0.3</v>
      </c>
      <c r="J9">
        <f t="shared" si="0"/>
        <v>3.0000000000000001E-3</v>
      </c>
      <c r="M9">
        <f t="shared" si="1"/>
        <v>1.65E-3</v>
      </c>
      <c r="N9">
        <f t="shared" si="2"/>
        <v>3.5522704031288682E-2</v>
      </c>
      <c r="O9" s="13">
        <f t="shared" si="3"/>
        <v>5.8530431252226338E-2</v>
      </c>
      <c r="P9">
        <f>N9*'Macromolecular Composition'!$F$12</f>
        <v>1.4534044289275297E-3</v>
      </c>
      <c r="Q9" s="10">
        <f t="shared" si="4"/>
        <v>1.4534044289275296</v>
      </c>
      <c r="R9" s="10">
        <f>Q9/$R$5</f>
        <v>8.4329960134927939E-2</v>
      </c>
      <c r="T9">
        <f>R9*0.75</f>
        <v>6.3247470101195954E-2</v>
      </c>
      <c r="X9">
        <f t="shared" si="5"/>
        <v>1.4534044289275297E-3</v>
      </c>
      <c r="Y9">
        <f t="shared" si="6"/>
        <v>4.4901420971231343E-2</v>
      </c>
      <c r="Z9">
        <f t="shared" si="7"/>
        <v>7.3983656507935855E-2</v>
      </c>
    </row>
    <row r="10" spans="2:26">
      <c r="B10" t="s">
        <v>122</v>
      </c>
      <c r="C10">
        <v>658.91</v>
      </c>
      <c r="D10">
        <v>10.4</v>
      </c>
      <c r="H10">
        <f>0.069/100</f>
        <v>6.9000000000000008E-4</v>
      </c>
      <c r="I10">
        <v>2.75</v>
      </c>
      <c r="J10">
        <f t="shared" si="0"/>
        <v>2.75E-2</v>
      </c>
      <c r="K10">
        <v>0.91600000000000004</v>
      </c>
      <c r="L10">
        <f>K10/1000</f>
        <v>9.1600000000000004E-4</v>
      </c>
      <c r="M10">
        <f>AVERAGE(H10,J10,L10)</f>
        <v>9.7020000000000006E-3</v>
      </c>
      <c r="N10">
        <f t="shared" si="2"/>
        <v>0.20887349970397748</v>
      </c>
      <c r="O10" s="13">
        <f t="shared" si="3"/>
        <v>0.31699852742252732</v>
      </c>
      <c r="P10">
        <f>N10*'Macromolecular Composition'!$F$12</f>
        <v>8.546018042093876E-3</v>
      </c>
      <c r="Q10" s="10">
        <f t="shared" si="4"/>
        <v>8.5460180420938752</v>
      </c>
      <c r="R10" s="57"/>
    </row>
    <row r="11" spans="2:26">
      <c r="B11" t="s">
        <v>1127</v>
      </c>
      <c r="C11">
        <v>566.86</v>
      </c>
      <c r="I11">
        <f>2.82/2</f>
        <v>1.41</v>
      </c>
      <c r="J11">
        <f t="shared" si="0"/>
        <v>1.41E-2</v>
      </c>
      <c r="K11">
        <v>0.26700000000000002</v>
      </c>
      <c r="L11">
        <f>K11/1000</f>
        <v>2.6700000000000004E-4</v>
      </c>
      <c r="M11">
        <f>AVERAGE(H11,J11,L11)</f>
        <v>7.1834999999999998E-3</v>
      </c>
      <c r="N11">
        <f t="shared" si="2"/>
        <v>0.15465293600531047</v>
      </c>
      <c r="O11" s="13">
        <f t="shared" si="3"/>
        <v>0.27282386480843679</v>
      </c>
      <c r="P11">
        <f>N11*'Macromolecular Composition'!$F$12</f>
        <v>6.327594372849037E-3</v>
      </c>
      <c r="Q11" s="10">
        <f t="shared" si="4"/>
        <v>6.3275943728490374</v>
      </c>
      <c r="V11">
        <f>0.62+0.06+0.06</f>
        <v>0.74</v>
      </c>
      <c r="X11">
        <f t="shared" si="5"/>
        <v>6.327594372849037E-3</v>
      </c>
      <c r="Y11">
        <f t="shared" si="6"/>
        <v>0.19548445911929721</v>
      </c>
      <c r="Z11">
        <f t="shared" si="7"/>
        <v>0.34485491853243694</v>
      </c>
    </row>
    <row r="12" spans="2:26">
      <c r="B12" t="s">
        <v>123</v>
      </c>
      <c r="C12">
        <v>582.86</v>
      </c>
      <c r="H12">
        <f>0.066/100</f>
        <v>6.6E-4</v>
      </c>
      <c r="I12">
        <f>2.82/2</f>
        <v>1.41</v>
      </c>
      <c r="J12">
        <f t="shared" si="0"/>
        <v>1.41E-2</v>
      </c>
      <c r="K12">
        <f>1.638</f>
        <v>1.6379999999999999</v>
      </c>
      <c r="L12">
        <f>K12/1000</f>
        <v>1.6379999999999999E-3</v>
      </c>
      <c r="M12">
        <f t="shared" si="1"/>
        <v>5.4659999999999995E-3</v>
      </c>
      <c r="N12">
        <f t="shared" si="2"/>
        <v>0.11767703044546905</v>
      </c>
      <c r="O12" s="13">
        <f t="shared" si="3"/>
        <v>0.20189587627469555</v>
      </c>
      <c r="P12">
        <f>N12*'Macromolecular Composition'!$F$12</f>
        <v>4.8147324900108344E-3</v>
      </c>
      <c r="Q12" s="10">
        <f>P12*1000</f>
        <v>4.8147324900108348</v>
      </c>
      <c r="X12">
        <f t="shared" si="5"/>
        <v>4.8147324900108344E-3</v>
      </c>
      <c r="Y12">
        <f t="shared" si="6"/>
        <v>0.14874616183560638</v>
      </c>
      <c r="Z12">
        <f t="shared" si="7"/>
        <v>0.25520049726453414</v>
      </c>
    </row>
    <row r="13" spans="2:26">
      <c r="B13" t="s">
        <v>124</v>
      </c>
      <c r="C13">
        <v>536.87</v>
      </c>
      <c r="H13">
        <f>0.042/100</f>
        <v>4.2000000000000002E-4</v>
      </c>
      <c r="I13">
        <v>1.1000000000000001</v>
      </c>
      <c r="J13">
        <f t="shared" si="0"/>
        <v>1.1000000000000001E-2</v>
      </c>
      <c r="K13">
        <f>2.175</f>
        <v>2.1749999999999998</v>
      </c>
      <c r="L13">
        <f>K13/1000</f>
        <v>2.1749999999999999E-3</v>
      </c>
      <c r="M13">
        <f t="shared" si="1"/>
        <v>4.5316666666666673E-3</v>
      </c>
      <c r="N13">
        <f t="shared" si="2"/>
        <v>9.756185076876156E-2</v>
      </c>
      <c r="O13" s="13">
        <f t="shared" si="3"/>
        <v>0.18172341678387982</v>
      </c>
      <c r="P13">
        <f>N13*'Macromolecular Composition'!$F$12</f>
        <v>3.9917238810645997E-3</v>
      </c>
      <c r="Q13" s="10">
        <f t="shared" si="4"/>
        <v>3.9917238810645999</v>
      </c>
      <c r="X13">
        <f t="shared" si="5"/>
        <v>3.9917238810645997E-3</v>
      </c>
      <c r="Y13">
        <f t="shared" si="6"/>
        <v>0.12332016527351317</v>
      </c>
      <c r="Z13">
        <f t="shared" si="7"/>
        <v>0.22970209785145967</v>
      </c>
    </row>
    <row r="14" spans="2:26">
      <c r="O14" s="11"/>
    </row>
    <row r="15" spans="2:26">
      <c r="B15" t="s">
        <v>17</v>
      </c>
      <c r="D15">
        <f>SUM(D7:D12)</f>
        <v>57.000000000000007</v>
      </c>
      <c r="E15">
        <f t="shared" ref="E15:M15" si="8">SUM(E7:E14)</f>
        <v>0</v>
      </c>
      <c r="F15">
        <f t="shared" si="8"/>
        <v>0</v>
      </c>
      <c r="G15">
        <f t="shared" si="8"/>
        <v>0.6100000000000001</v>
      </c>
      <c r="H15">
        <f t="shared" si="8"/>
        <v>7.8700000000000003E-3</v>
      </c>
      <c r="I15">
        <f t="shared" si="8"/>
        <v>11.27</v>
      </c>
      <c r="J15">
        <f t="shared" si="8"/>
        <v>0.11270000000000001</v>
      </c>
      <c r="K15">
        <f t="shared" si="8"/>
        <v>8.2940000000000005</v>
      </c>
      <c r="L15">
        <f t="shared" si="8"/>
        <v>8.2939999999999993E-3</v>
      </c>
      <c r="M15">
        <f t="shared" si="8"/>
        <v>4.6449166666666666E-2</v>
      </c>
      <c r="N15">
        <f>SUM(N7:N14)</f>
        <v>1</v>
      </c>
      <c r="O15" s="13">
        <f>SUM(O7:O14)</f>
        <v>1.4818000285214943</v>
      </c>
      <c r="P15" s="11">
        <f>SUM(P7:P14)</f>
        <v>4.0914802759591709E-2</v>
      </c>
      <c r="X15">
        <f>SUM(X7:X13)</f>
        <v>3.236878471749783E-2</v>
      </c>
      <c r="Y15">
        <f>SUM(Y7:Y13)</f>
        <v>1</v>
      </c>
      <c r="Z15">
        <f>SUM(Z7:Z13)</f>
        <v>1.472332807285716</v>
      </c>
    </row>
    <row r="17" spans="3:17">
      <c r="C17" s="12"/>
    </row>
    <row r="20" spans="3:17">
      <c r="D20" t="s">
        <v>11</v>
      </c>
      <c r="E20" t="s">
        <v>177</v>
      </c>
    </row>
    <row r="21" spans="3:17">
      <c r="D21">
        <v>3</v>
      </c>
      <c r="E21" s="39" t="s">
        <v>182</v>
      </c>
    </row>
    <row r="22" spans="3:17">
      <c r="D22" t="s">
        <v>183</v>
      </c>
      <c r="E22" s="39" t="s">
        <v>1128</v>
      </c>
    </row>
    <row r="24" spans="3:17">
      <c r="Q24" s="5"/>
    </row>
    <row r="31" spans="3:17">
      <c r="C31" s="2"/>
    </row>
    <row r="32" spans="3:17">
      <c r="C32" s="1"/>
    </row>
    <row r="33" spans="2:3">
      <c r="C33" s="1"/>
    </row>
    <row r="45" spans="2:3">
      <c r="B45" s="1"/>
    </row>
    <row r="54" spans="2:4">
      <c r="B54" s="4"/>
      <c r="C54" s="4"/>
      <c r="D54" s="4"/>
    </row>
  </sheetData>
  <hyperlinks>
    <hyperlink ref="E22" r:id="rId1" location="t0020" display="https://www.sciencedirect.com/science/article/pii/S2211926416305884#t0020" xr:uid="{3343BBDD-6823-4B1B-9DAC-3381C0CA5C89}"/>
    <hyperlink ref="E21" r:id="rId2" location="t0010" xr:uid="{A449F846-01F4-4974-8C94-40EE1E4993D4}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478-8994-4BD2-A431-D1899E6F02AC}">
  <dimension ref="C7:O32"/>
  <sheetViews>
    <sheetView topLeftCell="A4" workbookViewId="0">
      <selection activeCell="J32" sqref="H32:J32"/>
    </sheetView>
  </sheetViews>
  <sheetFormatPr defaultRowHeight="15"/>
  <cols>
    <col min="3" max="3" width="29.140625" bestFit="1" customWidth="1"/>
    <col min="5" max="5" width="11.7109375" bestFit="1" customWidth="1"/>
    <col min="6" max="6" width="12.7109375" bestFit="1" customWidth="1"/>
    <col min="7" max="7" width="18.28515625" bestFit="1" customWidth="1"/>
    <col min="8" max="8" width="23.42578125" bestFit="1" customWidth="1"/>
    <col min="9" max="9" width="27.7109375" bestFit="1" customWidth="1"/>
  </cols>
  <sheetData>
    <row r="7" spans="3:14">
      <c r="C7" t="s">
        <v>72</v>
      </c>
      <c r="D7" t="s">
        <v>73</v>
      </c>
      <c r="E7" t="s">
        <v>74</v>
      </c>
      <c r="F7" t="s">
        <v>75</v>
      </c>
      <c r="G7" t="s">
        <v>96</v>
      </c>
      <c r="H7" t="s">
        <v>97</v>
      </c>
      <c r="I7" t="s">
        <v>98</v>
      </c>
      <c r="J7" t="s">
        <v>76</v>
      </c>
      <c r="N7" t="s">
        <v>160</v>
      </c>
    </row>
    <row r="8" spans="3:14">
      <c r="C8" s="11" t="s">
        <v>77</v>
      </c>
      <c r="D8" t="s">
        <v>126</v>
      </c>
      <c r="E8">
        <v>740.38</v>
      </c>
      <c r="F8">
        <v>740.38</v>
      </c>
      <c r="G8">
        <v>1</v>
      </c>
      <c r="H8">
        <f t="shared" ref="H8:H31" si="0">G8/$G$32</f>
        <v>4.1666666666666664E-2</v>
      </c>
      <c r="I8" s="61">
        <f>H8/F8*1000</f>
        <v>5.6277407097256357E-2</v>
      </c>
      <c r="J8" s="9">
        <f>H8*'Macromolecular Composition'!$F$13</f>
        <v>3.6702132043624485E-4</v>
      </c>
    </row>
    <row r="9" spans="3:14">
      <c r="C9" s="11" t="s">
        <v>78</v>
      </c>
      <c r="D9" t="s">
        <v>127</v>
      </c>
      <c r="E9">
        <v>783.53</v>
      </c>
      <c r="F9">
        <v>783.53</v>
      </c>
      <c r="G9">
        <v>1</v>
      </c>
      <c r="H9">
        <f t="shared" si="0"/>
        <v>4.1666666666666664E-2</v>
      </c>
      <c r="I9" s="61">
        <f t="shared" ref="I9:I29" si="1">H9/F9*1000</f>
        <v>5.317813825465096E-2</v>
      </c>
      <c r="J9" s="9">
        <f>H9*'Macromolecular Composition'!$F$13</f>
        <v>3.6702132043624485E-4</v>
      </c>
    </row>
    <row r="10" spans="3:14">
      <c r="C10" s="11" t="s">
        <v>79</v>
      </c>
      <c r="D10" t="s">
        <v>128</v>
      </c>
      <c r="E10">
        <v>423.3</v>
      </c>
      <c r="F10">
        <v>423.3</v>
      </c>
      <c r="G10">
        <v>1</v>
      </c>
      <c r="H10">
        <f t="shared" si="0"/>
        <v>4.1666666666666664E-2</v>
      </c>
      <c r="I10" s="61">
        <f t="shared" si="1"/>
        <v>9.8432947476179214E-2</v>
      </c>
      <c r="J10" s="9">
        <f>H10*'Macromolecular Composition'!$F$13</f>
        <v>3.6702132043624485E-4</v>
      </c>
    </row>
    <row r="11" spans="3:14">
      <c r="C11" s="11" t="s">
        <v>80</v>
      </c>
      <c r="D11" t="s">
        <v>129</v>
      </c>
      <c r="E11">
        <v>763.5</v>
      </c>
      <c r="F11">
        <v>763.5</v>
      </c>
      <c r="G11">
        <v>1</v>
      </c>
      <c r="H11">
        <f t="shared" si="0"/>
        <v>4.1666666666666664E-2</v>
      </c>
      <c r="I11" s="61">
        <f t="shared" si="1"/>
        <v>5.4573237284435715E-2</v>
      </c>
      <c r="J11" s="9">
        <f>H11*'Macromolecular Composition'!$F$13</f>
        <v>3.6702132043624485E-4</v>
      </c>
    </row>
    <row r="12" spans="3:14">
      <c r="C12" s="11" t="s">
        <v>81</v>
      </c>
      <c r="D12" t="s">
        <v>130</v>
      </c>
      <c r="E12">
        <v>245.13</v>
      </c>
      <c r="F12">
        <v>245.13</v>
      </c>
      <c r="G12">
        <v>1</v>
      </c>
      <c r="H12">
        <f t="shared" si="0"/>
        <v>4.1666666666666664E-2</v>
      </c>
      <c r="I12" s="61">
        <f t="shared" si="1"/>
        <v>0.1699778348903303</v>
      </c>
      <c r="J12" s="9">
        <f>H12*'Macromolecular Composition'!$F$13</f>
        <v>3.6702132043624485E-4</v>
      </c>
    </row>
    <row r="13" spans="3:14">
      <c r="C13" s="11" t="s">
        <v>82</v>
      </c>
      <c r="D13" t="s">
        <v>131</v>
      </c>
      <c r="E13">
        <v>399.44</v>
      </c>
      <c r="F13">
        <v>399.44</v>
      </c>
      <c r="G13">
        <v>1</v>
      </c>
      <c r="H13">
        <f t="shared" si="0"/>
        <v>4.1666666666666664E-2</v>
      </c>
      <c r="I13" s="61">
        <f t="shared" si="1"/>
        <v>0.10431270445290072</v>
      </c>
      <c r="J13" s="9">
        <f>H13*'Macromolecular Composition'!$F$13</f>
        <v>3.6702132043624485E-4</v>
      </c>
    </row>
    <row r="14" spans="3:14">
      <c r="C14" s="11" t="s">
        <v>83</v>
      </c>
      <c r="D14" t="s">
        <v>132</v>
      </c>
      <c r="E14">
        <v>471.42</v>
      </c>
      <c r="F14">
        <v>471.42</v>
      </c>
      <c r="G14">
        <v>1</v>
      </c>
      <c r="H14">
        <f t="shared" si="0"/>
        <v>4.1666666666666664E-2</v>
      </c>
      <c r="I14" s="61">
        <f t="shared" si="1"/>
        <v>8.8385445391936421E-2</v>
      </c>
      <c r="J14" s="9">
        <f>H14*'Macromolecular Composition'!$F$13</f>
        <v>3.6702132043624485E-4</v>
      </c>
    </row>
    <row r="15" spans="3:14">
      <c r="C15" s="11" t="s">
        <v>84</v>
      </c>
      <c r="D15" t="s">
        <v>133</v>
      </c>
      <c r="E15">
        <v>662.42</v>
      </c>
      <c r="F15">
        <v>662.42</v>
      </c>
      <c r="G15">
        <v>1</v>
      </c>
      <c r="H15">
        <f t="shared" si="0"/>
        <v>4.1666666666666664E-2</v>
      </c>
      <c r="I15" s="61">
        <f t="shared" si="1"/>
        <v>6.2900677314493322E-2</v>
      </c>
      <c r="J15" s="9">
        <f>H15*'Macromolecular Composition'!$F$13</f>
        <v>3.6702132043624485E-4</v>
      </c>
    </row>
    <row r="16" spans="3:14">
      <c r="C16" s="11" t="s">
        <v>85</v>
      </c>
      <c r="D16" t="s">
        <v>134</v>
      </c>
      <c r="E16">
        <v>454.33</v>
      </c>
      <c r="F16">
        <v>454.33</v>
      </c>
      <c r="G16">
        <v>1</v>
      </c>
      <c r="H16">
        <f t="shared" si="0"/>
        <v>4.1666666666666664E-2</v>
      </c>
      <c r="I16" s="61">
        <f t="shared" si="1"/>
        <v>9.1710137271733466E-2</v>
      </c>
      <c r="J16" s="9">
        <f>H16*'Macromolecular Composition'!$F$13</f>
        <v>3.6702132043624485E-4</v>
      </c>
    </row>
    <row r="17" spans="3:15">
      <c r="C17" s="11" t="s">
        <v>86</v>
      </c>
      <c r="D17" t="s">
        <v>135</v>
      </c>
      <c r="E17">
        <v>306.31</v>
      </c>
      <c r="F17">
        <v>306.31</v>
      </c>
      <c r="G17">
        <v>1</v>
      </c>
      <c r="H17">
        <f t="shared" si="0"/>
        <v>4.1666666666666664E-2</v>
      </c>
      <c r="I17" s="61">
        <f t="shared" si="1"/>
        <v>0.13602777142981509</v>
      </c>
      <c r="J17" s="9">
        <f>H17*'Macromolecular Composition'!$F$13</f>
        <v>3.6702132043624485E-4</v>
      </c>
    </row>
    <row r="18" spans="3:15">
      <c r="C18" s="11" t="s">
        <v>87</v>
      </c>
      <c r="D18" t="s">
        <v>136</v>
      </c>
      <c r="E18">
        <v>175.12</v>
      </c>
      <c r="F18">
        <v>175.12</v>
      </c>
      <c r="G18">
        <v>1</v>
      </c>
      <c r="H18">
        <f t="shared" si="0"/>
        <v>4.1666666666666664E-2</v>
      </c>
      <c r="I18" s="61">
        <f t="shared" si="1"/>
        <v>0.23793208466575297</v>
      </c>
      <c r="J18" s="9">
        <f>H18*'Macromolecular Composition'!$F$13</f>
        <v>3.6702132043624485E-4</v>
      </c>
    </row>
    <row r="19" spans="3:15">
      <c r="C19" s="11" t="s">
        <v>88</v>
      </c>
      <c r="D19" t="s">
        <v>137</v>
      </c>
      <c r="E19">
        <v>375.36</v>
      </c>
      <c r="F19">
        <v>375.36</v>
      </c>
      <c r="G19">
        <v>1</v>
      </c>
      <c r="H19">
        <f t="shared" si="0"/>
        <v>4.1666666666666664E-2</v>
      </c>
      <c r="I19" s="61">
        <f t="shared" si="1"/>
        <v>0.11100454674623472</v>
      </c>
      <c r="J19" s="9">
        <f>H19*'Macromolecular Composition'!$F$13</f>
        <v>3.6702132043624485E-4</v>
      </c>
    </row>
    <row r="20" spans="3:15">
      <c r="C20" s="11" t="s">
        <v>89</v>
      </c>
      <c r="D20" t="s">
        <v>138</v>
      </c>
      <c r="E20">
        <v>443.41</v>
      </c>
      <c r="F20">
        <v>443.41</v>
      </c>
      <c r="G20">
        <v>1</v>
      </c>
      <c r="H20">
        <f t="shared" si="0"/>
        <v>4.1666666666666664E-2</v>
      </c>
      <c r="I20" s="61">
        <f t="shared" si="1"/>
        <v>9.3968712177593339E-2</v>
      </c>
      <c r="J20" s="9">
        <f>H20*'Macromolecular Composition'!$F$13</f>
        <v>3.6702132043624485E-4</v>
      </c>
    </row>
    <row r="21" spans="3:15">
      <c r="C21" s="11" t="s">
        <v>90</v>
      </c>
      <c r="D21" t="s">
        <v>139</v>
      </c>
      <c r="E21">
        <v>356.33</v>
      </c>
      <c r="F21">
        <v>356.33</v>
      </c>
      <c r="G21">
        <v>1</v>
      </c>
      <c r="H21">
        <f t="shared" si="0"/>
        <v>4.1666666666666664E-2</v>
      </c>
      <c r="I21" s="61">
        <f t="shared" si="1"/>
        <v>0.11693280573251387</v>
      </c>
      <c r="J21" s="9">
        <f>H21*'Macromolecular Composition'!$F$13</f>
        <v>3.6702132043624485E-4</v>
      </c>
    </row>
    <row r="22" spans="3:15">
      <c r="C22" s="11" t="s">
        <v>99</v>
      </c>
      <c r="D22" t="s">
        <v>100</v>
      </c>
      <c r="E22">
        <v>797.24</v>
      </c>
      <c r="F22">
        <v>797.24</v>
      </c>
      <c r="G22">
        <v>1</v>
      </c>
      <c r="H22">
        <f t="shared" si="0"/>
        <v>4.1666666666666664E-2</v>
      </c>
      <c r="I22" s="61">
        <f t="shared" si="1"/>
        <v>5.2263642901342965E-2</v>
      </c>
      <c r="J22" s="9">
        <f>H22*'Macromolecular Composition'!$F$13</f>
        <v>3.6702132043624485E-4</v>
      </c>
      <c r="N22" t="s">
        <v>162</v>
      </c>
    </row>
    <row r="23" spans="3:15">
      <c r="C23" s="11" t="s">
        <v>101</v>
      </c>
      <c r="D23" t="s">
        <v>91</v>
      </c>
      <c r="E23">
        <v>751.21</v>
      </c>
      <c r="F23">
        <v>751.21</v>
      </c>
      <c r="G23">
        <v>1</v>
      </c>
      <c r="H23">
        <f t="shared" si="0"/>
        <v>4.1666666666666664E-2</v>
      </c>
      <c r="I23" s="61">
        <f t="shared" si="1"/>
        <v>5.5466070295478842E-2</v>
      </c>
      <c r="J23" s="9">
        <f>H23*'Macromolecular Composition'!$F$13</f>
        <v>3.6702132043624485E-4</v>
      </c>
      <c r="N23" t="s">
        <v>161</v>
      </c>
    </row>
    <row r="24" spans="3:15">
      <c r="C24" t="s">
        <v>92</v>
      </c>
      <c r="D24" t="s">
        <v>140</v>
      </c>
      <c r="E24">
        <v>614.47</v>
      </c>
      <c r="F24">
        <v>614.47</v>
      </c>
      <c r="G24">
        <v>1</v>
      </c>
      <c r="H24">
        <f t="shared" si="0"/>
        <v>4.1666666666666664E-2</v>
      </c>
      <c r="I24" s="61">
        <f t="shared" si="1"/>
        <v>6.7809114629952094E-2</v>
      </c>
      <c r="J24" s="9">
        <f>H24*'Macromolecular Composition'!$F$13</f>
        <v>3.6702132043624485E-4</v>
      </c>
    </row>
    <row r="25" spans="3:15">
      <c r="C25" t="s">
        <v>93</v>
      </c>
      <c r="D25" t="s">
        <v>141</v>
      </c>
      <c r="E25">
        <v>243.3</v>
      </c>
      <c r="F25">
        <v>243.3</v>
      </c>
      <c r="G25">
        <v>1</v>
      </c>
      <c r="H25">
        <f t="shared" si="0"/>
        <v>4.1666666666666664E-2</v>
      </c>
      <c r="I25" s="61">
        <f t="shared" si="1"/>
        <v>0.17125633648444991</v>
      </c>
      <c r="J25" s="9">
        <f>H25*'Macromolecular Composition'!$F$13</f>
        <v>3.6702132043624485E-4</v>
      </c>
    </row>
    <row r="26" spans="3:15">
      <c r="C26" t="s">
        <v>94</v>
      </c>
      <c r="D26" t="s">
        <v>95</v>
      </c>
      <c r="E26">
        <v>430.7</v>
      </c>
      <c r="F26">
        <v>430.7</v>
      </c>
      <c r="G26">
        <v>1</v>
      </c>
      <c r="H26">
        <f t="shared" si="0"/>
        <v>4.1666666666666664E-2</v>
      </c>
      <c r="I26" s="61">
        <f t="shared" si="1"/>
        <v>9.6741738255552975E-2</v>
      </c>
      <c r="J26" s="9">
        <f>H26*'Macromolecular Composition'!$F$13</f>
        <v>3.6702132043624485E-4</v>
      </c>
    </row>
    <row r="27" spans="3:15">
      <c r="C27" s="11" t="s">
        <v>142</v>
      </c>
      <c r="D27" t="s">
        <v>143</v>
      </c>
      <c r="E27">
        <v>452.71159999999998</v>
      </c>
      <c r="F27">
        <v>452.71159999999998</v>
      </c>
      <c r="G27">
        <v>1</v>
      </c>
      <c r="H27">
        <f t="shared" si="0"/>
        <v>4.1666666666666664E-2</v>
      </c>
      <c r="I27" s="61">
        <f t="shared" si="1"/>
        <v>9.2037992105054672E-2</v>
      </c>
      <c r="J27" s="9">
        <f>H27*'Macromolecular Composition'!$F$13</f>
        <v>3.6702132043624485E-4</v>
      </c>
      <c r="N27" t="s">
        <v>163</v>
      </c>
      <c r="O27" t="s">
        <v>164</v>
      </c>
    </row>
    <row r="28" spans="3:15">
      <c r="C28" t="s">
        <v>144</v>
      </c>
      <c r="D28" t="s">
        <v>145</v>
      </c>
      <c r="E28">
        <v>1579.58</v>
      </c>
      <c r="F28">
        <v>1579.5817999999999</v>
      </c>
      <c r="G28">
        <v>1</v>
      </c>
      <c r="H28">
        <f t="shared" si="0"/>
        <v>4.1666666666666664E-2</v>
      </c>
      <c r="I28" s="61">
        <f t="shared" si="1"/>
        <v>2.6378289916145315E-2</v>
      </c>
      <c r="J28" s="9">
        <f>H28*'Macromolecular Composition'!$F$13</f>
        <v>3.6702132043624485E-4</v>
      </c>
    </row>
    <row r="29" spans="3:15">
      <c r="C29" t="s">
        <v>146</v>
      </c>
      <c r="D29" t="s">
        <v>147</v>
      </c>
      <c r="E29">
        <v>206.33</v>
      </c>
      <c r="F29">
        <v>206.33</v>
      </c>
      <c r="G29">
        <v>1</v>
      </c>
      <c r="H29">
        <f t="shared" si="0"/>
        <v>4.1666666666666664E-2</v>
      </c>
      <c r="I29" s="61">
        <f t="shared" si="1"/>
        <v>0.20194187305126091</v>
      </c>
      <c r="J29" s="9">
        <f>H29*'Macromolecular Composition'!$F$13</f>
        <v>3.6702132043624485E-4</v>
      </c>
    </row>
    <row r="30" spans="3:15">
      <c r="C30" t="s">
        <v>148</v>
      </c>
      <c r="D30" t="s">
        <v>149</v>
      </c>
      <c r="E30">
        <v>175.82</v>
      </c>
      <c r="F30">
        <v>175.82</v>
      </c>
      <c r="G30">
        <v>1</v>
      </c>
      <c r="H30">
        <f t="shared" si="0"/>
        <v>4.1666666666666664E-2</v>
      </c>
      <c r="I30" s="61">
        <f>H30/F30*1000</f>
        <v>0.23698479505554923</v>
      </c>
      <c r="J30" s="9">
        <f>H30*'Macromolecular Composition'!$F$13</f>
        <v>3.6702132043624485E-4</v>
      </c>
    </row>
    <row r="31" spans="3:15">
      <c r="C31" t="s">
        <v>1194</v>
      </c>
      <c r="E31">
        <v>925.24</v>
      </c>
      <c r="F31">
        <v>925.25</v>
      </c>
      <c r="G31">
        <v>1</v>
      </c>
      <c r="H31">
        <f t="shared" si="0"/>
        <v>4.1666666666666664E-2</v>
      </c>
      <c r="I31" s="61">
        <f>H31/F31*1000</f>
        <v>4.5032873998018551E-2</v>
      </c>
      <c r="J31" s="9">
        <f>H31*'Macromolecular Composition'!$F$13</f>
        <v>3.6702132043624485E-4</v>
      </c>
    </row>
    <row r="32" spans="3:15">
      <c r="G32">
        <f>SUM(G8:G31)</f>
        <v>24</v>
      </c>
      <c r="H32">
        <f>SUM(H8:H31)</f>
        <v>0.99999999999999956</v>
      </c>
      <c r="I32" s="9">
        <f>SUM(I8:I31)</f>
        <v>2.5215271768786311</v>
      </c>
      <c r="J32" s="9">
        <f>SUM(J8:J30)</f>
        <v>8.4414903700336316E-3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FF44-9E2E-4565-914A-6E8E4E362825}">
  <dimension ref="D6:Q18"/>
  <sheetViews>
    <sheetView workbookViewId="0">
      <selection activeCell="M24" sqref="M24"/>
    </sheetView>
  </sheetViews>
  <sheetFormatPr defaultRowHeight="15"/>
  <sheetData>
    <row r="6" spans="4:17">
      <c r="E6" t="s">
        <v>14</v>
      </c>
      <c r="F6" t="s">
        <v>15</v>
      </c>
      <c r="G6" t="s">
        <v>74</v>
      </c>
      <c r="H6" t="s">
        <v>173</v>
      </c>
      <c r="I6" t="s">
        <v>174</v>
      </c>
      <c r="J6" t="s">
        <v>179</v>
      </c>
      <c r="K6" t="s">
        <v>180</v>
      </c>
      <c r="L6" t="s">
        <v>181</v>
      </c>
      <c r="M6" t="s">
        <v>68</v>
      </c>
    </row>
    <row r="7" spans="4:17">
      <c r="D7" t="s">
        <v>166</v>
      </c>
      <c r="G7">
        <v>22.989799999999999</v>
      </c>
      <c r="H7">
        <v>27.7</v>
      </c>
      <c r="J7">
        <f>H7/1000</f>
        <v>2.7699999999999999E-2</v>
      </c>
      <c r="K7">
        <f>J7/$J$14</f>
        <v>0.60808289245494263</v>
      </c>
      <c r="L7">
        <f>K7/G7*1000</f>
        <v>26.450116680220908</v>
      </c>
      <c r="M7">
        <f>L7*$J$14</f>
        <v>1.2048821651341028</v>
      </c>
      <c r="Q7" s="10">
        <v>26.450116680220908</v>
      </c>
    </row>
    <row r="8" spans="4:17">
      <c r="D8" t="s">
        <v>167</v>
      </c>
      <c r="G8">
        <v>39.098300000000002</v>
      </c>
      <c r="H8">
        <v>7.6</v>
      </c>
      <c r="J8">
        <f>H8/1000</f>
        <v>7.6E-3</v>
      </c>
      <c r="K8">
        <f t="shared" ref="K8:K13" si="0">J8/$J$14</f>
        <v>0.16683862753276404</v>
      </c>
      <c r="L8">
        <f t="shared" ref="L8:L13" si="1">K8/G8*1000</f>
        <v>4.2671580997834697</v>
      </c>
      <c r="M8">
        <f t="shared" ref="M8:M13" si="2">L8*$J$14</f>
        <v>0.19438185291943638</v>
      </c>
      <c r="Q8" s="10">
        <v>4.2671580997834697</v>
      </c>
    </row>
    <row r="9" spans="4:17">
      <c r="D9" t="s">
        <v>168</v>
      </c>
      <c r="G9">
        <v>40.078000000000003</v>
      </c>
      <c r="H9">
        <v>3.7</v>
      </c>
      <c r="J9">
        <f>H9/1000</f>
        <v>3.7000000000000002E-3</v>
      </c>
      <c r="K9">
        <f t="shared" si="0"/>
        <v>8.1224068667266711E-2</v>
      </c>
      <c r="L9">
        <f t="shared" si="1"/>
        <v>2.0266497496698115</v>
      </c>
      <c r="M9">
        <f t="shared" si="2"/>
        <v>9.2319976046708913E-2</v>
      </c>
      <c r="Q9" s="10">
        <v>2.0266497496698115</v>
      </c>
    </row>
    <row r="10" spans="4:17">
      <c r="D10" t="s">
        <v>169</v>
      </c>
      <c r="G10">
        <v>24.305</v>
      </c>
      <c r="H10">
        <v>6.1</v>
      </c>
      <c r="J10">
        <f>H10/1000</f>
        <v>6.0999999999999995E-3</v>
      </c>
      <c r="K10">
        <f t="shared" si="0"/>
        <v>0.13390995104603429</v>
      </c>
      <c r="L10">
        <f t="shared" si="1"/>
        <v>5.509563918783555</v>
      </c>
      <c r="M10">
        <f t="shared" si="2"/>
        <v>0.25097716519234725</v>
      </c>
      <c r="Q10" s="10">
        <v>5.509563918783555</v>
      </c>
    </row>
    <row r="11" spans="4:17">
      <c r="D11" t="s">
        <v>170</v>
      </c>
      <c r="G11">
        <v>55.844999999999999</v>
      </c>
      <c r="I11">
        <v>42</v>
      </c>
      <c r="J11">
        <f>I11/1000/100</f>
        <v>4.2000000000000002E-4</v>
      </c>
      <c r="K11">
        <f t="shared" si="0"/>
        <v>9.2200294162843293E-3</v>
      </c>
      <c r="L11">
        <f t="shared" si="1"/>
        <v>0.16510035663504932</v>
      </c>
      <c r="M11">
        <f t="shared" si="2"/>
        <v>7.5208165457964007E-3</v>
      </c>
      <c r="Q11" s="10">
        <v>0.16510035663504932</v>
      </c>
    </row>
    <row r="12" spans="4:17">
      <c r="D12" t="s">
        <v>171</v>
      </c>
      <c r="G12">
        <v>65.409000000000006</v>
      </c>
      <c r="I12">
        <v>1.9</v>
      </c>
      <c r="J12">
        <f>I12/1000/100</f>
        <v>1.9000000000000001E-5</v>
      </c>
      <c r="K12">
        <f t="shared" si="0"/>
        <v>4.1709656883191012E-4</v>
      </c>
      <c r="L12">
        <f t="shared" si="1"/>
        <v>6.3767458428031325E-3</v>
      </c>
      <c r="M12">
        <f t="shared" si="2"/>
        <v>2.9047990337721104E-4</v>
      </c>
      <c r="Q12" s="10">
        <v>6.3767458428031325E-3</v>
      </c>
    </row>
    <row r="13" spans="4:17">
      <c r="D13" t="s">
        <v>172</v>
      </c>
      <c r="G13">
        <v>54.938000000000002</v>
      </c>
      <c r="I13">
        <v>1.4</v>
      </c>
      <c r="J13">
        <f>I13/1000/100</f>
        <v>1.4E-5</v>
      </c>
      <c r="K13">
        <f t="shared" si="0"/>
        <v>3.073343138761443E-4</v>
      </c>
      <c r="L13">
        <f t="shared" si="1"/>
        <v>5.5942028081863967E-3</v>
      </c>
      <c r="M13">
        <f t="shared" si="2"/>
        <v>2.548327205213149E-4</v>
      </c>
      <c r="Q13" s="10">
        <v>5.5942028081863967E-3</v>
      </c>
    </row>
    <row r="14" spans="4:17">
      <c r="J14">
        <f>SUM(J7:J13)</f>
        <v>4.5552999999999996E-2</v>
      </c>
      <c r="K14">
        <f>SUM(K7:K13)</f>
        <v>1</v>
      </c>
      <c r="L14">
        <f>SUM(L7:L13)</f>
        <v>38.430559753743779</v>
      </c>
    </row>
    <row r="18" spans="4:4">
      <c r="D18" t="s">
        <v>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3EBB-82B3-406E-87AC-46F8EF7A77BA}">
  <dimension ref="C3:L24"/>
  <sheetViews>
    <sheetView workbookViewId="0">
      <selection activeCell="C3" sqref="C3:L24"/>
    </sheetView>
  </sheetViews>
  <sheetFormatPr defaultRowHeight="15"/>
  <cols>
    <col min="3" max="3" width="24.5703125" bestFit="1" customWidth="1"/>
    <col min="4" max="4" width="19.7109375" bestFit="1" customWidth="1"/>
    <col min="5" max="5" width="13.5703125" bestFit="1" customWidth="1"/>
    <col min="6" max="6" width="7.140625" bestFit="1" customWidth="1"/>
    <col min="7" max="7" width="13.42578125" bestFit="1" customWidth="1"/>
    <col min="8" max="8" width="14" bestFit="1" customWidth="1"/>
    <col min="9" max="9" width="12" bestFit="1" customWidth="1"/>
    <col min="10" max="10" width="21.5703125" bestFit="1" customWidth="1"/>
    <col min="11" max="11" width="13.5703125" bestFit="1" customWidth="1"/>
    <col min="12" max="12" width="14.42578125" customWidth="1"/>
  </cols>
  <sheetData>
    <row r="3" spans="3:12">
      <c r="C3" s="60" t="s">
        <v>1113</v>
      </c>
      <c r="D3" s="60" t="s">
        <v>1168</v>
      </c>
      <c r="E3" s="60" t="s">
        <v>1169</v>
      </c>
      <c r="F3" s="60" t="s">
        <v>250</v>
      </c>
      <c r="G3" s="60" t="s">
        <v>1170</v>
      </c>
      <c r="H3" s="60" t="s">
        <v>310</v>
      </c>
      <c r="I3" s="60" t="s">
        <v>179</v>
      </c>
      <c r="J3" s="60" t="s">
        <v>1171</v>
      </c>
      <c r="K3" s="60" t="s">
        <v>68</v>
      </c>
      <c r="L3" s="60" t="s">
        <v>1172</v>
      </c>
    </row>
    <row r="4" spans="3:12">
      <c r="C4" t="s">
        <v>1131</v>
      </c>
      <c r="D4" t="s">
        <v>1132</v>
      </c>
      <c r="E4" t="s">
        <v>1173</v>
      </c>
      <c r="F4">
        <v>146.13999999999999</v>
      </c>
      <c r="G4">
        <v>129.11999999999998</v>
      </c>
      <c r="H4">
        <v>0.26666099999999998</v>
      </c>
      <c r="I4">
        <f>Table15[[#This Row],[mmol/gMM]]*Table15[[#This Row],[MW (-H2O)]]/1000*'Macromolecular Composition'!$F$5</f>
        <v>1.4960094557416226E-2</v>
      </c>
      <c r="J4">
        <f>Table15[[#This Row],[g/gDW]]/$I$24*'Macromolecular Composition'!$F$5</f>
        <v>1.4818644483280652E-2</v>
      </c>
      <c r="K4">
        <f>Table15[[#This Row],[g/gDW (normalized)]]/Table15[[#This Row],[MW (-H2O)]]*1000</f>
        <v>0.11476645355700632</v>
      </c>
      <c r="L4" s="11">
        <f>Table15[[#This Row],[mmol/gDW]]/Table15[[#Totals],[g/gDW (normalized)]]</f>
        <v>0.26413967782023023</v>
      </c>
    </row>
    <row r="5" spans="3:12">
      <c r="C5" t="s">
        <v>1153</v>
      </c>
      <c r="D5" t="s">
        <v>1154</v>
      </c>
      <c r="E5" t="s">
        <v>1174</v>
      </c>
      <c r="F5">
        <v>75.069999999999993</v>
      </c>
      <c r="G5">
        <v>58.05</v>
      </c>
      <c r="H5">
        <v>0.90345299999999995</v>
      </c>
      <c r="I5">
        <f>Table15[[#This Row],[mmol/gMM]]*Table15[[#This Row],[MW (-H2O)]]/1000*'Macromolecular Composition'!$F$5</f>
        <v>2.2787102516760502E-2</v>
      </c>
      <c r="J5">
        <f>Table15[[#This Row],[g/gDW]]/$I$24*'Macromolecular Composition'!$F$5</f>
        <v>2.2571646837121578E-2</v>
      </c>
      <c r="K5">
        <f>Table15[[#This Row],[g/gDW (normalized)]]/Table15[[#This Row],[MW (-H2O)]]*1000</f>
        <v>0.3888311255318101</v>
      </c>
      <c r="L5" s="11">
        <f>Table15[[#This Row],[mmol/gDW]]/Table15[[#Totals],[g/gDW (normalized)]]</f>
        <v>0.89491070814899965</v>
      </c>
    </row>
    <row r="6" spans="3:12">
      <c r="C6" t="s">
        <v>1137</v>
      </c>
      <c r="D6" t="s">
        <v>1138</v>
      </c>
      <c r="E6" t="s">
        <v>1175</v>
      </c>
      <c r="F6">
        <v>89.09</v>
      </c>
      <c r="G6">
        <v>72.070000000000007</v>
      </c>
      <c r="H6">
        <v>1.8110599999999999</v>
      </c>
      <c r="I6">
        <f>Table15[[#This Row],[mmol/gMM]]*Table15[[#This Row],[MW (-H2O)]]/1000*'Macromolecular Composition'!$F$5</f>
        <v>5.6711179298159116E-2</v>
      </c>
      <c r="J6">
        <f>Table15[[#This Row],[g/gDW]]/$I$24*'Macromolecular Composition'!$F$5</f>
        <v>5.6174966075358074E-2</v>
      </c>
      <c r="K6">
        <f>Table15[[#This Row],[g/gDW (normalized)]]/Table15[[#This Row],[MW (-H2O)]]*1000</f>
        <v>0.77945006348491841</v>
      </c>
      <c r="L6" s="11">
        <f>Table15[[#This Row],[mmol/gDW]]/Table15[[#Totals],[g/gDW (normalized)]]</f>
        <v>1.7939361395671134</v>
      </c>
    </row>
    <row r="7" spans="3:12">
      <c r="C7" t="s">
        <v>1166</v>
      </c>
      <c r="D7" t="s">
        <v>1167</v>
      </c>
      <c r="E7" t="s">
        <v>1176</v>
      </c>
      <c r="F7">
        <v>175.21</v>
      </c>
      <c r="G7">
        <v>158.19</v>
      </c>
      <c r="H7">
        <v>0.83201199999999997</v>
      </c>
      <c r="I7">
        <f>Table15[[#This Row],[mmol/gMM]]*Table15[[#This Row],[MW (-H2O)]]/1000*'Macromolecular Composition'!$F$5</f>
        <v>5.7186028177530726E-2</v>
      </c>
      <c r="J7">
        <f>Table15[[#This Row],[g/gDW]]/$I$24*'Macromolecular Composition'!$F$5</f>
        <v>5.664532518302854E-2</v>
      </c>
      <c r="K7">
        <f>Table15[[#This Row],[g/gDW (normalized)]]/Table15[[#This Row],[MW (-H2O)]]*1000</f>
        <v>0.3580841088755834</v>
      </c>
      <c r="L7" s="11">
        <f>Table15[[#This Row],[mmol/gDW]]/Table15[[#Totals],[g/gDW (normalized)]]</f>
        <v>0.82414519416999632</v>
      </c>
    </row>
    <row r="8" spans="3:12">
      <c r="C8" t="s">
        <v>1149</v>
      </c>
      <c r="D8" t="s">
        <v>1150</v>
      </c>
      <c r="E8" t="s">
        <v>1177</v>
      </c>
      <c r="F8">
        <v>132.12</v>
      </c>
      <c r="G8">
        <v>115.10000000000001</v>
      </c>
      <c r="H8">
        <v>0.14720900000000001</v>
      </c>
      <c r="I8">
        <f>Table15[[#This Row],[mmol/gMM]]*Table15[[#This Row],[MW (-H2O)]]/1000*'Macromolecular Composition'!$F$5</f>
        <v>7.3619184767161425E-3</v>
      </c>
      <c r="J8">
        <f>Table15[[#This Row],[g/gDW]]/$I$24*'Macromolecular Composition'!$F$5</f>
        <v>7.2923103662650406E-3</v>
      </c>
      <c r="K8">
        <f>Table15[[#This Row],[g/gDW (normalized)]]/Table15[[#This Row],[MW (-H2O)]]*1000</f>
        <v>6.3356302052693658E-2</v>
      </c>
      <c r="L8" s="11">
        <f>Table15[[#This Row],[mmol/gDW]]/Table15[[#Totals],[g/gDW (normalized)]]</f>
        <v>0.14581711548459755</v>
      </c>
    </row>
    <row r="9" spans="3:12">
      <c r="C9" t="s">
        <v>1151</v>
      </c>
      <c r="D9" t="s">
        <v>1152</v>
      </c>
      <c r="E9" t="s">
        <v>1178</v>
      </c>
      <c r="F9">
        <v>132.09</v>
      </c>
      <c r="G9">
        <v>115.07000000000001</v>
      </c>
      <c r="H9">
        <v>0.50214499999999995</v>
      </c>
      <c r="I9">
        <f>Table15[[#This Row],[mmol/gMM]]*Table15[[#This Row],[MW (-H2O)]]/1000*'Macromolecular Composition'!$F$5</f>
        <v>2.5105713792192105E-2</v>
      </c>
      <c r="J9">
        <f>Table15[[#This Row],[g/gDW]]/$I$24*'Macromolecular Composition'!$F$5</f>
        <v>2.4868335274061574E-2</v>
      </c>
      <c r="K9">
        <f>Table15[[#This Row],[g/gDW (normalized)]]/Table15[[#This Row],[MW (-H2O)]]*1000</f>
        <v>0.21611484552065327</v>
      </c>
      <c r="L9" s="11">
        <f>Table15[[#This Row],[mmol/gDW]]/Table15[[#Totals],[g/gDW (normalized)]]</f>
        <v>0.49739713913560463</v>
      </c>
    </row>
    <row r="10" spans="3:12">
      <c r="C10" t="s">
        <v>1158</v>
      </c>
      <c r="D10" t="s">
        <v>1159</v>
      </c>
      <c r="E10" t="s">
        <v>1179</v>
      </c>
      <c r="F10">
        <v>121.16</v>
      </c>
      <c r="G10">
        <v>104.14</v>
      </c>
      <c r="H10">
        <v>0.159437</v>
      </c>
      <c r="I10">
        <f>Table15[[#This Row],[mmol/gMM]]*Table15[[#This Row],[MW (-H2O)]]/1000*'Macromolecular Composition'!$F$5</f>
        <v>7.2141971255246917E-3</v>
      </c>
      <c r="J10">
        <f>Table15[[#This Row],[g/gDW]]/$I$24*'Macromolecular Composition'!$F$5</f>
        <v>7.1459857439510211E-3</v>
      </c>
      <c r="K10">
        <f>Table15[[#This Row],[g/gDW (normalized)]]/Table15[[#This Row],[MW (-H2O)]]*1000</f>
        <v>6.8619029613510865E-2</v>
      </c>
      <c r="L10" s="11">
        <f>Table15[[#This Row],[mmol/gDW]]/Table15[[#Totals],[g/gDW (normalized)]]</f>
        <v>0.15792949779916843</v>
      </c>
    </row>
    <row r="11" spans="3:12">
      <c r="C11" t="s">
        <v>1164</v>
      </c>
      <c r="D11" t="s">
        <v>1165</v>
      </c>
      <c r="E11" t="s">
        <v>1180</v>
      </c>
      <c r="F11">
        <v>146.12</v>
      </c>
      <c r="G11">
        <v>129.1</v>
      </c>
      <c r="H11">
        <v>0.50443700000000002</v>
      </c>
      <c r="I11">
        <f>Table15[[#This Row],[mmol/gMM]]*Table15[[#This Row],[MW (-H2O)]]/1000*'Macromolecular Composition'!$F$5</f>
        <v>2.8295312464902102E-2</v>
      </c>
      <c r="J11">
        <f>Table15[[#This Row],[g/gDW]]/$I$24*'Macromolecular Composition'!$F$5</f>
        <v>2.8027775783867854E-2</v>
      </c>
      <c r="K11">
        <f>Table15[[#This Row],[g/gDW (normalized)]]/Table15[[#This Row],[MW (-H2O)]]*1000</f>
        <v>0.21710128415079671</v>
      </c>
      <c r="L11" s="11">
        <f>Table15[[#This Row],[mmol/gDW]]/Table15[[#Totals],[g/gDW (normalized)]]</f>
        <v>0.49966746791095618</v>
      </c>
    </row>
    <row r="12" spans="3:12">
      <c r="C12" t="s">
        <v>1160</v>
      </c>
      <c r="D12" t="s">
        <v>1161</v>
      </c>
      <c r="E12" t="s">
        <v>1181</v>
      </c>
      <c r="F12">
        <v>155.15</v>
      </c>
      <c r="G12">
        <v>138.13</v>
      </c>
      <c r="H12">
        <v>0.23100100000000001</v>
      </c>
      <c r="I12">
        <f>Table15[[#This Row],[mmol/gMM]]*Table15[[#This Row],[MW (-H2O)]]/1000*'Macromolecular Composition'!$F$5</f>
        <v>1.3863828887809468E-2</v>
      </c>
      <c r="J12">
        <f>Table15[[#This Row],[g/gDW]]/$I$24*'Macromolecular Composition'!$F$5</f>
        <v>1.3732744179991803E-2</v>
      </c>
      <c r="K12">
        <f>Table15[[#This Row],[g/gDW (normalized)]]/Table15[[#This Row],[MW (-H2O)]]*1000</f>
        <v>9.9418983421355273E-2</v>
      </c>
      <c r="L12" s="11">
        <f>Table15[[#This Row],[mmol/gDW]]/Table15[[#Totals],[g/gDW (normalized)]]</f>
        <v>0.22881684879360312</v>
      </c>
    </row>
    <row r="13" spans="3:12">
      <c r="C13" t="s">
        <v>1133</v>
      </c>
      <c r="D13" t="s">
        <v>1134</v>
      </c>
      <c r="E13" t="s">
        <v>1182</v>
      </c>
      <c r="F13">
        <v>131.16999999999999</v>
      </c>
      <c r="G13">
        <v>114.14999999999999</v>
      </c>
      <c r="H13">
        <v>0.218357</v>
      </c>
      <c r="I13">
        <f>Table15[[#This Row],[mmol/gMM]]*Table15[[#This Row],[MW (-H2O)]]/1000*'Macromolecular Composition'!$F$5</f>
        <v>1.0829897656070338E-2</v>
      </c>
      <c r="J13">
        <f>Table15[[#This Row],[g/gDW]]/$I$24*'Macromolecular Composition'!$F$5</f>
        <v>1.0727499250735899E-2</v>
      </c>
      <c r="K13">
        <f>Table15[[#This Row],[g/gDW (normalized)]]/Table15[[#This Row],[MW (-H2O)]]*1000</f>
        <v>9.3977216388400342E-2</v>
      </c>
      <c r="L13" s="11">
        <f>Table15[[#This Row],[mmol/gDW]]/Table15[[#Totals],[g/gDW (normalized)]]</f>
        <v>0.21629239982521628</v>
      </c>
    </row>
    <row r="14" spans="3:12">
      <c r="C14" t="s">
        <v>1155</v>
      </c>
      <c r="D14" t="s">
        <v>1134</v>
      </c>
      <c r="E14" t="s">
        <v>1182</v>
      </c>
      <c r="F14">
        <v>131.16999999999999</v>
      </c>
      <c r="G14">
        <v>114.14999999999999</v>
      </c>
      <c r="H14">
        <v>0.93165500000000001</v>
      </c>
      <c r="I14">
        <f>Table15[[#This Row],[mmol/gMM]]*Table15[[#This Row],[MW (-H2O)]]/1000*'Macromolecular Composition'!$F$5</f>
        <v>4.6207487283513746E-2</v>
      </c>
      <c r="J14">
        <f>Table15[[#This Row],[g/gDW]]/$I$24*'Macromolecular Composition'!$F$5</f>
        <v>4.5770588139809373E-2</v>
      </c>
      <c r="K14">
        <f>Table15[[#This Row],[g/gDW (normalized)]]/Table15[[#This Row],[MW (-H2O)]]*1000</f>
        <v>0.4009687966693769</v>
      </c>
      <c r="L14" s="11">
        <f>Table15[[#This Row],[mmol/gDW]]/Table15[[#Totals],[g/gDW (normalized)]]</f>
        <v>0.92284605375216677</v>
      </c>
    </row>
    <row r="15" spans="3:12">
      <c r="C15" t="s">
        <v>1162</v>
      </c>
      <c r="D15" t="s">
        <v>1163</v>
      </c>
      <c r="E15" t="s">
        <v>1183</v>
      </c>
      <c r="F15">
        <v>147.19</v>
      </c>
      <c r="G15">
        <v>130.16999999999999</v>
      </c>
      <c r="H15">
        <v>0.19395699999999999</v>
      </c>
      <c r="I15">
        <f>Table15[[#This Row],[mmol/gMM]]*Table15[[#This Row],[MW (-H2O)]]/1000*'Macromolecular Composition'!$F$5</f>
        <v>1.0969774010627374E-2</v>
      </c>
      <c r="J15">
        <f>Table15[[#This Row],[g/gDW]]/$I$24*'Macromolecular Composition'!$F$5</f>
        <v>1.0866053052106793E-2</v>
      </c>
      <c r="K15">
        <f>Table15[[#This Row],[g/gDW (normalized)]]/Table15[[#This Row],[MW (-H2O)]]*1000</f>
        <v>8.3475862734169126E-2</v>
      </c>
      <c r="L15" s="11">
        <f>Table15[[#This Row],[mmol/gDW]]/Table15[[#Totals],[g/gDW (normalized)]]</f>
        <v>0.19212310570716523</v>
      </c>
    </row>
    <row r="16" spans="3:12">
      <c r="C16" t="s">
        <v>1129</v>
      </c>
      <c r="D16" t="s">
        <v>1130</v>
      </c>
      <c r="E16" t="s">
        <v>1184</v>
      </c>
      <c r="F16">
        <v>149.21</v>
      </c>
      <c r="G16">
        <v>132.19</v>
      </c>
      <c r="H16">
        <v>0.148344</v>
      </c>
      <c r="I16">
        <f>Table15[[#This Row],[mmol/gMM]]*Table15[[#This Row],[MW (-H2O)]]/1000*'Macromolecular Composition'!$F$5</f>
        <v>8.5202022815894177E-3</v>
      </c>
      <c r="J16">
        <f>Table15[[#This Row],[g/gDW]]/$I$24*'Macromolecular Composition'!$F$5</f>
        <v>8.4396424134846101E-3</v>
      </c>
      <c r="K16">
        <f>Table15[[#This Row],[g/gDW (normalized)]]/Table15[[#This Row],[MW (-H2O)]]*1000</f>
        <v>6.3844787150953999E-2</v>
      </c>
      <c r="L16" s="11">
        <f>Table15[[#This Row],[mmol/gDW]]/Table15[[#Totals],[g/gDW (normalized)]]</f>
        <v>0.14694138387902328</v>
      </c>
    </row>
    <row r="17" spans="3:12">
      <c r="C17" t="s">
        <v>1139</v>
      </c>
      <c r="D17" t="s">
        <v>1140</v>
      </c>
      <c r="E17" t="s">
        <v>1185</v>
      </c>
      <c r="F17">
        <v>165.19</v>
      </c>
      <c r="G17">
        <v>148.16999999999999</v>
      </c>
      <c r="H17">
        <v>0.233541</v>
      </c>
      <c r="I17">
        <f>Table15[[#This Row],[mmol/gMM]]*Table15[[#This Row],[MW (-H2O)]]/1000*'Macromolecular Composition'!$F$5</f>
        <v>1.5035045063779402E-2</v>
      </c>
      <c r="J17">
        <f>Table15[[#This Row],[g/gDW]]/$I$24*'Macromolecular Composition'!$F$5</f>
        <v>1.4892886320681821E-2</v>
      </c>
      <c r="K17">
        <f>Table15[[#This Row],[g/gDW (normalized)]]/Table15[[#This Row],[MW (-H2O)]]*1000</f>
        <v>0.10051215712142689</v>
      </c>
      <c r="L17" s="11">
        <f>Table15[[#This Row],[mmol/gDW]]/Table15[[#Totals],[g/gDW (normalized)]]</f>
        <v>0.23133283268949861</v>
      </c>
    </row>
    <row r="18" spans="3:12">
      <c r="C18" t="s">
        <v>1145</v>
      </c>
      <c r="D18" t="s">
        <v>1146</v>
      </c>
      <c r="E18" t="s">
        <v>1186</v>
      </c>
      <c r="F18">
        <v>115.13</v>
      </c>
      <c r="G18">
        <v>98.11</v>
      </c>
      <c r="H18">
        <v>0.60907100000000003</v>
      </c>
      <c r="I18">
        <f>Table15[[#This Row],[mmol/gMM]]*Table15[[#This Row],[MW (-H2O)]]/1000*'Macromolecular Composition'!$F$5</f>
        <v>2.5963456849108189E-2</v>
      </c>
      <c r="J18">
        <f>Table15[[#This Row],[g/gDW]]/$I$24*'Macromolecular Composition'!$F$5</f>
        <v>2.5717968233910801E-2</v>
      </c>
      <c r="K18">
        <f>Table15[[#This Row],[g/gDW (normalized)]]/Table15[[#This Row],[MW (-H2O)]]*1000</f>
        <v>0.26213401522689639</v>
      </c>
      <c r="L18" s="11">
        <f>Table15[[#This Row],[mmol/gDW]]/Table15[[#Totals],[g/gDW (normalized)]]</f>
        <v>0.60331213679407747</v>
      </c>
    </row>
    <row r="19" spans="3:12">
      <c r="C19" t="s">
        <v>1141</v>
      </c>
      <c r="D19" t="s">
        <v>1142</v>
      </c>
      <c r="E19" t="s">
        <v>1187</v>
      </c>
      <c r="F19">
        <v>105.09</v>
      </c>
      <c r="G19">
        <v>88.070000000000007</v>
      </c>
      <c r="H19">
        <v>0.60377999999999998</v>
      </c>
      <c r="I19">
        <f>Table15[[#This Row],[mmol/gMM]]*Table15[[#This Row],[MW (-H2O)]]/1000*'Macromolecular Composition'!$F$5</f>
        <v>2.3104045819755829E-2</v>
      </c>
      <c r="J19">
        <f>Table15[[#This Row],[g/gDW]]/$I$24*'Macromolecular Composition'!$F$5</f>
        <v>2.2885593390762585E-2</v>
      </c>
      <c r="K19">
        <f>Table15[[#This Row],[g/gDW (normalized)]]/Table15[[#This Row],[MW (-H2O)]]*1000</f>
        <v>0.25985685694064475</v>
      </c>
      <c r="L19" s="11">
        <f>Table15[[#This Row],[mmol/gDW]]/Table15[[#Totals],[g/gDW (normalized)]]</f>
        <v>0.59807116404085559</v>
      </c>
    </row>
    <row r="20" spans="3:12">
      <c r="C20" t="s">
        <v>1147</v>
      </c>
      <c r="D20" t="s">
        <v>1148</v>
      </c>
      <c r="E20" t="s">
        <v>1188</v>
      </c>
      <c r="F20">
        <v>119.12</v>
      </c>
      <c r="G20">
        <v>102.10000000000001</v>
      </c>
      <c r="H20">
        <v>0.403111</v>
      </c>
      <c r="I20">
        <f>Table15[[#This Row],[mmol/gMM]]*Table15[[#This Row],[MW (-H2O)]]/1000*'Macromolecular Composition'!$F$5</f>
        <v>1.7882643102571722E-2</v>
      </c>
      <c r="J20">
        <f>Table15[[#This Row],[g/gDW]]/$I$24*'Macromolecular Composition'!$F$5</f>
        <v>1.7713559866975138E-2</v>
      </c>
      <c r="K20">
        <f>Table15[[#This Row],[g/gDW (normalized)]]/Table15[[#This Row],[MW (-H2O)]]*1000</f>
        <v>0.1734922611848691</v>
      </c>
      <c r="L20" s="11">
        <f>Table15[[#This Row],[mmol/gDW]]/Table15[[#Totals],[g/gDW (normalized)]]</f>
        <v>0.39929952136154456</v>
      </c>
    </row>
    <row r="21" spans="3:12">
      <c r="C21" t="s">
        <v>1143</v>
      </c>
      <c r="D21" t="s">
        <v>1144</v>
      </c>
      <c r="E21" t="s">
        <v>1189</v>
      </c>
      <c r="F21">
        <v>204.22</v>
      </c>
      <c r="G21">
        <v>187.2</v>
      </c>
      <c r="H21">
        <v>0.117127</v>
      </c>
      <c r="I21">
        <f>Table15[[#This Row],[mmol/gMM]]*Table15[[#This Row],[MW (-H2O)]]/1000*'Macromolecular Composition'!$F$5</f>
        <v>9.5267371291072739E-3</v>
      </c>
      <c r="J21">
        <f>Table15[[#This Row],[g/gDW]]/$I$24*'Macromolecular Composition'!$F$5</f>
        <v>9.436660313883247E-3</v>
      </c>
      <c r="K21">
        <f>Table15[[#This Row],[g/gDW (normalized)]]/Table15[[#This Row],[MW (-H2O)]]*1000</f>
        <v>5.0409510223735299E-2</v>
      </c>
      <c r="L21" s="11">
        <f>Table15[[#This Row],[mmol/gDW]]/Table15[[#Totals],[g/gDW (normalized)]]</f>
        <v>0.11601954558053147</v>
      </c>
    </row>
    <row r="22" spans="3:12">
      <c r="C22" t="s">
        <v>1156</v>
      </c>
      <c r="D22" t="s">
        <v>1157</v>
      </c>
      <c r="E22" t="s">
        <v>1190</v>
      </c>
      <c r="F22">
        <v>181.19</v>
      </c>
      <c r="G22">
        <v>164.17</v>
      </c>
      <c r="H22">
        <v>0.13804</v>
      </c>
      <c r="I22">
        <f>Table15[[#This Row],[mmol/gMM]]*Table15[[#This Row],[MW (-H2O)]]/1000*'Macromolecular Composition'!$F$5</f>
        <v>9.8464587664861443E-3</v>
      </c>
      <c r="J22">
        <f>Table15[[#This Row],[g/gDW]]/$I$24*'Macromolecular Composition'!$F$5</f>
        <v>9.7533589323141809E-3</v>
      </c>
      <c r="K22">
        <f>Table15[[#This Row],[g/gDW (normalized)]]/Table15[[#This Row],[MW (-H2O)]]*1000</f>
        <v>5.9410117148773721E-2</v>
      </c>
      <c r="L22" s="11">
        <f>Table15[[#This Row],[mmol/gDW]]/Table15[[#Totals],[g/gDW (normalized)]]</f>
        <v>0.13673480983835121</v>
      </c>
    </row>
    <row r="23" spans="3:12">
      <c r="C23" t="s">
        <v>1135</v>
      </c>
      <c r="D23" t="s">
        <v>1136</v>
      </c>
      <c r="E23" t="s">
        <v>1191</v>
      </c>
      <c r="F23">
        <v>117.15</v>
      </c>
      <c r="G23">
        <v>100.13000000000001</v>
      </c>
      <c r="H23">
        <v>0.62676500000000002</v>
      </c>
      <c r="I23">
        <f>Table15[[#This Row],[mmol/gMM]]*Table15[[#This Row],[MW (-H2O)]]/1000*'Macromolecular Composition'!$F$5</f>
        <v>2.7267810702721874E-2</v>
      </c>
      <c r="J23">
        <f>Table15[[#This Row],[g/gDW]]/$I$24*'Macromolecular Composition'!$F$5</f>
        <v>2.7009989214320736E-2</v>
      </c>
      <c r="K23">
        <f>Table15[[#This Row],[g/gDW (normalized)]]/Table15[[#This Row],[MW (-H2O)]]*1000</f>
        <v>0.2697492181595999</v>
      </c>
      <c r="L23" s="11">
        <f>Table15[[#This Row],[mmol/gDW]]/Table15[[#Totals],[g/gDW (normalized)]]</f>
        <v>0.62083883720902788</v>
      </c>
    </row>
    <row r="24" spans="3:12">
      <c r="H24">
        <f>SUM(Table15[mmol/gMM])</f>
        <v>9.5811630000000019</v>
      </c>
      <c r="I24">
        <f>SUM(Table15[g/gDW])</f>
        <v>0.43863893396234233</v>
      </c>
      <c r="J24">
        <f>SUM(Table15[g/gDW (normalized)])</f>
        <v>0.43449153305591132</v>
      </c>
      <c r="K24">
        <f>SUM(Table15[mmol/gDW])</f>
        <v>4.1235729951571747</v>
      </c>
      <c r="L24">
        <f>SUM(Table15[mmol/gDW2])</f>
        <v>9.4905715795077299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C9B-103F-4A06-ABF9-0AF063A9F987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A462-A579-4A4F-98F7-158B3F54C74C}">
  <dimension ref="A1"/>
  <sheetViews>
    <sheetView workbookViewId="0">
      <selection activeCell="K20" sqref="K2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7296-151D-4EDE-B860-31B6181EA57E}">
  <dimension ref="B2:AM311"/>
  <sheetViews>
    <sheetView tabSelected="1" zoomScale="110" zoomScaleNormal="110" workbookViewId="0">
      <selection sqref="A1:XFD1048576"/>
    </sheetView>
  </sheetViews>
  <sheetFormatPr defaultRowHeight="15"/>
  <cols>
    <col min="1" max="2" width="9.140625" style="15"/>
    <col min="3" max="3" width="11.42578125" style="15" bestFit="1" customWidth="1"/>
    <col min="4" max="4" width="14.7109375" style="15" bestFit="1" customWidth="1"/>
    <col min="5" max="5" width="10" style="15" customWidth="1"/>
    <col min="6" max="6" width="8.5703125" style="15" customWidth="1"/>
    <col min="7" max="9" width="12.85546875" style="15" bestFit="1" customWidth="1"/>
    <col min="10" max="10" width="12" style="15" bestFit="1" customWidth="1"/>
    <col min="11" max="11" width="12.85546875" style="15" bestFit="1" customWidth="1"/>
    <col min="12" max="12" width="9.85546875" style="15" bestFit="1" customWidth="1"/>
    <col min="13" max="14" width="12.85546875" style="15" bestFit="1" customWidth="1"/>
    <col min="15" max="15" width="14.42578125" style="15" bestFit="1" customWidth="1"/>
    <col min="16" max="17" width="12.85546875" style="15" bestFit="1" customWidth="1"/>
    <col min="18" max="18" width="14.42578125" style="15" bestFit="1" customWidth="1"/>
    <col min="19" max="19" width="19" style="15" bestFit="1" customWidth="1"/>
    <col min="20" max="20" width="9.140625" style="15"/>
    <col min="21" max="21" width="12.85546875" style="15" bestFit="1" customWidth="1"/>
    <col min="22" max="22" width="8.140625" style="15" bestFit="1" customWidth="1"/>
    <col min="23" max="25" width="13.42578125" style="15" bestFit="1" customWidth="1"/>
    <col min="26" max="27" width="13.5703125" style="15" bestFit="1" customWidth="1"/>
    <col min="28" max="28" width="13.42578125" style="15" bestFit="1" customWidth="1"/>
    <col min="29" max="16384" width="9.140625" style="15"/>
  </cols>
  <sheetData>
    <row r="2" spans="3:20">
      <c r="E2" s="15" t="s">
        <v>189</v>
      </c>
      <c r="F2" s="15" t="s">
        <v>190</v>
      </c>
    </row>
    <row r="3" spans="3:20">
      <c r="E3" s="15" t="s">
        <v>191</v>
      </c>
      <c r="F3" s="15" t="s">
        <v>192</v>
      </c>
    </row>
    <row r="4" spans="3:20">
      <c r="E4" s="15" t="s">
        <v>195</v>
      </c>
      <c r="F4" s="15" t="s">
        <v>194</v>
      </c>
    </row>
    <row r="5" spans="3:20">
      <c r="E5" s="15" t="s">
        <v>200</v>
      </c>
      <c r="F5" s="15" t="s">
        <v>201</v>
      </c>
    </row>
    <row r="6" spans="3:20">
      <c r="C6" s="16"/>
      <c r="E6" s="15" t="s">
        <v>196</v>
      </c>
      <c r="F6" s="15" t="s">
        <v>202</v>
      </c>
    </row>
    <row r="7" spans="3:20">
      <c r="C7" s="17"/>
      <c r="E7" s="15" t="s">
        <v>204</v>
      </c>
      <c r="F7" s="15" t="s">
        <v>203</v>
      </c>
    </row>
    <row r="8" spans="3:20">
      <c r="C8" s="18"/>
    </row>
    <row r="10" spans="3:20">
      <c r="E10" s="15" t="s">
        <v>208</v>
      </c>
      <c r="F10" s="19" t="s">
        <v>28</v>
      </c>
      <c r="G10" s="19"/>
      <c r="H10" s="19"/>
      <c r="J10" s="19"/>
      <c r="L10" s="19"/>
      <c r="O10" s="19"/>
      <c r="Q10" s="19"/>
      <c r="S10" s="20"/>
    </row>
    <row r="11" spans="3:20">
      <c r="E11" s="15" t="s">
        <v>154</v>
      </c>
      <c r="G11" s="15">
        <f>AVERAGE(0.122,0.238,0.268)</f>
        <v>0.20933333333333334</v>
      </c>
      <c r="H11" s="15">
        <f>G11/1000</f>
        <v>2.0933333333333334E-4</v>
      </c>
      <c r="K11" s="15">
        <v>5.13</v>
      </c>
      <c r="L11" s="15">
        <f>K11/1000</f>
        <v>5.13E-3</v>
      </c>
      <c r="R11" s="21"/>
      <c r="S11" s="15" t="s">
        <v>227</v>
      </c>
    </row>
    <row r="12" spans="3:20">
      <c r="E12" s="15" t="s">
        <v>228</v>
      </c>
    </row>
    <row r="13" spans="3:20">
      <c r="E13" s="26" t="s">
        <v>207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3"/>
      <c r="S13" s="22"/>
    </row>
    <row r="14" spans="3:20">
      <c r="E14" s="26" t="s">
        <v>206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3"/>
      <c r="S14" s="22"/>
    </row>
    <row r="16" spans="3:20">
      <c r="F16" s="15" t="s">
        <v>189</v>
      </c>
      <c r="J16" s="15" t="s">
        <v>191</v>
      </c>
      <c r="L16" s="15" t="s">
        <v>195</v>
      </c>
      <c r="P16" s="15" t="s">
        <v>200</v>
      </c>
      <c r="R16" s="15" t="s">
        <v>196</v>
      </c>
      <c r="T16" s="15" t="s">
        <v>204</v>
      </c>
    </row>
    <row r="17" spans="2:28">
      <c r="C17" s="15" t="s">
        <v>13</v>
      </c>
      <c r="D17" s="15" t="s">
        <v>14</v>
      </c>
      <c r="E17" s="15" t="s">
        <v>250</v>
      </c>
      <c r="F17" s="15" t="s">
        <v>185</v>
      </c>
      <c r="G17" s="15" t="s">
        <v>179</v>
      </c>
      <c r="H17" s="15" t="s">
        <v>280</v>
      </c>
      <c r="I17" s="15" t="s">
        <v>112</v>
      </c>
      <c r="J17" s="15" t="s">
        <v>193</v>
      </c>
      <c r="L17" s="15" t="s">
        <v>185</v>
      </c>
      <c r="N17" s="15" t="s">
        <v>280</v>
      </c>
      <c r="O17" s="15" t="s">
        <v>112</v>
      </c>
      <c r="P17" s="15" t="s">
        <v>193</v>
      </c>
      <c r="R17" s="15" t="s">
        <v>193</v>
      </c>
      <c r="T17" s="15" t="s">
        <v>112</v>
      </c>
      <c r="X17" s="15" t="s">
        <v>1112</v>
      </c>
      <c r="Z17" s="15" t="s">
        <v>180</v>
      </c>
      <c r="AA17" s="15" t="s">
        <v>310</v>
      </c>
    </row>
    <row r="18" spans="2:28">
      <c r="C18" s="22" t="s">
        <v>21</v>
      </c>
      <c r="D18" s="15" t="s">
        <v>238</v>
      </c>
      <c r="E18" s="15">
        <f>U57</f>
        <v>267.91621301432946</v>
      </c>
      <c r="F18" s="23">
        <f>AVERAGE(1.422,7.607,4.446)</f>
        <v>4.4916666666666663</v>
      </c>
      <c r="G18" s="23">
        <f>F18/1000</f>
        <v>4.4916666666666664E-3</v>
      </c>
      <c r="H18" s="15">
        <f>G18/$U$57</f>
        <v>1.6765191684858693E-5</v>
      </c>
      <c r="I18" s="15">
        <f t="shared" ref="I18:I23" si="0">H18/$H$33</f>
        <v>0.63340893465711023</v>
      </c>
      <c r="J18" s="23">
        <f>AVERAGE(40.3,14.1)</f>
        <v>27.2</v>
      </c>
      <c r="K18" s="23">
        <f>J18/$J$33</f>
        <v>0.29726775956284152</v>
      </c>
      <c r="L18" s="23">
        <v>55.7</v>
      </c>
      <c r="M18" s="23">
        <f t="shared" ref="M18:M23" si="1">L18/1000</f>
        <v>5.57E-2</v>
      </c>
      <c r="N18" s="15">
        <f>M18/U57</f>
        <v>2.0790081859294157E-4</v>
      </c>
      <c r="O18" s="15">
        <f t="shared" ref="O18:O23" si="2">N18/$N$33</f>
        <v>0.60611452083185813</v>
      </c>
      <c r="P18" s="23">
        <v>11.32</v>
      </c>
      <c r="Q18" s="23">
        <f>P18/$P$33</f>
        <v>0.23031536113936926</v>
      </c>
      <c r="R18" s="23">
        <v>42</v>
      </c>
      <c r="S18" s="23">
        <f>R18/$R$33</f>
        <v>0.43979057591623039</v>
      </c>
      <c r="T18" s="24">
        <v>0.5994823929940778</v>
      </c>
      <c r="U18" s="22">
        <f>T18/$T$33</f>
        <v>0.63684754443539038</v>
      </c>
      <c r="V18" s="30">
        <f>AVERAGE(I18,O18,Q18,S18,U18)</f>
        <v>0.50929538739599178</v>
      </c>
      <c r="W18" s="15">
        <f>V18/$V$33</f>
        <v>0.42462868701706036</v>
      </c>
      <c r="X18" s="15">
        <f>173.1 + (3*(E18-45.02))</f>
        <v>841.78863904298839</v>
      </c>
      <c r="Y18" s="15">
        <f t="shared" ref="Y18:Y32" si="3">W18*X18</f>
        <v>357.44760454270232</v>
      </c>
      <c r="Z18" s="15">
        <f>Y18/$Y$33</f>
        <v>0.46734462455912129</v>
      </c>
      <c r="AA18" s="15">
        <f>W18/$Y$33*1000</f>
        <v>0.55518048460529879</v>
      </c>
      <c r="AB18" s="15">
        <f>Z18*'Macromolecular Composition'!$F$8</f>
        <v>0.10896472729633239</v>
      </c>
    </row>
    <row r="19" spans="2:28">
      <c r="B19" s="15" t="s">
        <v>644</v>
      </c>
      <c r="C19" s="22" t="s">
        <v>153</v>
      </c>
      <c r="D19" s="15" t="s">
        <v>239</v>
      </c>
      <c r="E19" s="15">
        <f>U94</f>
        <v>273.26255743052411</v>
      </c>
      <c r="F19" s="23">
        <f>AVERAGE(0.294,0.214,0.251)</f>
        <v>0.253</v>
      </c>
      <c r="G19" s="23">
        <f t="shared" ref="G19:G27" si="4">F19/1000</f>
        <v>2.5300000000000002E-4</v>
      </c>
      <c r="H19" s="15">
        <f>G19/U94</f>
        <v>9.2584949207439168E-7</v>
      </c>
      <c r="I19" s="15">
        <f t="shared" si="0"/>
        <v>3.4979697903323434E-2</v>
      </c>
      <c r="J19" s="27"/>
      <c r="K19" s="27"/>
      <c r="L19" s="23">
        <v>1.38</v>
      </c>
      <c r="M19" s="23">
        <f>L19/1000</f>
        <v>1.3799999999999999E-3</v>
      </c>
      <c r="N19" s="15">
        <f>M19/U94</f>
        <v>5.0500881385875903E-6</v>
      </c>
      <c r="O19" s="15">
        <f t="shared" si="2"/>
        <v>1.4723038480535302E-2</v>
      </c>
      <c r="P19" s="27"/>
      <c r="Q19" s="27"/>
      <c r="R19" s="27"/>
      <c r="S19" s="27"/>
      <c r="T19" s="23">
        <v>7.2433234219152127E-4</v>
      </c>
      <c r="U19" s="22">
        <f t="shared" ref="U19:U27" si="5">T19/$T$33</f>
        <v>7.6947926890049995E-4</v>
      </c>
      <c r="V19" s="30">
        <f t="shared" ref="V19:V32" si="6">AVERAGE(I19,O19,Q19,S19,U19)</f>
        <v>1.682407188425308E-2</v>
      </c>
      <c r="W19" s="15">
        <f t="shared" ref="W19:W32" si="7">V19/$V$33</f>
        <v>1.4027190764514766E-2</v>
      </c>
      <c r="X19" s="15">
        <f>146.1 + (E19-45.02)</f>
        <v>374.3425574305241</v>
      </c>
      <c r="Y19" s="15">
        <f t="shared" si="3"/>
        <v>5.2509744643542859</v>
      </c>
      <c r="Z19" s="15">
        <f t="shared" ref="Z19:Z32" si="8">Y19/$Y$33</f>
        <v>6.8653829496289681E-3</v>
      </c>
      <c r="AA19" s="15">
        <f t="shared" ref="AA19:AA32" si="9">W19/$Y$33*1000</f>
        <v>1.8339840911364039E-2</v>
      </c>
      <c r="AB19" s="15">
        <f>Z19*'Macromolecular Composition'!$F$8</f>
        <v>1.6007129248505443E-3</v>
      </c>
    </row>
    <row r="20" spans="2:28">
      <c r="B20" s="15" t="s">
        <v>644</v>
      </c>
      <c r="C20" s="22" t="s">
        <v>22</v>
      </c>
      <c r="D20" s="15" t="s">
        <v>240</v>
      </c>
      <c r="E20" s="15">
        <f>U78</f>
        <v>254.83784825673851</v>
      </c>
      <c r="F20" s="23">
        <f>AVERAGE(2.068,0.965,0.446)</f>
        <v>1.1596666666666666</v>
      </c>
      <c r="G20" s="23">
        <f t="shared" si="4"/>
        <v>1.1596666666666667E-3</v>
      </c>
      <c r="H20" s="15">
        <f>G20/U78</f>
        <v>4.5506060995239249E-6</v>
      </c>
      <c r="I20" s="15">
        <f t="shared" si="0"/>
        <v>0.17192732512249184</v>
      </c>
      <c r="J20" s="27"/>
      <c r="K20" s="27"/>
      <c r="L20" s="23">
        <v>1.0900000000000001</v>
      </c>
      <c r="M20" s="23">
        <f t="shared" si="1"/>
        <v>1.09E-3</v>
      </c>
      <c r="N20" s="15">
        <f>M20/U78</f>
        <v>4.2772296480147268E-6</v>
      </c>
      <c r="O20" s="15">
        <f t="shared" si="2"/>
        <v>1.2469845073915842E-2</v>
      </c>
      <c r="P20" s="27"/>
      <c r="Q20" s="27"/>
      <c r="R20" s="27"/>
      <c r="S20" s="27"/>
      <c r="T20" s="23">
        <v>1.9431389714051114E-2</v>
      </c>
      <c r="U20" s="22">
        <f t="shared" si="5"/>
        <v>2.064252923685584E-2</v>
      </c>
      <c r="V20" s="30">
        <f t="shared" si="6"/>
        <v>6.8346566477754514E-2</v>
      </c>
      <c r="W20" s="15">
        <f t="shared" si="7"/>
        <v>5.6984440668039586E-2</v>
      </c>
      <c r="X20" s="15">
        <f>146.1 + (2*(E20-45.02))</f>
        <v>565.73569651347702</v>
      </c>
      <c r="Y20" s="15">
        <f t="shared" si="3"/>
        <v>32.238132231764283</v>
      </c>
      <c r="Z20" s="15">
        <f t="shared" si="8"/>
        <v>4.2149723799705288E-2</v>
      </c>
      <c r="AA20" s="15">
        <f t="shared" si="9"/>
        <v>7.4504267733972118E-2</v>
      </c>
      <c r="AB20" s="15">
        <f>Z20*'Macromolecular Composition'!$F$8</f>
        <v>9.8275082628442693E-3</v>
      </c>
    </row>
    <row r="21" spans="2:28">
      <c r="B21" s="15" t="s">
        <v>644</v>
      </c>
      <c r="C21" s="22" t="s">
        <v>23</v>
      </c>
      <c r="D21" s="15" t="s">
        <v>241</v>
      </c>
      <c r="E21" s="15">
        <f>U114</f>
        <v>275.29079334984976</v>
      </c>
      <c r="F21" s="23">
        <f>AVERAGE(0.174,0.116,0.302)</f>
        <v>0.19733333333333333</v>
      </c>
      <c r="G21" s="23">
        <f t="shared" si="4"/>
        <v>1.9733333333333332E-4</v>
      </c>
      <c r="H21" s="15">
        <f>G21/U114</f>
        <v>7.1681777269810396E-7</v>
      </c>
      <c r="I21" s="15">
        <f t="shared" si="0"/>
        <v>2.7082230271071043E-2</v>
      </c>
      <c r="J21" s="27"/>
      <c r="K21" s="27"/>
      <c r="L21" s="23">
        <v>0.6</v>
      </c>
      <c r="M21" s="23">
        <f t="shared" si="1"/>
        <v>5.9999999999999995E-4</v>
      </c>
      <c r="N21" s="15">
        <f>M21/U114</f>
        <v>2.1795134980685594E-6</v>
      </c>
      <c r="O21" s="15">
        <f t="shared" si="2"/>
        <v>6.3541586246223768E-3</v>
      </c>
      <c r="P21" s="23">
        <v>16.16</v>
      </c>
      <c r="Q21" s="23">
        <f>P21/$P$33</f>
        <v>0.32878942014242113</v>
      </c>
      <c r="R21" s="27"/>
      <c r="S21" s="27"/>
      <c r="T21" s="23">
        <v>3.2187500709851373E-3</v>
      </c>
      <c r="U21" s="22">
        <f t="shared" si="5"/>
        <v>3.419371615937306E-3</v>
      </c>
      <c r="V21" s="30">
        <f t="shared" si="6"/>
        <v>9.1411295163512957E-2</v>
      </c>
      <c r="W21" s="15">
        <f t="shared" si="7"/>
        <v>7.6214823861404851E-2</v>
      </c>
      <c r="X21" s="15">
        <f>E21</f>
        <v>275.29079334984976</v>
      </c>
      <c r="Y21" s="15">
        <f t="shared" si="3"/>
        <v>20.9812393258252</v>
      </c>
      <c r="Z21" s="15">
        <f t="shared" si="8"/>
        <v>2.743190691697989E-2</v>
      </c>
      <c r="AA21" s="15">
        <f t="shared" si="9"/>
        <v>9.9647019005529941E-2</v>
      </c>
      <c r="AB21" s="15">
        <f>Z21*'Macromolecular Composition'!$F$8</f>
        <v>6.3959444473057191E-3</v>
      </c>
    </row>
    <row r="22" spans="2:28">
      <c r="B22" s="15" t="s">
        <v>644</v>
      </c>
      <c r="C22" s="22" t="s">
        <v>24</v>
      </c>
      <c r="D22" s="15" t="s">
        <v>242</v>
      </c>
      <c r="E22" s="15">
        <f>U135</f>
        <v>260.60622924815652</v>
      </c>
      <c r="F22" s="23">
        <f>AVERAGE(0.247,0.161,0.145)</f>
        <v>0.18433333333333335</v>
      </c>
      <c r="G22" s="23">
        <f t="shared" si="4"/>
        <v>1.8433333333333336E-4</v>
      </c>
      <c r="H22" s="15">
        <f>G22/U135</f>
        <v>7.0732512367463798E-7</v>
      </c>
      <c r="I22" s="15">
        <f t="shared" si="0"/>
        <v>2.6723586670803844E-2</v>
      </c>
      <c r="J22" s="23">
        <f>AVERAGE(9.7,16)</f>
        <v>12.85</v>
      </c>
      <c r="K22" s="23">
        <f>J22/$J$33</f>
        <v>0.14043715846994534</v>
      </c>
      <c r="L22" s="23">
        <v>2.0499999999999998</v>
      </c>
      <c r="M22" s="23">
        <f t="shared" si="1"/>
        <v>2.0499999999999997E-3</v>
      </c>
      <c r="N22" s="15">
        <f>M22/U135</f>
        <v>7.8662739793834028E-6</v>
      </c>
      <c r="O22" s="15">
        <f t="shared" si="2"/>
        <v>2.2933353105652268E-2</v>
      </c>
      <c r="P22" s="23">
        <v>5.87</v>
      </c>
      <c r="Q22" s="23">
        <f>P22/$P$33</f>
        <v>0.11943031536113936</v>
      </c>
      <c r="R22" s="23">
        <v>9.3000000000000007</v>
      </c>
      <c r="S22" s="23">
        <f>R22/$R$33</f>
        <v>9.7382198952879584E-2</v>
      </c>
      <c r="T22" s="23">
        <v>0.10661462198110688</v>
      </c>
      <c r="U22" s="22">
        <f t="shared" si="5"/>
        <v>0.11325980713206044</v>
      </c>
      <c r="V22" s="30">
        <f t="shared" si="6"/>
        <v>7.5945852244507089E-2</v>
      </c>
      <c r="W22" s="15">
        <f t="shared" si="7"/>
        <v>6.3320399754381348E-2</v>
      </c>
      <c r="X22" s="15">
        <f>372.3+(2*(E22-45.02))</f>
        <v>803.47245849631304</v>
      </c>
      <c r="Y22" s="15">
        <f t="shared" si="3"/>
        <v>50.876197263622117</v>
      </c>
      <c r="Z22" s="15">
        <f t="shared" si="8"/>
        <v>6.6518049098641521E-2</v>
      </c>
      <c r="AA22" s="15">
        <f t="shared" si="9"/>
        <v>8.2788213080917647E-2</v>
      </c>
      <c r="AB22" s="15">
        <f>Z22*'Macromolecular Composition'!$F$8</f>
        <v>1.550915683935635E-2</v>
      </c>
    </row>
    <row r="23" spans="2:28">
      <c r="B23" s="15" t="s">
        <v>644</v>
      </c>
      <c r="C23" s="22" t="s">
        <v>25</v>
      </c>
      <c r="D23" s="15" t="s">
        <v>243</v>
      </c>
      <c r="E23" s="15">
        <f>U198</f>
        <v>274.18765834996424</v>
      </c>
      <c r="F23" s="23">
        <f>AVERAGE(0.166,0.102,0.055)</f>
        <v>0.10766666666666667</v>
      </c>
      <c r="G23" s="23">
        <f t="shared" si="4"/>
        <v>1.0766666666666668E-4</v>
      </c>
      <c r="H23" s="15">
        <f>G23/U198</f>
        <v>3.9267510184300283E-7</v>
      </c>
      <c r="I23" s="15">
        <f t="shared" si="0"/>
        <v>1.4835733619996787E-2</v>
      </c>
      <c r="J23" s="23">
        <f>AVERAGE(4,8.7)</f>
        <v>6.35</v>
      </c>
      <c r="K23" s="23">
        <f>J23/$J$33</f>
        <v>6.9398907103825139E-2</v>
      </c>
      <c r="L23" s="23">
        <v>1.3</v>
      </c>
      <c r="M23" s="23">
        <f t="shared" si="1"/>
        <v>1.2999999999999999E-3</v>
      </c>
      <c r="N23" s="15">
        <f>M23/U198</f>
        <v>4.741278319466597E-6</v>
      </c>
      <c r="O23" s="15">
        <f t="shared" si="2"/>
        <v>1.3822733629349649E-2</v>
      </c>
      <c r="P23" s="23">
        <v>4.3099999999999996</v>
      </c>
      <c r="Q23" s="23">
        <f>P23/$P$33</f>
        <v>8.7690742624618498E-2</v>
      </c>
      <c r="R23" s="23">
        <v>0.9</v>
      </c>
      <c r="S23" s="23">
        <f>R23/$R$33</f>
        <v>9.4240837696335077E-3</v>
      </c>
      <c r="T23" s="23">
        <v>4.944798965714145E-2</v>
      </c>
      <c r="U23" s="22">
        <f t="shared" si="5"/>
        <v>5.2530034507165591E-2</v>
      </c>
      <c r="V23" s="30">
        <f t="shared" si="6"/>
        <v>3.5660665630152806E-2</v>
      </c>
      <c r="W23" s="15">
        <f t="shared" si="7"/>
        <v>2.973233608517337E-2</v>
      </c>
      <c r="X23" s="15">
        <f>300.156+(2*(E23-45.02))</f>
        <v>758.49131669992846</v>
      </c>
      <c r="Y23" s="15">
        <f t="shared" si="3"/>
        <v>22.551718745807946</v>
      </c>
      <c r="Z23" s="15">
        <f t="shared" si="8"/>
        <v>2.9485229153811337E-2</v>
      </c>
      <c r="AA23" s="15">
        <f t="shared" si="9"/>
        <v>3.8873522352367518E-2</v>
      </c>
      <c r="AB23" s="15">
        <f>Z23*'Macromolecular Composition'!$F$8</f>
        <v>6.8746911490547829E-3</v>
      </c>
    </row>
    <row r="24" spans="2:28">
      <c r="B24" s="15" t="s">
        <v>644</v>
      </c>
      <c r="C24" s="22" t="s">
        <v>26</v>
      </c>
      <c r="D24" s="15" t="s">
        <v>246</v>
      </c>
      <c r="E24" s="15">
        <f>U209</f>
        <v>269.5528906486054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3">
        <v>2.14</v>
      </c>
      <c r="Q24" s="23">
        <f>P24/$P$33</f>
        <v>4.3540183112919628E-2</v>
      </c>
      <c r="R24" s="27"/>
      <c r="S24" s="27"/>
      <c r="T24" s="23">
        <v>1.0747236353116233E-2</v>
      </c>
      <c r="U24" s="22">
        <f t="shared" si="5"/>
        <v>1.1417101087431682E-2</v>
      </c>
      <c r="V24" s="30">
        <f t="shared" si="6"/>
        <v>2.7478642100175657E-2</v>
      </c>
      <c r="W24" s="15">
        <f t="shared" si="7"/>
        <v>2.2910515203501992E-2</v>
      </c>
      <c r="X24" s="15">
        <f>311.22+(2*(E24-45.02))</f>
        <v>760.28578129721086</v>
      </c>
      <c r="Y24" s="15">
        <f t="shared" si="3"/>
        <v>17.418538951416139</v>
      </c>
      <c r="Z24" s="15">
        <f t="shared" si="8"/>
        <v>2.2773856764356937E-2</v>
      </c>
      <c r="AA24" s="15">
        <f t="shared" si="9"/>
        <v>2.9954337335494883E-2</v>
      </c>
      <c r="AB24" s="15">
        <f>Z24*'Macromolecular Composition'!$F$8</f>
        <v>5.3098868830574533E-3</v>
      </c>
    </row>
    <row r="25" spans="2:28">
      <c r="B25" s="15" t="s">
        <v>644</v>
      </c>
      <c r="C25" s="22" t="s">
        <v>27</v>
      </c>
      <c r="D25" s="15" t="s">
        <v>244</v>
      </c>
      <c r="E25" s="15">
        <f>U219</f>
        <v>270.69525382272877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3">
        <v>1.96</v>
      </c>
      <c r="Q25" s="23">
        <f>P25/$P$33</f>
        <v>3.9877924720244144E-2</v>
      </c>
      <c r="R25" s="27"/>
      <c r="S25" s="27"/>
      <c r="T25" s="23">
        <v>2.4760519458733064E-2</v>
      </c>
      <c r="U25" s="22">
        <f t="shared" si="5"/>
        <v>2.6303818428233018E-2</v>
      </c>
      <c r="V25" s="30">
        <f>AVERAGE(I25,O25,Q25,S25,U25)</f>
        <v>3.3090871574238581E-2</v>
      </c>
      <c r="W25" s="15">
        <f t="shared" si="7"/>
        <v>2.7589751834712333E-2</v>
      </c>
      <c r="X25" s="15">
        <f>269.15+(2*(E25-45.02))</f>
        <v>720.50050764545745</v>
      </c>
      <c r="Y25" s="15">
        <f t="shared" si="3"/>
        <v>19.878430202722427</v>
      </c>
      <c r="Z25" s="15">
        <f t="shared" si="8"/>
        <v>2.5990039887947198E-2</v>
      </c>
      <c r="AA25" s="15">
        <f t="shared" si="9"/>
        <v>3.6072202048657444E-2</v>
      </c>
      <c r="AB25" s="15">
        <f>Z25*'Macromolecular Composition'!$F$8</f>
        <v>6.0597628815835594E-3</v>
      </c>
    </row>
    <row r="26" spans="2:28">
      <c r="B26" s="15" t="s">
        <v>644</v>
      </c>
      <c r="C26" s="22" t="s">
        <v>29</v>
      </c>
      <c r="D26" s="15" t="s">
        <v>247</v>
      </c>
      <c r="E26" s="15">
        <f>U155</f>
        <v>276.09756370325675</v>
      </c>
      <c r="F26" s="23">
        <f>AVERAGE(1.232,0.055,0.066)</f>
        <v>0.45100000000000001</v>
      </c>
      <c r="G26" s="23">
        <f t="shared" si="4"/>
        <v>4.5100000000000001E-4</v>
      </c>
      <c r="H26" s="15">
        <f>G26/U155</f>
        <v>1.6334805492334018E-6</v>
      </c>
      <c r="I26" s="15">
        <f>H26/$H$33</f>
        <v>6.1714843105998229E-2</v>
      </c>
      <c r="J26" s="23">
        <f>AVERAGE(24.7,18.2)</f>
        <v>21.45</v>
      </c>
      <c r="K26" s="23">
        <f>J26/$J$33</f>
        <v>0.23442622950819672</v>
      </c>
      <c r="L26" s="23">
        <v>16.5</v>
      </c>
      <c r="M26" s="23">
        <f>L26/1000</f>
        <v>1.6500000000000001E-2</v>
      </c>
      <c r="N26" s="15">
        <f>M26/U155</f>
        <v>5.9761483508539093E-5</v>
      </c>
      <c r="O26" s="15">
        <f>N26/$N$33</f>
        <v>0.17422876536095058</v>
      </c>
      <c r="P26" s="27"/>
      <c r="Q26" s="27"/>
      <c r="R26" s="23">
        <v>18.899999999999999</v>
      </c>
      <c r="S26" s="23">
        <f>R26/$R$33</f>
        <v>0.19790575916230366</v>
      </c>
      <c r="T26" s="23">
        <v>2.9402040812994162E-2</v>
      </c>
      <c r="U26" s="22">
        <f t="shared" si="5"/>
        <v>3.1234641270489218E-2</v>
      </c>
      <c r="V26" s="30">
        <f t="shared" si="6"/>
        <v>0.11627100222493542</v>
      </c>
      <c r="W26" s="15">
        <f t="shared" si="7"/>
        <v>9.6941783167071721E-2</v>
      </c>
      <c r="X26" s="15">
        <f>308.24+(2*(E26-45.02))</f>
        <v>770.39512740651344</v>
      </c>
      <c r="Y26" s="15">
        <f t="shared" si="3"/>
        <v>74.683477394010822</v>
      </c>
      <c r="Z26" s="15">
        <f t="shared" si="8"/>
        <v>9.7644861120628784E-2</v>
      </c>
      <c r="AA26" s="15">
        <f t="shared" si="9"/>
        <v>0.12674646768515274</v>
      </c>
      <c r="AB26" s="15">
        <f>Z26*'Macromolecular Composition'!$F$8</f>
        <v>2.276659472425701E-2</v>
      </c>
    </row>
    <row r="27" spans="2:28">
      <c r="B27" s="15" t="s">
        <v>644</v>
      </c>
      <c r="C27" s="22" t="s">
        <v>30</v>
      </c>
      <c r="D27" s="15" t="s">
        <v>245</v>
      </c>
      <c r="E27" s="15">
        <f>U176</f>
        <v>274.38313755123386</v>
      </c>
      <c r="F27" s="23">
        <f>AVERAGE(0.114,0.119,0.151)</f>
        <v>0.128</v>
      </c>
      <c r="G27" s="23">
        <f t="shared" si="4"/>
        <v>1.2799999999999999E-4</v>
      </c>
      <c r="H27" s="15">
        <f>G27/U176</f>
        <v>4.6650097065858995E-7</v>
      </c>
      <c r="I27" s="15">
        <f>H27/$H$33</f>
        <v>1.7624962982572413E-2</v>
      </c>
      <c r="J27" s="23">
        <f>AVERAGE(7.6,7.6)</f>
        <v>7.6</v>
      </c>
      <c r="K27" s="23">
        <f>J27/$J$33</f>
        <v>8.3060109289617476E-2</v>
      </c>
      <c r="L27" s="23">
        <v>3.02</v>
      </c>
      <c r="M27" s="23">
        <f>L27/1000</f>
        <v>3.0200000000000001E-3</v>
      </c>
      <c r="N27" s="15">
        <f>M27/U176</f>
        <v>1.1006507276476107E-5</v>
      </c>
      <c r="O27" s="15">
        <f>N27/$N$33</f>
        <v>3.2088396424140728E-2</v>
      </c>
      <c r="P27" s="23">
        <v>7.39</v>
      </c>
      <c r="Q27" s="23">
        <f>P27/$P$33</f>
        <v>0.15035605289928786</v>
      </c>
      <c r="R27" s="23">
        <v>11.8</v>
      </c>
      <c r="S27" s="23">
        <f>R27/$R$33</f>
        <v>0.12356020942408377</v>
      </c>
      <c r="T27" s="25">
        <v>7.151436645479424E-3</v>
      </c>
      <c r="U27" s="22">
        <f t="shared" si="5"/>
        <v>7.5971786996316812E-3</v>
      </c>
      <c r="V27" s="30">
        <f t="shared" si="6"/>
        <v>6.6245360085943297E-2</v>
      </c>
      <c r="W27" s="15">
        <f t="shared" si="7"/>
        <v>5.5232544747935923E-2</v>
      </c>
      <c r="X27" s="15">
        <f>470.38+(2*(E27-45.02))</f>
        <v>929.10627510246763</v>
      </c>
      <c r="Y27" s="15">
        <f t="shared" si="3"/>
        <v>51.316903915185108</v>
      </c>
      <c r="Z27" s="15">
        <f t="shared" si="8"/>
        <v>6.709425070692733E-2</v>
      </c>
      <c r="AA27" s="15">
        <f t="shared" si="9"/>
        <v>7.2213752618910845E-2</v>
      </c>
      <c r="AB27" s="15">
        <f>Z27*'Macromolecular Composition'!$F$8</f>
        <v>1.5643502347606929E-2</v>
      </c>
    </row>
    <row r="28" spans="2:28">
      <c r="B28" s="15" t="s">
        <v>644</v>
      </c>
      <c r="C28" s="22" t="s">
        <v>155</v>
      </c>
      <c r="D28" s="15" t="s">
        <v>248</v>
      </c>
      <c r="E28" s="15">
        <f>U236</f>
        <v>283.02488036933528</v>
      </c>
      <c r="F28" s="23">
        <f>AVERAGE(0.109,0.085,0.069)</f>
        <v>8.7666666666666671E-2</v>
      </c>
      <c r="G28" s="23">
        <f>F28/1000</f>
        <v>8.7666666666666665E-5</v>
      </c>
      <c r="H28" s="15">
        <f>G28/U236</f>
        <v>3.0974897525710618E-7</v>
      </c>
      <c r="I28" s="15">
        <f>H28/$H$33</f>
        <v>1.1702685666632084E-2</v>
      </c>
      <c r="J28" s="27"/>
      <c r="K28" s="27"/>
      <c r="L28" s="23">
        <v>3.57</v>
      </c>
      <c r="M28" s="23">
        <f>L28/1000</f>
        <v>3.5699999999999998E-3</v>
      </c>
      <c r="N28" s="15">
        <f>M28/U236</f>
        <v>1.2613732034234246E-5</v>
      </c>
      <c r="O28" s="15">
        <f>N28/$N$33</f>
        <v>3.677410314963963E-2</v>
      </c>
      <c r="P28" s="27"/>
      <c r="Q28" s="27"/>
      <c r="R28" s="27"/>
      <c r="S28" s="27"/>
      <c r="T28" s="27"/>
      <c r="U28" s="27"/>
      <c r="V28" s="30">
        <f t="shared" si="6"/>
        <v>2.4238394408135855E-2</v>
      </c>
      <c r="W28" s="15">
        <f t="shared" si="7"/>
        <v>2.0208935418701942E-2</v>
      </c>
      <c r="X28" s="15">
        <f>508.22+(4*(E28-45.02))</f>
        <v>1460.239521477341</v>
      </c>
      <c r="Y28" s="15">
        <f t="shared" si="3"/>
        <v>29.509886185371812</v>
      </c>
      <c r="Z28" s="15">
        <f t="shared" si="8"/>
        <v>3.8582680383964972E-2</v>
      </c>
      <c r="AA28" s="15">
        <f t="shared" si="9"/>
        <v>2.6422158705121494E-2</v>
      </c>
      <c r="AB28" s="15">
        <f>Z28*'Macromolecular Composition'!$F$8</f>
        <v>8.9958266886376714E-3</v>
      </c>
    </row>
    <row r="29" spans="2:28">
      <c r="C29" s="22" t="s">
        <v>197</v>
      </c>
      <c r="D29" s="15" t="s">
        <v>18</v>
      </c>
      <c r="E29" s="15">
        <f>U253</f>
        <v>311.78862809999998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3">
        <v>1.9</v>
      </c>
      <c r="S29" s="23">
        <f>R29/$R$33</f>
        <v>1.9895287958115182E-2</v>
      </c>
      <c r="T29" s="27"/>
      <c r="U29" s="27"/>
      <c r="V29" s="30">
        <f t="shared" si="6"/>
        <v>1.9895287958115182E-2</v>
      </c>
      <c r="W29" s="15">
        <f t="shared" si="7"/>
        <v>1.6587839223668705E-2</v>
      </c>
      <c r="X29" s="15">
        <f>289.28+(2*(E29-45.02))</f>
        <v>822.81725619999997</v>
      </c>
      <c r="Y29" s="15">
        <f t="shared" si="3"/>
        <v>13.648760356305822</v>
      </c>
      <c r="Z29" s="15">
        <f t="shared" si="8"/>
        <v>1.7845062334592137E-2</v>
      </c>
      <c r="AA29" s="15">
        <f t="shared" si="9"/>
        <v>2.1687758977012247E-2</v>
      </c>
      <c r="AB29" s="15">
        <f>Z29*'Macromolecular Composition'!$F$8</f>
        <v>4.1607033625544534E-3</v>
      </c>
    </row>
    <row r="30" spans="2:28">
      <c r="B30" s="15" t="s">
        <v>644</v>
      </c>
      <c r="C30" s="22" t="s">
        <v>198</v>
      </c>
      <c r="D30" s="15" t="s">
        <v>18</v>
      </c>
      <c r="E30" s="15">
        <f>U275</f>
        <v>283.69644424403884</v>
      </c>
      <c r="F30" s="27"/>
      <c r="G30" s="27"/>
      <c r="H30" s="27"/>
      <c r="I30" s="27"/>
      <c r="J30" s="23">
        <f>16.05/2</f>
        <v>8.0250000000000004</v>
      </c>
      <c r="K30" s="23">
        <f>J30/$J$33</f>
        <v>8.7704918032786891E-2</v>
      </c>
      <c r="L30" s="23">
        <f>7.85/2</f>
        <v>3.9249999999999998</v>
      </c>
      <c r="M30" s="23">
        <f>L30/1000</f>
        <v>3.9249999999999997E-3</v>
      </c>
      <c r="N30" s="15">
        <f>M30/U275</f>
        <v>1.3835210414634844E-5</v>
      </c>
      <c r="O30" s="15">
        <f>N30/$N$33</f>
        <v>4.0335204006546589E-2</v>
      </c>
      <c r="P30" s="27"/>
      <c r="Q30" s="27"/>
      <c r="R30" s="23">
        <v>5.8</v>
      </c>
      <c r="S30" s="23">
        <f>R30/$R$33</f>
        <v>6.0732984293193716E-2</v>
      </c>
      <c r="T30" s="23">
        <v>2.5686125203968586E-2</v>
      </c>
      <c r="U30" s="22">
        <f>T30/$T$33</f>
        <v>2.7287116274604221E-2</v>
      </c>
      <c r="V30" s="30">
        <f t="shared" si="6"/>
        <v>4.2785101524781509E-2</v>
      </c>
      <c r="W30" s="15">
        <f t="shared" si="7"/>
        <v>3.5672385680244979E-2</v>
      </c>
      <c r="X30" s="15">
        <f>289.28+(2*(E30-45.02))</f>
        <v>766.6328884880777</v>
      </c>
      <c r="Y30" s="15">
        <f t="shared" si="3"/>
        <v>27.34762407330695</v>
      </c>
      <c r="Z30" s="15">
        <f t="shared" si="8"/>
        <v>3.5755632273643548E-2</v>
      </c>
      <c r="AA30" s="15">
        <f t="shared" si="9"/>
        <v>4.6639836107422096E-2</v>
      </c>
      <c r="AB30" s="15">
        <f>Z30*'Macromolecular Composition'!$F$8</f>
        <v>8.336680289584961E-3</v>
      </c>
    </row>
    <row r="31" spans="2:28">
      <c r="C31" s="22" t="s">
        <v>199</v>
      </c>
      <c r="D31" s="15" t="s">
        <v>18</v>
      </c>
      <c r="E31" s="15">
        <f>U295</f>
        <v>284.9633373846745</v>
      </c>
      <c r="F31" s="27"/>
      <c r="G31" s="27"/>
      <c r="H31" s="27"/>
      <c r="I31" s="27"/>
      <c r="J31" s="23">
        <f>16.05/2</f>
        <v>8.0250000000000004</v>
      </c>
      <c r="K31" s="23">
        <f>J31/$J$33</f>
        <v>8.7704918032786891E-2</v>
      </c>
      <c r="L31" s="23">
        <f>7.85/2</f>
        <v>3.9249999999999998</v>
      </c>
      <c r="M31" s="23">
        <f>L31/1000</f>
        <v>3.9249999999999997E-3</v>
      </c>
      <c r="N31" s="15">
        <f>M31/U295</f>
        <v>1.3773701683952445E-5</v>
      </c>
      <c r="O31" s="15">
        <f>N31/$N$33</f>
        <v>4.0155881312788785E-2</v>
      </c>
      <c r="P31" s="27"/>
      <c r="Q31" s="27"/>
      <c r="R31" s="23">
        <v>4.9000000000000004</v>
      </c>
      <c r="S31" s="23">
        <f>R31/$R$33</f>
        <v>5.1308900523560214E-2</v>
      </c>
      <c r="T31" s="23">
        <v>3.8516554580932019E-2</v>
      </c>
      <c r="U31" s="22">
        <f>T31/$T$33</f>
        <v>4.0917253770321425E-2</v>
      </c>
      <c r="V31" s="30">
        <f t="shared" si="6"/>
        <v>4.4127345202223472E-2</v>
      </c>
      <c r="W31" s="15">
        <f t="shared" si="7"/>
        <v>3.679149098634895E-2</v>
      </c>
      <c r="X31" s="15">
        <f>289.28+(2*(E31-45.02))</f>
        <v>769.1666747693489</v>
      </c>
      <c r="Y31" s="15">
        <f t="shared" si="3"/>
        <v>28.298788781776494</v>
      </c>
      <c r="Z31" s="15">
        <f t="shared" si="8"/>
        <v>3.6999231917127749E-2</v>
      </c>
      <c r="AA31" s="15">
        <f t="shared" si="9"/>
        <v>4.8103009569704452E-2</v>
      </c>
      <c r="AB31" s="15">
        <f>Z31*'Macromolecular Composition'!$F$8</f>
        <v>8.6266344024538248E-3</v>
      </c>
    </row>
    <row r="32" spans="2:28">
      <c r="B32" s="15" t="s">
        <v>644</v>
      </c>
      <c r="C32" s="31" t="s">
        <v>205</v>
      </c>
      <c r="D32" s="15" t="s">
        <v>249</v>
      </c>
      <c r="E32" s="15">
        <f>U311</f>
        <v>297.57057632367679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3">
        <v>2.6144559444351199E-2</v>
      </c>
      <c r="U32" s="22">
        <f>T32/$T$33</f>
        <v>2.7774124272978672E-2</v>
      </c>
      <c r="V32" s="30">
        <f t="shared" si="6"/>
        <v>2.7774124272978672E-2</v>
      </c>
      <c r="W32" s="15">
        <f t="shared" si="7"/>
        <v>2.3156875587238859E-2</v>
      </c>
      <c r="X32" s="15">
        <f>Sheet1!K241</f>
        <v>578.65018230463841</v>
      </c>
      <c r="Y32" s="15">
        <f t="shared" si="3"/>
        <v>13.399730280161597</v>
      </c>
      <c r="Z32" s="15">
        <f t="shared" si="8"/>
        <v>1.7519468132923207E-2</v>
      </c>
      <c r="AA32" s="15">
        <f t="shared" si="9"/>
        <v>3.0276441049663129E-2</v>
      </c>
      <c r="AB32" s="15">
        <f>Z32*'Macromolecular Composition'!$F$8</f>
        <v>4.0847887557959161E-3</v>
      </c>
    </row>
    <row r="33" spans="3:28">
      <c r="C33" s="15" t="s">
        <v>17</v>
      </c>
      <c r="F33" s="30">
        <f t="shared" ref="F33:AB33" si="10">SUM(F18:F32)</f>
        <v>7.0603333333333316</v>
      </c>
      <c r="G33" s="30">
        <f t="shared" si="10"/>
        <v>7.0603333333333317E-3</v>
      </c>
      <c r="H33" s="30">
        <f t="shared" si="10"/>
        <v>2.6468195769821854E-5</v>
      </c>
      <c r="I33" s="30">
        <f t="shared" si="10"/>
        <v>1</v>
      </c>
      <c r="J33" s="30">
        <f t="shared" si="10"/>
        <v>91.5</v>
      </c>
      <c r="K33" s="30">
        <f t="shared" si="10"/>
        <v>1</v>
      </c>
      <c r="L33" s="30">
        <f t="shared" si="10"/>
        <v>93.059999999999988</v>
      </c>
      <c r="M33" s="30">
        <f t="shared" si="10"/>
        <v>9.305999999999999E-2</v>
      </c>
      <c r="N33" s="15">
        <f t="shared" si="10"/>
        <v>3.4300583709429922E-4</v>
      </c>
      <c r="O33" s="15">
        <f t="shared" si="10"/>
        <v>0.99999999999999978</v>
      </c>
      <c r="P33" s="30">
        <f t="shared" si="10"/>
        <v>49.150000000000006</v>
      </c>
      <c r="Q33" s="30">
        <f t="shared" si="10"/>
        <v>0.99999999999999989</v>
      </c>
      <c r="R33" s="30">
        <f t="shared" si="10"/>
        <v>95.5</v>
      </c>
      <c r="S33" s="30">
        <f t="shared" si="10"/>
        <v>1</v>
      </c>
      <c r="T33" s="30">
        <f t="shared" si="10"/>
        <v>0.94132794925912866</v>
      </c>
      <c r="U33" s="30">
        <f t="shared" si="10"/>
        <v>1</v>
      </c>
      <c r="V33" s="30">
        <f t="shared" si="10"/>
        <v>1.1993899681477003</v>
      </c>
      <c r="W33" s="30">
        <f t="shared" si="10"/>
        <v>0.99999999999999956</v>
      </c>
      <c r="X33" s="30">
        <f t="shared" si="10"/>
        <v>11196.915676224136</v>
      </c>
      <c r="Y33" s="30">
        <f t="shared" si="10"/>
        <v>764.84800671433322</v>
      </c>
      <c r="Z33" s="30">
        <f t="shared" si="10"/>
        <v>1.0000000000000002</v>
      </c>
      <c r="AA33" s="30">
        <f t="shared" si="10"/>
        <v>1.3074493117865893</v>
      </c>
      <c r="AB33" s="30">
        <f t="shared" si="10"/>
        <v>0.23315712125527577</v>
      </c>
    </row>
    <row r="37" spans="3:28">
      <c r="C37" s="15" t="s">
        <v>21</v>
      </c>
      <c r="G37" s="15" t="s">
        <v>189</v>
      </c>
      <c r="J37" s="15" t="s">
        <v>191</v>
      </c>
      <c r="L37" s="15" t="s">
        <v>195</v>
      </c>
      <c r="O37" s="15" t="s">
        <v>196</v>
      </c>
      <c r="Q37" s="15" t="s">
        <v>204</v>
      </c>
    </row>
    <row r="38" spans="3:28">
      <c r="C38" s="15" t="s">
        <v>13</v>
      </c>
      <c r="D38" s="15" t="s">
        <v>14</v>
      </c>
      <c r="E38" s="15" t="s">
        <v>15</v>
      </c>
      <c r="F38" s="15" t="s">
        <v>16</v>
      </c>
      <c r="G38" s="15" t="s">
        <v>212</v>
      </c>
      <c r="H38" s="15" t="s">
        <v>226</v>
      </c>
      <c r="J38" s="15" t="s">
        <v>210</v>
      </c>
      <c r="L38" s="15" t="s">
        <v>212</v>
      </c>
      <c r="O38" s="15" t="s">
        <v>214</v>
      </c>
      <c r="Q38" s="15" t="s">
        <v>217</v>
      </c>
      <c r="T38" s="15" t="s">
        <v>112</v>
      </c>
      <c r="U38" s="15" t="s">
        <v>271</v>
      </c>
    </row>
    <row r="39" spans="3:28">
      <c r="C39" s="15" t="s">
        <v>35</v>
      </c>
      <c r="D39" s="15" t="s">
        <v>46</v>
      </c>
      <c r="E39" s="15" t="s">
        <v>47</v>
      </c>
      <c r="F39" s="15">
        <v>228.37090000000001</v>
      </c>
      <c r="G39" s="22">
        <v>6.5200000000000005</v>
      </c>
      <c r="H39" s="22">
        <f>G39/F39*$G$18</f>
        <v>1.2823729584928142E-4</v>
      </c>
      <c r="I39" s="22">
        <f>H39/$H$57</f>
        <v>7.6523204542567849E-2</v>
      </c>
      <c r="J39" s="22">
        <f>AVERAGE(10.7,10.3)</f>
        <v>10.5</v>
      </c>
      <c r="K39" s="22">
        <f>J39/$J$57</f>
        <v>0.10595358224016146</v>
      </c>
      <c r="L39" s="22">
        <v>8.4600000000000009</v>
      </c>
      <c r="M39" s="22">
        <f>L39/F39*$M$18</f>
        <v>2.0634065023170641E-3</v>
      </c>
      <c r="N39" s="22">
        <f>M39/$M$57</f>
        <v>9.7324843292065213E-2</v>
      </c>
      <c r="O39" s="22">
        <v>8.6</v>
      </c>
      <c r="P39" s="22">
        <f>O39/$O$57</f>
        <v>8.6000000000000007E-2</v>
      </c>
      <c r="Q39" s="22">
        <v>8.8132017411428495E-2</v>
      </c>
      <c r="R39" s="22">
        <f>Q39/$Q$57</f>
        <v>8.6794889855588739E-2</v>
      </c>
      <c r="S39" s="22">
        <f>AVERAGE(I39,K39,N39,P39,R39)</f>
        <v>9.051930398607666E-2</v>
      </c>
      <c r="T39" s="22">
        <f>S39/$S$57</f>
        <v>8.5341907869635206E-2</v>
      </c>
      <c r="U39" s="15">
        <f>T39*F39</f>
        <v>19.489608307905677</v>
      </c>
    </row>
    <row r="40" spans="3:28">
      <c r="C40" s="15" t="s">
        <v>215</v>
      </c>
      <c r="D40" s="15" t="s">
        <v>269</v>
      </c>
      <c r="E40" s="15" t="s">
        <v>270</v>
      </c>
      <c r="F40" s="15">
        <v>242.39750000000001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2">
        <v>2.5573122855192001E-2</v>
      </c>
      <c r="R40" s="22">
        <f t="shared" ref="R40:R56" si="11">Q40/$Q$57</f>
        <v>2.5185130746729061E-2</v>
      </c>
      <c r="S40" s="22">
        <f t="shared" ref="S40:S56" si="12">AVERAGE(I40,K40,N40,P40,R40)</f>
        <v>2.5185130746729061E-2</v>
      </c>
      <c r="T40" s="22">
        <f t="shared" ref="T40:T56" si="13">S40/$S$57</f>
        <v>2.3744626982579019E-2</v>
      </c>
      <c r="U40" s="15">
        <f t="shared" ref="U40:U56" si="14">T40*F40</f>
        <v>5.7556382190096977</v>
      </c>
    </row>
    <row r="41" spans="3:28">
      <c r="C41" s="15" t="s">
        <v>36</v>
      </c>
      <c r="D41" s="15" t="s">
        <v>48</v>
      </c>
      <c r="E41" s="15" t="s">
        <v>49</v>
      </c>
      <c r="F41" s="15">
        <v>256.42410000000001</v>
      </c>
      <c r="G41" s="22">
        <v>19.316666666666666</v>
      </c>
      <c r="H41" s="22">
        <f>G41/F41*$G$18</f>
        <v>3.3836144019917694E-4</v>
      </c>
      <c r="I41" s="22">
        <f>H41/$H$57</f>
        <v>0.20191085226961722</v>
      </c>
      <c r="J41" s="22">
        <f>AVERAGE(19.8,3.9)</f>
        <v>11.85</v>
      </c>
      <c r="K41" s="22">
        <f>J41/$J$57</f>
        <v>0.11957618567103935</v>
      </c>
      <c r="L41" s="22">
        <v>29.2</v>
      </c>
      <c r="M41" s="22">
        <f>L41/F41*$M$18</f>
        <v>6.3427735536558377E-3</v>
      </c>
      <c r="N41" s="22">
        <f>M41/$M$57</f>
        <v>0.29917005759815812</v>
      </c>
      <c r="O41" s="22">
        <v>39.200000000000003</v>
      </c>
      <c r="P41" s="22">
        <f>O41/$O$57</f>
        <v>0.39200000000000007</v>
      </c>
      <c r="Q41" s="22">
        <v>0.27230212828845701</v>
      </c>
      <c r="R41" s="22">
        <f t="shared" si="11"/>
        <v>0.26817079565881163</v>
      </c>
      <c r="S41" s="22">
        <f t="shared" si="12"/>
        <v>0.25616557823952524</v>
      </c>
      <c r="T41" s="22">
        <f t="shared" si="13"/>
        <v>0.24151377899295459</v>
      </c>
      <c r="U41" s="15">
        <f t="shared" si="14"/>
        <v>61.929953415867288</v>
      </c>
    </row>
    <row r="42" spans="3:28">
      <c r="C42" s="15" t="s">
        <v>213</v>
      </c>
      <c r="D42" s="15" t="s">
        <v>50</v>
      </c>
      <c r="E42" s="15" t="s">
        <v>51</v>
      </c>
      <c r="F42" s="15">
        <v>254.40819999999999</v>
      </c>
      <c r="G42" s="22">
        <v>33.296666666666667</v>
      </c>
      <c r="H42" s="22">
        <f>G42/F42*$G$18</f>
        <v>5.8786441544642727E-4</v>
      </c>
      <c r="I42" s="22">
        <f>H42/$H$57</f>
        <v>0.35079707980879193</v>
      </c>
      <c r="J42" s="22">
        <f>AVERAGE(25.1,14.5)</f>
        <v>19.8</v>
      </c>
      <c r="K42" s="22">
        <f>J42/$J$57</f>
        <v>0.19979818365287591</v>
      </c>
      <c r="L42" s="22">
        <v>38.020000000000003</v>
      </c>
      <c r="M42" s="22">
        <f>L42/F42*$M$18</f>
        <v>8.3240791766932051E-3</v>
      </c>
      <c r="N42" s="22">
        <f>M42/$M$57</f>
        <v>0.39262244279674319</v>
      </c>
      <c r="O42" s="22">
        <v>32.9</v>
      </c>
      <c r="P42" s="22">
        <f>O42/$O$57</f>
        <v>0.32900000000000001</v>
      </c>
      <c r="Q42" s="22">
        <v>0.18583871224515494</v>
      </c>
      <c r="R42" s="22">
        <f t="shared" si="11"/>
        <v>0.18301919136746142</v>
      </c>
      <c r="S42" s="22">
        <f t="shared" si="12"/>
        <v>0.29104737952517451</v>
      </c>
      <c r="T42" s="22">
        <f t="shared" si="13"/>
        <v>0.27440045996107931</v>
      </c>
      <c r="U42" s="15">
        <f t="shared" si="14"/>
        <v>69.809727097870251</v>
      </c>
    </row>
    <row r="43" spans="3:28">
      <c r="C43" s="15" t="s">
        <v>38</v>
      </c>
      <c r="D43" s="15" t="s">
        <v>111</v>
      </c>
      <c r="E43" s="15" t="s">
        <v>52</v>
      </c>
      <c r="F43" s="15">
        <v>252.39230000000001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2">
        <v>1.0730915828588011E-2</v>
      </c>
      <c r="R43" s="22">
        <f t="shared" si="11"/>
        <v>1.0568107763196541E-2</v>
      </c>
      <c r="S43" s="22">
        <f t="shared" si="12"/>
        <v>1.0568107763196541E-2</v>
      </c>
      <c r="T43" s="22">
        <f t="shared" si="13"/>
        <v>9.9636479664251838E-3</v>
      </c>
      <c r="U43" s="15">
        <f t="shared" si="14"/>
        <v>2.5147480266363749</v>
      </c>
    </row>
    <row r="44" spans="3:28">
      <c r="C44" s="15" t="s">
        <v>281</v>
      </c>
      <c r="D44" s="15" t="s">
        <v>282</v>
      </c>
      <c r="E44" s="15" t="s">
        <v>283</v>
      </c>
      <c r="F44" s="15">
        <v>268.4348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2">
        <v>1.1614016517429354E-2</v>
      </c>
      <c r="R44" s="22">
        <f t="shared" si="11"/>
        <v>1.1437810162740609E-2</v>
      </c>
      <c r="S44" s="22">
        <f t="shared" si="12"/>
        <v>1.1437810162740609E-2</v>
      </c>
      <c r="T44" s="22">
        <f t="shared" si="13"/>
        <v>1.0783606348642828E-2</v>
      </c>
      <c r="U44" s="15">
        <f t="shared" si="14"/>
        <v>2.8946952134766675</v>
      </c>
    </row>
    <row r="45" spans="3:28">
      <c r="C45" s="15" t="s">
        <v>45</v>
      </c>
      <c r="D45" s="15" t="s">
        <v>53</v>
      </c>
      <c r="E45" s="15" t="s">
        <v>54</v>
      </c>
      <c r="F45" s="15">
        <v>284.47719999999998</v>
      </c>
      <c r="G45" s="22">
        <v>1.2033333333333334</v>
      </c>
      <c r="H45" s="22">
        <f t="shared" ref="H45:H51" si="15">G45/F45*$G$18</f>
        <v>1.8999667538285044E-5</v>
      </c>
      <c r="I45" s="22">
        <f t="shared" ref="I45:I51" si="16">H45/$H$57</f>
        <v>1.1337695758820231E-2</v>
      </c>
      <c r="J45" s="22">
        <f>AVERAGE(1.1,1.2)</f>
        <v>1.1499999999999999</v>
      </c>
      <c r="K45" s="22">
        <f t="shared" ref="K45:K51" si="17">J45/$J$57</f>
        <v>1.1604439959636731E-2</v>
      </c>
      <c r="L45" s="22">
        <v>0.77</v>
      </c>
      <c r="M45" s="22">
        <f t="shared" ref="M45:M51" si="18">L45/F45*$M$18</f>
        <v>1.5076427917597616E-4</v>
      </c>
      <c r="N45" s="22">
        <f t="shared" ref="N45:N51" si="19">M45/$M$57</f>
        <v>7.1111096278732057E-3</v>
      </c>
      <c r="O45" s="27"/>
      <c r="P45" s="27"/>
      <c r="Q45" s="22">
        <v>6.0791789322134776E-3</v>
      </c>
      <c r="R45" s="22">
        <f t="shared" si="11"/>
        <v>5.986946416654506E-3</v>
      </c>
      <c r="S45" s="22">
        <f t="shared" si="12"/>
        <v>9.0100479407461687E-3</v>
      </c>
      <c r="T45" s="22">
        <f t="shared" si="13"/>
        <v>8.494703863149794E-3</v>
      </c>
      <c r="U45" s="15">
        <f t="shared" si="14"/>
        <v>2.4165495698180366</v>
      </c>
    </row>
    <row r="46" spans="3:28">
      <c r="C46" s="15" t="s">
        <v>39</v>
      </c>
      <c r="D46" s="15" t="s">
        <v>55</v>
      </c>
      <c r="E46" s="15" t="s">
        <v>56</v>
      </c>
      <c r="F46" s="15">
        <v>282.46140000000003</v>
      </c>
      <c r="G46" s="22">
        <v>1.7766666666666666</v>
      </c>
      <c r="H46" s="22">
        <f t="shared" si="15"/>
        <v>2.8252336228753532E-5</v>
      </c>
      <c r="I46" s="22">
        <f t="shared" si="16"/>
        <v>1.6859052506684787E-2</v>
      </c>
      <c r="J46" s="22">
        <f>AVERAGE(6.6,4)/2</f>
        <v>2.65</v>
      </c>
      <c r="K46" s="22">
        <f t="shared" si="17"/>
        <v>2.6740665993945509E-2</v>
      </c>
      <c r="L46" s="22">
        <v>3.53</v>
      </c>
      <c r="M46" s="22">
        <f t="shared" si="18"/>
        <v>6.9609865277167062E-4</v>
      </c>
      <c r="N46" s="22">
        <f t="shared" si="19"/>
        <v>3.2832935352653268E-2</v>
      </c>
      <c r="O46" s="22">
        <f>2.1/2</f>
        <v>1.05</v>
      </c>
      <c r="P46" s="22">
        <f t="shared" ref="P46:P56" si="20">O46/$O$57</f>
        <v>1.0500000000000002E-2</v>
      </c>
      <c r="Q46" s="22">
        <v>0.12274115772512648</v>
      </c>
      <c r="R46" s="22">
        <f t="shared" si="11"/>
        <v>0.12087894477402866</v>
      </c>
      <c r="S46" s="22">
        <f t="shared" si="12"/>
        <v>4.1562319725462447E-2</v>
      </c>
      <c r="T46" s="22">
        <f t="shared" si="13"/>
        <v>3.9185096489521461E-2</v>
      </c>
      <c r="U46" s="15">
        <f t="shared" si="14"/>
        <v>11.068277213565318</v>
      </c>
    </row>
    <row r="47" spans="3:28">
      <c r="C47" s="15" t="s">
        <v>156</v>
      </c>
      <c r="D47" s="15" t="s">
        <v>274</v>
      </c>
      <c r="E47" s="15" t="s">
        <v>56</v>
      </c>
      <c r="F47" s="15">
        <v>282.46140000000003</v>
      </c>
      <c r="G47" s="22">
        <v>0.8666666666666667</v>
      </c>
      <c r="H47" s="22">
        <f t="shared" si="15"/>
        <v>1.378162742866026E-5</v>
      </c>
      <c r="I47" s="22">
        <f t="shared" si="16"/>
        <v>8.2239280520413592E-3</v>
      </c>
      <c r="J47" s="22">
        <f>AVERAGE(6.6,4)/2</f>
        <v>2.65</v>
      </c>
      <c r="K47" s="22">
        <f t="shared" si="17"/>
        <v>2.6740665993945509E-2</v>
      </c>
      <c r="L47" s="22">
        <v>1.1599999999999999</v>
      </c>
      <c r="M47" s="22">
        <f t="shared" si="18"/>
        <v>2.2874629949437336E-4</v>
      </c>
      <c r="N47" s="22">
        <f t="shared" si="19"/>
        <v>1.0789293203704758E-2</v>
      </c>
      <c r="O47" s="22">
        <f>2.1/2</f>
        <v>1.05</v>
      </c>
      <c r="P47" s="22">
        <f t="shared" si="20"/>
        <v>1.0500000000000002E-2</v>
      </c>
      <c r="Q47" s="22">
        <v>0.12274115772512648</v>
      </c>
      <c r="R47" s="22">
        <f t="shared" si="11"/>
        <v>0.12087894477402866</v>
      </c>
      <c r="S47" s="22">
        <f>AVERAGE(I47,K47,N47,P47,R47)</f>
        <v>3.5426566404744057E-2</v>
      </c>
      <c r="T47" s="22">
        <f t="shared" si="13"/>
        <v>3.340028737644983E-2</v>
      </c>
      <c r="U47" s="15">
        <f t="shared" si="14"/>
        <v>9.4342919327543466</v>
      </c>
    </row>
    <row r="48" spans="3:28">
      <c r="C48" s="15" t="s">
        <v>40</v>
      </c>
      <c r="D48" s="15" t="s">
        <v>57</v>
      </c>
      <c r="E48" s="15" t="s">
        <v>58</v>
      </c>
      <c r="F48" s="15">
        <v>280.44549999999998</v>
      </c>
      <c r="G48" s="22">
        <v>4.376666666666666</v>
      </c>
      <c r="H48" s="22">
        <f t="shared" si="15"/>
        <v>7.0097497652049239E-5</v>
      </c>
      <c r="I48" s="22">
        <f t="shared" si="16"/>
        <v>4.1829368868276796E-2</v>
      </c>
      <c r="J48" s="22">
        <f>AVERAGE(8,2.3)</f>
        <v>5.15</v>
      </c>
      <c r="K48" s="22">
        <f t="shared" si="17"/>
        <v>5.1967709384460145E-2</v>
      </c>
      <c r="L48" s="22">
        <v>3.87</v>
      </c>
      <c r="M48" s="22">
        <f t="shared" si="18"/>
        <v>7.6863062520168813E-4</v>
      </c>
      <c r="N48" s="22">
        <f t="shared" si="19"/>
        <v>3.6254056126717366E-2</v>
      </c>
      <c r="O48" s="22">
        <v>3.7</v>
      </c>
      <c r="P48" s="22">
        <f t="shared" si="20"/>
        <v>3.7000000000000005E-2</v>
      </c>
      <c r="Q48" s="22">
        <v>7.2861596730332115E-2</v>
      </c>
      <c r="R48" s="22">
        <f t="shared" si="11"/>
        <v>7.175615001967986E-2</v>
      </c>
      <c r="S48" s="22">
        <f t="shared" si="12"/>
        <v>4.7761456879826837E-2</v>
      </c>
      <c r="T48" s="22">
        <f t="shared" si="13"/>
        <v>4.5029664096673784E-2</v>
      </c>
      <c r="U48" s="15">
        <f t="shared" si="14"/>
        <v>12.628366662423726</v>
      </c>
    </row>
    <row r="49" spans="3:21">
      <c r="C49" s="15" t="s">
        <v>209</v>
      </c>
      <c r="D49" s="15" t="s">
        <v>225</v>
      </c>
      <c r="E49" s="15" t="s">
        <v>60</v>
      </c>
      <c r="F49" s="15">
        <v>278.42959999999999</v>
      </c>
      <c r="G49" s="22">
        <v>3.3966666666666665</v>
      </c>
      <c r="H49" s="22">
        <f t="shared" si="15"/>
        <v>5.4795519026872296E-5</v>
      </c>
      <c r="I49" s="22">
        <f t="shared" si="16"/>
        <v>3.2698199714361907E-2</v>
      </c>
      <c r="J49" s="22">
        <v>0</v>
      </c>
      <c r="K49" s="22">
        <f t="shared" si="17"/>
        <v>0</v>
      </c>
      <c r="L49" s="22">
        <v>0.56999999999999995</v>
      </c>
      <c r="M49" s="22">
        <f t="shared" si="18"/>
        <v>1.1402882452153076E-4</v>
      </c>
      <c r="N49" s="22">
        <f t="shared" si="19"/>
        <v>5.3784057891037339E-3</v>
      </c>
      <c r="O49" s="22">
        <v>0</v>
      </c>
      <c r="P49" s="22">
        <f t="shared" si="20"/>
        <v>0</v>
      </c>
      <c r="Q49" s="11">
        <f>0.0154056023121235/2</f>
        <v>7.7028011560617499E-3</v>
      </c>
      <c r="R49" s="22">
        <f t="shared" si="11"/>
        <v>7.5859352543674484E-3</v>
      </c>
      <c r="S49" s="22">
        <f t="shared" si="12"/>
        <v>9.1325081515666179E-3</v>
      </c>
      <c r="T49" s="22">
        <f t="shared" si="13"/>
        <v>8.6101597666899104E-3</v>
      </c>
      <c r="U49" s="15">
        <f t="shared" si="14"/>
        <v>2.3973233397755651</v>
      </c>
    </row>
    <row r="50" spans="3:21">
      <c r="C50" s="15" t="s">
        <v>157</v>
      </c>
      <c r="D50" s="15" t="s">
        <v>59</v>
      </c>
      <c r="E50" s="15" t="s">
        <v>60</v>
      </c>
      <c r="F50" s="15">
        <v>278.42959999999999</v>
      </c>
      <c r="G50" s="22">
        <v>2.69</v>
      </c>
      <c r="H50" s="22">
        <f t="shared" si="15"/>
        <v>4.3395469926090229E-5</v>
      </c>
      <c r="I50" s="22">
        <f t="shared" si="16"/>
        <v>2.5895433924916646E-2</v>
      </c>
      <c r="J50" s="22">
        <v>0</v>
      </c>
      <c r="K50" s="22">
        <f t="shared" si="17"/>
        <v>0</v>
      </c>
      <c r="L50" s="22">
        <v>0.14000000000000001</v>
      </c>
      <c r="M50" s="22">
        <f t="shared" si="18"/>
        <v>2.8007079707042644E-5</v>
      </c>
      <c r="N50" s="22">
        <f t="shared" si="19"/>
        <v>1.3210119482009171E-3</v>
      </c>
      <c r="O50" s="22">
        <v>0</v>
      </c>
      <c r="P50" s="22">
        <f t="shared" si="20"/>
        <v>0</v>
      </c>
      <c r="Q50" s="11">
        <f>0.0154056023121235/2</f>
        <v>7.7028011560617499E-3</v>
      </c>
      <c r="R50" s="22">
        <f t="shared" si="11"/>
        <v>7.5859352543674484E-3</v>
      </c>
      <c r="S50" s="22">
        <f t="shared" si="12"/>
        <v>6.9604762254970014E-3</v>
      </c>
      <c r="T50" s="22">
        <f t="shared" si="13"/>
        <v>6.562360674542099E-3</v>
      </c>
      <c r="U50" s="15">
        <f t="shared" si="14"/>
        <v>1.8271554576684867</v>
      </c>
    </row>
    <row r="51" spans="3:21">
      <c r="C51" s="28" t="s">
        <v>158</v>
      </c>
      <c r="D51" s="15" t="s">
        <v>218</v>
      </c>
      <c r="E51" s="15" t="s">
        <v>219</v>
      </c>
      <c r="F51" s="15">
        <v>276.41370000000001</v>
      </c>
      <c r="G51" s="22">
        <v>5.4433333333333325</v>
      </c>
      <c r="H51" s="22">
        <f t="shared" si="15"/>
        <v>8.8453064695740059E-5</v>
      </c>
      <c r="I51" s="22">
        <f t="shared" si="16"/>
        <v>5.2782709720301954E-2</v>
      </c>
      <c r="J51" s="22">
        <f>AVERAGE(1.7,5)</f>
        <v>3.35</v>
      </c>
      <c r="K51" s="22">
        <f t="shared" si="17"/>
        <v>3.380423814328961E-2</v>
      </c>
      <c r="L51" s="22">
        <v>1.85</v>
      </c>
      <c r="M51" s="22">
        <f t="shared" si="18"/>
        <v>3.7279266548655149E-4</v>
      </c>
      <c r="N51" s="22">
        <f t="shared" si="19"/>
        <v>1.7583538535992656E-2</v>
      </c>
      <c r="O51" s="22">
        <v>1.1000000000000001</v>
      </c>
      <c r="P51" s="22">
        <f t="shared" si="20"/>
        <v>1.1000000000000003E-2</v>
      </c>
      <c r="Q51" s="22">
        <v>1.5714557593354647E-2</v>
      </c>
      <c r="R51" s="22">
        <f t="shared" si="11"/>
        <v>1.5476138360446215E-2</v>
      </c>
      <c r="S51" s="22">
        <f t="shared" si="12"/>
        <v>2.6129324952006084E-2</v>
      </c>
      <c r="T51" s="22">
        <f t="shared" si="13"/>
        <v>2.4634816492765593E-2</v>
      </c>
      <c r="U51" s="15">
        <f t="shared" si="14"/>
        <v>6.8094007755863606</v>
      </c>
    </row>
    <row r="52" spans="3:21">
      <c r="C52" s="15" t="s">
        <v>42</v>
      </c>
      <c r="D52" s="15" t="s">
        <v>61</v>
      </c>
      <c r="E52" s="15" t="s">
        <v>62</v>
      </c>
      <c r="F52" s="15">
        <v>308.49860000000001</v>
      </c>
      <c r="G52" s="27"/>
      <c r="H52" s="27"/>
      <c r="I52" s="27"/>
      <c r="J52" s="27"/>
      <c r="K52" s="27"/>
      <c r="L52" s="27"/>
      <c r="M52" s="27"/>
      <c r="N52" s="27"/>
      <c r="O52" s="22">
        <v>4.3</v>
      </c>
      <c r="P52" s="22">
        <f t="shared" si="20"/>
        <v>4.3000000000000003E-2</v>
      </c>
      <c r="Q52" s="22">
        <v>1.49674254816949E-2</v>
      </c>
      <c r="R52" s="22">
        <f t="shared" si="11"/>
        <v>1.4740341640437488E-2</v>
      </c>
      <c r="S52" s="22">
        <f t="shared" si="12"/>
        <v>2.8870170820218748E-2</v>
      </c>
      <c r="T52" s="22">
        <f t="shared" si="13"/>
        <v>2.7218895305455695E-2</v>
      </c>
      <c r="U52" s="15">
        <f t="shared" si="14"/>
        <v>8.3969910952796543</v>
      </c>
    </row>
    <row r="53" spans="3:21">
      <c r="C53" s="15" t="s">
        <v>43</v>
      </c>
      <c r="D53" s="15" t="s">
        <v>63</v>
      </c>
      <c r="E53" s="15" t="s">
        <v>64</v>
      </c>
      <c r="F53" s="15">
        <v>304.46690000000001</v>
      </c>
      <c r="G53" s="27"/>
      <c r="H53" s="27"/>
      <c r="I53" s="27"/>
      <c r="J53" s="22">
        <f>AVERAGE(1.3,0)</f>
        <v>0.65</v>
      </c>
      <c r="K53" s="22">
        <f>J53/$J$57</f>
        <v>6.5590312815338048E-3</v>
      </c>
      <c r="L53" s="27"/>
      <c r="M53" s="27"/>
      <c r="N53" s="27"/>
      <c r="O53" s="22">
        <v>0</v>
      </c>
      <c r="P53" s="22">
        <f t="shared" si="20"/>
        <v>0</v>
      </c>
      <c r="Q53" s="22">
        <v>3.6923249012943463E-3</v>
      </c>
      <c r="R53" s="22">
        <f t="shared" si="11"/>
        <v>3.6363054260157316E-3</v>
      </c>
      <c r="S53" s="22">
        <f t="shared" si="12"/>
        <v>3.3984455691831784E-3</v>
      </c>
      <c r="T53" s="22">
        <f t="shared" si="13"/>
        <v>3.2040660488265806E-3</v>
      </c>
      <c r="U53" s="15">
        <f t="shared" si="14"/>
        <v>0.97553205728147763</v>
      </c>
    </row>
    <row r="54" spans="3:21">
      <c r="C54" s="15" t="s">
        <v>44</v>
      </c>
      <c r="D54" s="15" t="s">
        <v>65</v>
      </c>
      <c r="E54" s="15" t="s">
        <v>66</v>
      </c>
      <c r="F54" s="15">
        <v>302.45100000000002</v>
      </c>
      <c r="G54" s="22">
        <v>12.623333333333335</v>
      </c>
      <c r="H54" s="22">
        <f>G54/F54*$G$18</f>
        <v>1.8746774041268025E-4</v>
      </c>
      <c r="I54" s="22">
        <f>H54/$H$57</f>
        <v>0.11186786300916006</v>
      </c>
      <c r="J54" s="22">
        <f>AVERAGE(13.3,24.8)</f>
        <v>19.05</v>
      </c>
      <c r="K54" s="22">
        <f>J54/$J$57</f>
        <v>0.19223007063572151</v>
      </c>
      <c r="L54" s="22">
        <v>8.42</v>
      </c>
      <c r="M54" s="22">
        <f>L54/F54*$M$18</f>
        <v>1.5506445672191526E-3</v>
      </c>
      <c r="N54" s="22">
        <f>M54/$M$57</f>
        <v>7.3139364122788084E-2</v>
      </c>
      <c r="O54" s="22">
        <v>7</v>
      </c>
      <c r="P54" s="22">
        <f t="shared" si="20"/>
        <v>7.0000000000000007E-2</v>
      </c>
      <c r="Q54" s="22">
        <v>2.4828727038344992E-2</v>
      </c>
      <c r="R54" s="22">
        <f t="shared" si="11"/>
        <v>2.4452028806822498E-2</v>
      </c>
      <c r="S54" s="22">
        <f t="shared" si="12"/>
        <v>9.4337865314898434E-2</v>
      </c>
      <c r="T54" s="22">
        <f t="shared" si="13"/>
        <v>8.8942060486462499E-2</v>
      </c>
      <c r="U54" s="15">
        <f t="shared" si="14"/>
        <v>26.900615136191071</v>
      </c>
    </row>
    <row r="55" spans="3:21">
      <c r="C55" s="15" t="s">
        <v>211</v>
      </c>
      <c r="D55" s="15" t="s">
        <v>221</v>
      </c>
      <c r="E55" s="15" t="s">
        <v>222</v>
      </c>
      <c r="F55" s="15">
        <v>330.50420000000003</v>
      </c>
      <c r="G55" s="27"/>
      <c r="H55" s="27"/>
      <c r="I55" s="27"/>
      <c r="J55" s="22">
        <f>AVERAGE(2.6,0)</f>
        <v>1.3</v>
      </c>
      <c r="K55" s="22">
        <f>J55/$J$57</f>
        <v>1.311806256306761E-2</v>
      </c>
      <c r="L55" s="27"/>
      <c r="M55" s="27"/>
      <c r="N55" s="27"/>
      <c r="O55" s="22">
        <v>0</v>
      </c>
      <c r="P55" s="22">
        <f t="shared" si="20"/>
        <v>0</v>
      </c>
      <c r="Q55" s="22">
        <v>5.1870259427616704E-3</v>
      </c>
      <c r="R55" s="22">
        <f t="shared" si="11"/>
        <v>5.1083290568326428E-3</v>
      </c>
      <c r="S55" s="22">
        <f t="shared" si="12"/>
        <v>6.0754638733000839E-3</v>
      </c>
      <c r="T55" s="22">
        <f t="shared" si="13"/>
        <v>5.727968016857766E-3</v>
      </c>
      <c r="U55" s="15">
        <f t="shared" si="14"/>
        <v>1.8931174870371625</v>
      </c>
    </row>
    <row r="56" spans="3:21">
      <c r="C56" s="15" t="s">
        <v>159</v>
      </c>
      <c r="D56" s="15" t="s">
        <v>223</v>
      </c>
      <c r="E56" s="15" t="s">
        <v>224</v>
      </c>
      <c r="F56" s="15">
        <v>328.48829999999998</v>
      </c>
      <c r="G56" s="22">
        <v>8.49</v>
      </c>
      <c r="H56" s="22">
        <f>G56/F56*$G$18</f>
        <v>1.1609013167287846E-4</v>
      </c>
      <c r="I56" s="22">
        <f>H56/$H$57</f>
        <v>6.9274611824459278E-2</v>
      </c>
      <c r="J56" s="22">
        <f>AVERAGE(9.5,32.5)</f>
        <v>21</v>
      </c>
      <c r="K56" s="22">
        <f>J56/$J$57</f>
        <v>0.21190716448032293</v>
      </c>
      <c r="L56" s="22">
        <v>3.31</v>
      </c>
      <c r="M56" s="22">
        <f>L56/F56*$M$18</f>
        <v>5.6125895503736367E-4</v>
      </c>
      <c r="N56" s="22">
        <f>M56/$M$57</f>
        <v>2.6472941605999688E-2</v>
      </c>
      <c r="O56" s="22">
        <v>1.1000000000000001</v>
      </c>
      <c r="P56" s="22">
        <f t="shared" si="20"/>
        <v>1.1000000000000003E-2</v>
      </c>
      <c r="Q56" s="22">
        <v>1.6995934783501084E-2</v>
      </c>
      <c r="R56" s="22">
        <f t="shared" si="11"/>
        <v>1.6738074661790905E-2</v>
      </c>
      <c r="S56" s="22">
        <f t="shared" si="12"/>
        <v>6.7078558514514552E-2</v>
      </c>
      <c r="T56" s="22">
        <f t="shared" si="13"/>
        <v>6.3241893261289039E-2</v>
      </c>
      <c r="U56" s="15">
        <f t="shared" si="14"/>
        <v>20.774222006182292</v>
      </c>
    </row>
    <row r="57" spans="3:21">
      <c r="C57" s="15" t="s">
        <v>17</v>
      </c>
      <c r="D57" s="15" t="s">
        <v>18</v>
      </c>
      <c r="E57" s="15" t="s">
        <v>18</v>
      </c>
      <c r="F57" s="15">
        <f t="shared" ref="F57:U57" si="21">SUM(F39:F56)</f>
        <v>5039.9552000000003</v>
      </c>
      <c r="G57" s="15">
        <f t="shared" si="21"/>
        <v>99.999999999999986</v>
      </c>
      <c r="H57" s="15">
        <f t="shared" si="21"/>
        <v>1.6757962060768949E-3</v>
      </c>
      <c r="I57" s="15">
        <f t="shared" si="21"/>
        <v>1.0000000000000002</v>
      </c>
      <c r="J57" s="15">
        <f t="shared" si="21"/>
        <v>99.1</v>
      </c>
      <c r="K57" s="15">
        <f t="shared" si="21"/>
        <v>1</v>
      </c>
      <c r="L57" s="15">
        <f t="shared" si="21"/>
        <v>99.3</v>
      </c>
      <c r="M57" s="15">
        <f t="shared" si="21"/>
        <v>2.1201231181281453E-2</v>
      </c>
      <c r="N57" s="15">
        <f t="shared" si="21"/>
        <v>1.0000000000000004</v>
      </c>
      <c r="O57" s="15">
        <f t="shared" si="21"/>
        <v>99.999999999999986</v>
      </c>
      <c r="P57" s="15">
        <f t="shared" si="21"/>
        <v>1</v>
      </c>
      <c r="Q57" s="15">
        <f>SUM(Q39:Q56)</f>
        <v>1.0154056023121234</v>
      </c>
      <c r="R57" s="15">
        <f t="shared" si="21"/>
        <v>1.0000000000000002</v>
      </c>
      <c r="S57" s="15">
        <f t="shared" si="21"/>
        <v>1.0606665147954066</v>
      </c>
      <c r="T57" s="15">
        <f t="shared" si="21"/>
        <v>1.0000000000000004</v>
      </c>
      <c r="U57" s="15">
        <f t="shared" si="21"/>
        <v>267.91621301432946</v>
      </c>
    </row>
    <row r="62" spans="3:21">
      <c r="C62" s="15" t="s">
        <v>22</v>
      </c>
      <c r="G62" s="15" t="s">
        <v>189</v>
      </c>
      <c r="J62" s="15" t="s">
        <v>191</v>
      </c>
      <c r="L62" s="15" t="s">
        <v>195</v>
      </c>
      <c r="O62" s="15" t="s">
        <v>196</v>
      </c>
      <c r="Q62" s="15" t="s">
        <v>204</v>
      </c>
    </row>
    <row r="63" spans="3:21">
      <c r="C63" s="15" t="s">
        <v>13</v>
      </c>
      <c r="D63" s="15" t="s">
        <v>14</v>
      </c>
      <c r="E63" s="15" t="s">
        <v>15</v>
      </c>
      <c r="F63" s="15" t="s">
        <v>16</v>
      </c>
      <c r="G63" s="15" t="s">
        <v>212</v>
      </c>
      <c r="H63" s="15" t="s">
        <v>226</v>
      </c>
      <c r="J63" s="15" t="s">
        <v>210</v>
      </c>
      <c r="L63" s="15" t="s">
        <v>212</v>
      </c>
      <c r="O63" s="15" t="s">
        <v>214</v>
      </c>
      <c r="Q63" s="15" t="s">
        <v>217</v>
      </c>
      <c r="T63" s="15" t="s">
        <v>112</v>
      </c>
      <c r="U63" s="15" t="s">
        <v>271</v>
      </c>
    </row>
    <row r="64" spans="3:21">
      <c r="C64" s="15" t="s">
        <v>234</v>
      </c>
      <c r="D64" s="15" t="s">
        <v>272</v>
      </c>
      <c r="E64" s="15" t="s">
        <v>273</v>
      </c>
      <c r="F64" s="15">
        <v>200.31780000000001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2">
        <v>0.47173268859371087</v>
      </c>
      <c r="R64" s="22">
        <f>Q64/$Q$78</f>
        <v>0.47173268859371054</v>
      </c>
      <c r="S64" s="15">
        <f>AVERAGE(I64,K64,N64,P64,R64)</f>
        <v>0.47173268859371054</v>
      </c>
      <c r="T64" s="22">
        <f>S64/$S$78</f>
        <v>0.28904404246998378</v>
      </c>
      <c r="U64" s="15">
        <f>T64*F64</f>
        <v>57.900666690693718</v>
      </c>
    </row>
    <row r="65" spans="3:21">
      <c r="C65" s="15" t="s">
        <v>35</v>
      </c>
      <c r="D65" s="15" t="s">
        <v>46</v>
      </c>
      <c r="E65" s="15" t="s">
        <v>47</v>
      </c>
      <c r="F65" s="15">
        <v>228.37090000000001</v>
      </c>
      <c r="G65" s="22">
        <v>8.6533333333333342</v>
      </c>
      <c r="H65" s="22">
        <f t="shared" ref="H65:H74" si="22">G65/F65*$G$18</f>
        <v>1.7019632925599929E-4</v>
      </c>
      <c r="I65" s="22">
        <f t="shared" ref="I65:I74" si="23">H65/$H$78</f>
        <v>0.10282287265942008</v>
      </c>
      <c r="J65" s="27"/>
      <c r="K65" s="27"/>
      <c r="L65" s="22">
        <v>15.54</v>
      </c>
      <c r="M65" s="22">
        <f t="shared" ref="M65:M74" si="24">L65/F65*$M$20</f>
        <v>7.4171446537190164E-5</v>
      </c>
      <c r="N65" s="22">
        <f t="shared" ref="N65:N74" si="25">M65/$M$78</f>
        <v>0.17934682228268725</v>
      </c>
      <c r="O65" s="27"/>
      <c r="P65" s="27"/>
      <c r="Q65" s="22">
        <v>9.0261090062066004E-3</v>
      </c>
      <c r="R65" s="22">
        <f>Q65/$Q$78</f>
        <v>9.0261090062065952E-3</v>
      </c>
      <c r="S65" s="15">
        <f t="shared" ref="S65:S77" si="26">AVERAGE(I65,K65,N65,P65,R65)</f>
        <v>9.7065267982771306E-2</v>
      </c>
      <c r="T65" s="22">
        <f t="shared" ref="T65:T77" si="27">S65/$S$78</f>
        <v>5.9474651894086634E-2</v>
      </c>
      <c r="U65" s="15">
        <f t="shared" ref="U65:U77" si="28">T65*F65</f>
        <v>13.58227978023927</v>
      </c>
    </row>
    <row r="66" spans="3:21">
      <c r="C66" s="15" t="s">
        <v>36</v>
      </c>
      <c r="D66" s="15" t="s">
        <v>48</v>
      </c>
      <c r="E66" s="15" t="s">
        <v>49</v>
      </c>
      <c r="F66" s="15">
        <v>256.42410000000001</v>
      </c>
      <c r="G66" s="22">
        <v>10.033333333333333</v>
      </c>
      <c r="H66" s="22">
        <f t="shared" si="22"/>
        <v>1.7574942795505136E-4</v>
      </c>
      <c r="I66" s="22">
        <f t="shared" si="23"/>
        <v>0.10617773679129557</v>
      </c>
      <c r="J66" s="27"/>
      <c r="K66" s="27"/>
      <c r="L66" s="22">
        <v>20.53</v>
      </c>
      <c r="M66" s="22">
        <f t="shared" si="24"/>
        <v>8.7268318383490476E-5</v>
      </c>
      <c r="N66" s="22">
        <f t="shared" si="25"/>
        <v>0.21101510512114857</v>
      </c>
      <c r="O66" s="27"/>
      <c r="P66" s="27"/>
      <c r="Q66" s="27"/>
      <c r="R66" s="27"/>
      <c r="S66" s="15">
        <f t="shared" si="26"/>
        <v>0.15859642095622206</v>
      </c>
      <c r="T66" s="22">
        <f t="shared" si="27"/>
        <v>9.7176540322266039E-2</v>
      </c>
      <c r="U66" s="15">
        <f t="shared" si="28"/>
        <v>24.918406893250779</v>
      </c>
    </row>
    <row r="67" spans="3:21">
      <c r="C67" s="15" t="s">
        <v>213</v>
      </c>
      <c r="D67" s="15" t="s">
        <v>50</v>
      </c>
      <c r="E67" s="15" t="s">
        <v>51</v>
      </c>
      <c r="F67" s="15">
        <v>254.40819999999999</v>
      </c>
      <c r="G67" s="22">
        <v>14.42</v>
      </c>
      <c r="H67" s="22">
        <f t="shared" si="22"/>
        <v>2.5459019533699518E-4</v>
      </c>
      <c r="I67" s="22">
        <f t="shared" si="23"/>
        <v>0.15380881215186371</v>
      </c>
      <c r="J67" s="27"/>
      <c r="K67" s="27"/>
      <c r="L67" s="22">
        <v>12.08</v>
      </c>
      <c r="M67" s="22">
        <f t="shared" si="24"/>
        <v>5.1756193393137493E-5</v>
      </c>
      <c r="N67" s="22">
        <f t="shared" si="25"/>
        <v>0.12514666022932688</v>
      </c>
      <c r="O67" s="27"/>
      <c r="P67" s="27"/>
      <c r="Q67" s="27"/>
      <c r="R67" s="27"/>
      <c r="S67" s="15">
        <f t="shared" si="26"/>
        <v>0.13947773619059528</v>
      </c>
      <c r="T67" s="22">
        <f t="shared" si="27"/>
        <v>8.5461978103056405E-2</v>
      </c>
      <c r="U67" s="15">
        <f t="shared" si="28"/>
        <v>21.742228017637995</v>
      </c>
    </row>
    <row r="68" spans="3:21">
      <c r="C68" s="15" t="s">
        <v>45</v>
      </c>
      <c r="D68" s="15" t="s">
        <v>53</v>
      </c>
      <c r="E68" s="15" t="s">
        <v>54</v>
      </c>
      <c r="F68" s="15">
        <v>284.47719999999998</v>
      </c>
      <c r="G68" s="22">
        <v>3.043333333333333</v>
      </c>
      <c r="H68" s="22">
        <f t="shared" si="22"/>
        <v>4.8051790754720897E-5</v>
      </c>
      <c r="I68" s="22">
        <f t="shared" si="23"/>
        <v>2.9030139389187828E-2</v>
      </c>
      <c r="J68" s="27"/>
      <c r="K68" s="27"/>
      <c r="L68" s="22">
        <v>12.39</v>
      </c>
      <c r="M68" s="22">
        <f t="shared" si="24"/>
        <v>4.7473400328743399E-5</v>
      </c>
      <c r="N68" s="22">
        <f t="shared" si="25"/>
        <v>0.11479085132369526</v>
      </c>
      <c r="O68" s="27"/>
      <c r="P68" s="27"/>
      <c r="Q68" s="27"/>
      <c r="R68" s="27"/>
      <c r="S68" s="15">
        <f t="shared" si="26"/>
        <v>7.1910495356441548E-2</v>
      </c>
      <c r="T68" s="22">
        <f t="shared" si="27"/>
        <v>4.4061606872757189E-2</v>
      </c>
      <c r="U68" s="15">
        <f t="shared" si="28"/>
        <v>12.53452255066272</v>
      </c>
    </row>
    <row r="69" spans="3:21">
      <c r="C69" s="15" t="s">
        <v>39</v>
      </c>
      <c r="D69" s="15" t="s">
        <v>55</v>
      </c>
      <c r="E69" s="15" t="s">
        <v>56</v>
      </c>
      <c r="F69" s="15">
        <v>282.46140000000003</v>
      </c>
      <c r="G69" s="22">
        <v>38.32</v>
      </c>
      <c r="H69" s="22">
        <f t="shared" si="22"/>
        <v>6.093599573841474E-4</v>
      </c>
      <c r="I69" s="22">
        <f t="shared" si="23"/>
        <v>0.36814037985282372</v>
      </c>
      <c r="J69" s="27"/>
      <c r="K69" s="27"/>
      <c r="L69" s="22">
        <v>9.11</v>
      </c>
      <c r="M69" s="22">
        <f t="shared" si="24"/>
        <v>3.5154891960459021E-5</v>
      </c>
      <c r="N69" s="22">
        <f t="shared" si="25"/>
        <v>8.5004654151354289E-2</v>
      </c>
      <c r="O69" s="27"/>
      <c r="P69" s="27"/>
      <c r="Q69" s="22">
        <f>0.217424186581357/2</f>
        <v>0.1087120932906785</v>
      </c>
      <c r="R69" s="22">
        <f>Q69/$Q$78</f>
        <v>0.10871209329067844</v>
      </c>
      <c r="S69" s="15">
        <f t="shared" si="26"/>
        <v>0.18728570909828549</v>
      </c>
      <c r="T69" s="22">
        <f t="shared" si="27"/>
        <v>0.11475528358232924</v>
      </c>
      <c r="U69" s="15">
        <f t="shared" si="28"/>
        <v>32.413938058061738</v>
      </c>
    </row>
    <row r="70" spans="3:21">
      <c r="C70" s="15" t="s">
        <v>156</v>
      </c>
      <c r="D70" s="15" t="s">
        <v>274</v>
      </c>
      <c r="E70" s="15" t="s">
        <v>56</v>
      </c>
      <c r="F70" s="15">
        <v>282.46140000000003</v>
      </c>
      <c r="G70" s="22">
        <v>4.4266666666666667</v>
      </c>
      <c r="H70" s="22">
        <f t="shared" si="22"/>
        <v>7.0392312404849331E-5</v>
      </c>
      <c r="I70" s="22">
        <f t="shared" si="23"/>
        <v>4.2527002822246869E-2</v>
      </c>
      <c r="J70" s="27"/>
      <c r="K70" s="27"/>
      <c r="L70" s="22">
        <v>0</v>
      </c>
      <c r="M70" s="22">
        <f t="shared" si="24"/>
        <v>0</v>
      </c>
      <c r="N70" s="22">
        <f t="shared" si="25"/>
        <v>0</v>
      </c>
      <c r="O70" s="27"/>
      <c r="P70" s="27"/>
      <c r="Q70" s="22">
        <f>0.217424186581357/2</f>
        <v>0.1087120932906785</v>
      </c>
      <c r="R70" s="22">
        <f>Q70/$Q$78</f>
        <v>0.10871209329067844</v>
      </c>
      <c r="S70" s="15">
        <f t="shared" si="26"/>
        <v>5.0413032037641768E-2</v>
      </c>
      <c r="T70" s="22">
        <f t="shared" si="27"/>
        <v>3.0889499340756646E-2</v>
      </c>
      <c r="U70" s="15">
        <f t="shared" si="28"/>
        <v>8.7250912290892</v>
      </c>
    </row>
    <row r="71" spans="3:21">
      <c r="C71" s="15" t="s">
        <v>40</v>
      </c>
      <c r="D71" s="15" t="s">
        <v>57</v>
      </c>
      <c r="E71" s="15" t="s">
        <v>58</v>
      </c>
      <c r="F71" s="15">
        <v>280.44549999999998</v>
      </c>
      <c r="G71" s="22">
        <v>6.8033333333333337</v>
      </c>
      <c r="H71" s="22">
        <f t="shared" si="22"/>
        <v>1.0896343694427458E-4</v>
      </c>
      <c r="I71" s="22">
        <f t="shared" si="23"/>
        <v>6.5829466771880826E-2</v>
      </c>
      <c r="J71" s="27"/>
      <c r="K71" s="27"/>
      <c r="L71" s="22">
        <v>0</v>
      </c>
      <c r="M71" s="22">
        <f t="shared" si="24"/>
        <v>0</v>
      </c>
      <c r="N71" s="22">
        <f t="shared" si="25"/>
        <v>0</v>
      </c>
      <c r="O71" s="27"/>
      <c r="P71" s="27"/>
      <c r="Q71" s="22">
        <v>7.8828264362901905E-3</v>
      </c>
      <c r="R71" s="22">
        <f>Q71/$Q$78</f>
        <v>7.8828264362901853E-3</v>
      </c>
      <c r="S71" s="15">
        <f t="shared" si="26"/>
        <v>2.4570764402723669E-2</v>
      </c>
      <c r="T71" s="22">
        <f t="shared" si="27"/>
        <v>1.5055206563515462E-2</v>
      </c>
      <c r="U71" s="15">
        <f t="shared" si="28"/>
        <v>4.2221649323083748</v>
      </c>
    </row>
    <row r="72" spans="3:21">
      <c r="C72" s="15" t="s">
        <v>209</v>
      </c>
      <c r="D72" s="15" t="s">
        <v>225</v>
      </c>
      <c r="E72" s="15" t="s">
        <v>60</v>
      </c>
      <c r="F72" s="15">
        <v>278.42959999999999</v>
      </c>
      <c r="G72" s="22">
        <v>2.3966666666666665</v>
      </c>
      <c r="H72" s="22">
        <f t="shared" si="22"/>
        <v>3.8663374072935407E-5</v>
      </c>
      <c r="I72" s="22">
        <f t="shared" si="23"/>
        <v>2.3358195833385335E-2</v>
      </c>
      <c r="J72" s="27"/>
      <c r="K72" s="27"/>
      <c r="L72" s="22">
        <v>27.01</v>
      </c>
      <c r="M72" s="22">
        <f t="shared" si="24"/>
        <v>1.0573911681803948E-4</v>
      </c>
      <c r="N72" s="22">
        <f t="shared" si="25"/>
        <v>0.25567756161779237</v>
      </c>
      <c r="O72" s="27"/>
      <c r="P72" s="27"/>
      <c r="Q72" s="27"/>
      <c r="R72" s="27"/>
      <c r="S72" s="15">
        <f t="shared" si="26"/>
        <v>0.13951787872558885</v>
      </c>
      <c r="T72" s="22">
        <f t="shared" si="27"/>
        <v>8.5486574576589175E-2</v>
      </c>
      <c r="U72" s="15">
        <f t="shared" si="28"/>
        <v>23.801992764729892</v>
      </c>
    </row>
    <row r="73" spans="3:21">
      <c r="C73" s="15" t="s">
        <v>157</v>
      </c>
      <c r="D73" s="15" t="s">
        <v>59</v>
      </c>
      <c r="E73" s="15" t="s">
        <v>60</v>
      </c>
      <c r="F73" s="15">
        <v>278.42959999999999</v>
      </c>
      <c r="G73" s="22">
        <v>1.7066666666666668</v>
      </c>
      <c r="H73" s="22">
        <f t="shared" si="22"/>
        <v>2.7532194054718959E-5</v>
      </c>
      <c r="I73" s="22">
        <f t="shared" si="23"/>
        <v>1.6633374501659658E-2</v>
      </c>
      <c r="J73" s="27"/>
      <c r="K73" s="27"/>
      <c r="L73" s="22">
        <v>0</v>
      </c>
      <c r="M73" s="22">
        <f t="shared" si="24"/>
        <v>0</v>
      </c>
      <c r="N73" s="22">
        <f t="shared" si="25"/>
        <v>0</v>
      </c>
      <c r="O73" s="27"/>
      <c r="P73" s="27"/>
      <c r="Q73" s="27"/>
      <c r="R73" s="27"/>
      <c r="S73" s="15">
        <f t="shared" si="26"/>
        <v>8.3166872508298288E-3</v>
      </c>
      <c r="T73" s="22">
        <f t="shared" si="27"/>
        <v>5.0958709478130491E-3</v>
      </c>
      <c r="U73" s="15">
        <f t="shared" si="28"/>
        <v>1.418841309651208</v>
      </c>
    </row>
    <row r="74" spans="3:21">
      <c r="C74" s="28" t="s">
        <v>158</v>
      </c>
      <c r="D74" s="15" t="s">
        <v>218</v>
      </c>
      <c r="E74" s="15" t="s">
        <v>219</v>
      </c>
      <c r="F74" s="15">
        <v>276.41370000000001</v>
      </c>
      <c r="G74" s="22">
        <v>2.5766666666666667</v>
      </c>
      <c r="H74" s="22">
        <f t="shared" si="22"/>
        <v>4.1870311702270098E-5</v>
      </c>
      <c r="I74" s="22">
        <f t="shared" si="23"/>
        <v>2.5295643843746347E-2</v>
      </c>
      <c r="J74" s="27"/>
      <c r="K74" s="27"/>
      <c r="L74" s="22">
        <v>0</v>
      </c>
      <c r="M74" s="22">
        <f t="shared" si="24"/>
        <v>0</v>
      </c>
      <c r="N74" s="22">
        <f t="shared" si="25"/>
        <v>0</v>
      </c>
      <c r="O74" s="27"/>
      <c r="P74" s="27"/>
      <c r="Q74" s="22">
        <v>2.6484940513924308E-2</v>
      </c>
      <c r="R74" s="22">
        <f>Q74/$Q$78</f>
        <v>2.648494051392429E-2</v>
      </c>
      <c r="S74" s="15">
        <f t="shared" si="26"/>
        <v>1.726019478589021E-2</v>
      </c>
      <c r="T74" s="22">
        <f t="shared" si="27"/>
        <v>1.0575812521293991E-2</v>
      </c>
      <c r="U74" s="15">
        <f t="shared" si="28"/>
        <v>2.9232994695172008</v>
      </c>
    </row>
    <row r="75" spans="3:21">
      <c r="C75" s="28" t="s">
        <v>284</v>
      </c>
      <c r="D75" s="15" t="s">
        <v>285</v>
      </c>
      <c r="E75" s="15" t="s">
        <v>286</v>
      </c>
      <c r="F75" s="15">
        <v>311.52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2">
        <v>0.21742418658135662</v>
      </c>
      <c r="R75" s="22">
        <f>Q75/$Q$78</f>
        <v>0.21742418658135648</v>
      </c>
      <c r="S75" s="15">
        <f t="shared" si="26"/>
        <v>0.21742418658135648</v>
      </c>
      <c r="T75" s="22">
        <f>S75/$S$78</f>
        <v>0.13322198639142852</v>
      </c>
      <c r="U75" s="15">
        <f t="shared" si="28"/>
        <v>41.501313200657812</v>
      </c>
    </row>
    <row r="76" spans="3:21">
      <c r="C76" s="15" t="s">
        <v>44</v>
      </c>
      <c r="D76" s="15" t="s">
        <v>65</v>
      </c>
      <c r="E76" s="15" t="s">
        <v>66</v>
      </c>
      <c r="F76" s="15">
        <v>302.45100000000002</v>
      </c>
      <c r="G76" s="22">
        <v>4.7433333333333332</v>
      </c>
      <c r="H76" s="22">
        <f>G76/F76*$G$18</f>
        <v>7.0442723688208075E-5</v>
      </c>
      <c r="I76" s="22">
        <f>H76/$H$78</f>
        <v>4.2557458431906919E-2</v>
      </c>
      <c r="J76" s="27"/>
      <c r="K76" s="27"/>
      <c r="L76" s="22">
        <v>3.33</v>
      </c>
      <c r="M76" s="22">
        <f>L76/F76*$M$20</f>
        <v>1.2000952220359661E-5</v>
      </c>
      <c r="N76" s="22">
        <f>M76/$M$78</f>
        <v>2.9018345273995268E-2</v>
      </c>
      <c r="O76" s="27"/>
      <c r="P76" s="27"/>
      <c r="Q76" s="22">
        <v>4.187244770090371E-2</v>
      </c>
      <c r="R76" s="22">
        <f>Q76/$Q$78</f>
        <v>4.1872447700903682E-2</v>
      </c>
      <c r="S76" s="15">
        <f t="shared" si="26"/>
        <v>3.781608380226862E-2</v>
      </c>
      <c r="T76" s="22">
        <f t="shared" si="27"/>
        <v>2.3170990683678328E-2</v>
      </c>
      <c r="U76" s="15">
        <f t="shared" si="28"/>
        <v>7.0080893032691947</v>
      </c>
    </row>
    <row r="77" spans="3:21">
      <c r="C77" s="15" t="s">
        <v>159</v>
      </c>
      <c r="D77" s="15" t="s">
        <v>223</v>
      </c>
      <c r="E77" s="15" t="s">
        <v>224</v>
      </c>
      <c r="F77" s="15">
        <v>328.48829999999998</v>
      </c>
      <c r="G77" s="22">
        <v>2.8833333333333333</v>
      </c>
      <c r="H77" s="22">
        <f>G77/F77*$G$18</f>
        <v>3.9425977187687426E-5</v>
      </c>
      <c r="I77" s="22">
        <f>H77/$H$78</f>
        <v>2.3818916950583344E-2</v>
      </c>
      <c r="J77" s="27"/>
      <c r="K77" s="27"/>
      <c r="L77" s="22">
        <v>0</v>
      </c>
      <c r="M77" s="22">
        <f>L77/F77*$M$20</f>
        <v>0</v>
      </c>
      <c r="N77" s="22">
        <f>M77/$M$78</f>
        <v>0</v>
      </c>
      <c r="O77" s="27"/>
      <c r="P77" s="27"/>
      <c r="Q77" s="22">
        <v>8.152614586251123E-3</v>
      </c>
      <c r="R77" s="22">
        <f>Q77/$Q$78</f>
        <v>8.1526145862511178E-3</v>
      </c>
      <c r="S77" s="15">
        <f t="shared" si="26"/>
        <v>1.0657177178944821E-2</v>
      </c>
      <c r="T77" s="22">
        <f t="shared" si="27"/>
        <v>6.5299557304457252E-3</v>
      </c>
      <c r="U77" s="15">
        <f t="shared" si="28"/>
        <v>2.1450140569693743</v>
      </c>
    </row>
    <row r="78" spans="3:21">
      <c r="C78" s="15" t="s">
        <v>17</v>
      </c>
      <c r="D78" s="15" t="s">
        <v>18</v>
      </c>
      <c r="E78" s="15" t="s">
        <v>18</v>
      </c>
      <c r="F78" s="15">
        <f t="shared" ref="F78:P78" si="29">SUM(F65:F77)</f>
        <v>3644.7809000000002</v>
      </c>
      <c r="G78" s="15">
        <f t="shared" si="29"/>
        <v>100.00666666666666</v>
      </c>
      <c r="H78" s="15">
        <f t="shared" si="29"/>
        <v>1.6552380307418577E-3</v>
      </c>
      <c r="I78" s="15">
        <f t="shared" si="29"/>
        <v>1.0000000000000002</v>
      </c>
      <c r="J78" s="15">
        <f t="shared" si="29"/>
        <v>0</v>
      </c>
      <c r="K78" s="15">
        <f t="shared" si="29"/>
        <v>0</v>
      </c>
      <c r="L78" s="15">
        <f t="shared" si="29"/>
        <v>99.990000000000009</v>
      </c>
      <c r="M78" s="15">
        <f t="shared" si="29"/>
        <v>4.1356431964141972E-4</v>
      </c>
      <c r="N78" s="15">
        <f t="shared" si="29"/>
        <v>0.99999999999999989</v>
      </c>
      <c r="O78" s="15">
        <f t="shared" si="29"/>
        <v>0</v>
      </c>
      <c r="P78" s="15">
        <f t="shared" si="29"/>
        <v>0</v>
      </c>
      <c r="Q78" s="15">
        <f>SUM(Q64:Q77)</f>
        <v>1.0000000000000007</v>
      </c>
      <c r="R78" s="15">
        <f>SUM(R64:R77)</f>
        <v>0.99999999999999989</v>
      </c>
      <c r="S78" s="15">
        <f>SUM(S64:S77)</f>
        <v>1.6320443229432702</v>
      </c>
      <c r="T78" s="15">
        <f>SUM(T64:T77)</f>
        <v>1.0000000000000002</v>
      </c>
      <c r="U78" s="15">
        <f>SUM(U64:U77)</f>
        <v>254.83784825673851</v>
      </c>
    </row>
    <row r="80" spans="3:21">
      <c r="C80" s="15" t="s">
        <v>153</v>
      </c>
      <c r="G80" s="15" t="s">
        <v>189</v>
      </c>
      <c r="J80" s="15" t="s">
        <v>191</v>
      </c>
      <c r="L80" s="15" t="s">
        <v>195</v>
      </c>
      <c r="O80" s="15" t="s">
        <v>196</v>
      </c>
      <c r="Q80" s="15" t="s">
        <v>204</v>
      </c>
    </row>
    <row r="81" spans="3:22">
      <c r="C81" s="15" t="s">
        <v>13</v>
      </c>
      <c r="D81" s="15" t="s">
        <v>14</v>
      </c>
      <c r="E81" s="15" t="s">
        <v>15</v>
      </c>
      <c r="F81" s="15" t="s">
        <v>16</v>
      </c>
      <c r="G81" s="15" t="s">
        <v>212</v>
      </c>
      <c r="H81" s="15" t="s">
        <v>226</v>
      </c>
      <c r="J81" s="15" t="s">
        <v>210</v>
      </c>
      <c r="L81" s="15" t="s">
        <v>212</v>
      </c>
      <c r="O81" s="15" t="s">
        <v>214</v>
      </c>
      <c r="Q81" s="15" t="s">
        <v>217</v>
      </c>
      <c r="T81" s="15" t="s">
        <v>112</v>
      </c>
      <c r="U81" s="15" t="s">
        <v>271</v>
      </c>
    </row>
    <row r="82" spans="3:22">
      <c r="C82" s="15" t="s">
        <v>35</v>
      </c>
      <c r="D82" s="15" t="s">
        <v>46</v>
      </c>
      <c r="E82" s="15" t="s">
        <v>47</v>
      </c>
      <c r="F82" s="15">
        <v>228.37090000000001</v>
      </c>
      <c r="G82" s="22">
        <v>8.2199999999999989</v>
      </c>
      <c r="H82" s="22">
        <f t="shared" ref="H82:H93" si="30">G82/F82*$G$18</f>
        <v>1.6167340059525969E-4</v>
      </c>
      <c r="I82" s="22">
        <f t="shared" ref="I82:I93" si="31">H82/$H$94</f>
        <v>9.4319562907823062E-2</v>
      </c>
      <c r="J82" s="27"/>
      <c r="K82" s="27"/>
      <c r="L82" s="22">
        <v>3.75</v>
      </c>
      <c r="M82" s="22">
        <f t="shared" ref="M82:M93" si="32">L82/F82*$M$19</f>
        <v>2.2660505344595132E-5</v>
      </c>
      <c r="N82" s="22">
        <f t="shared" ref="N82:N93" si="33">M82/$M$94</f>
        <v>4.5254116834574247E-2</v>
      </c>
      <c r="O82" s="27"/>
      <c r="P82" s="27"/>
      <c r="Q82" s="27"/>
      <c r="R82" s="27"/>
      <c r="S82" s="15">
        <f>AVERAGE(I82,K82,N82,P82,R82)</f>
        <v>6.9786839871198658E-2</v>
      </c>
      <c r="T82" s="22">
        <f t="shared" ref="T82:T93" si="34">S82/$S$94</f>
        <v>6.9786839871198658E-2</v>
      </c>
      <c r="U82" s="15">
        <f>T82*F82</f>
        <v>15.937283429541521</v>
      </c>
    </row>
    <row r="83" spans="3:22">
      <c r="C83" s="15" t="s">
        <v>36</v>
      </c>
      <c r="D83" s="15" t="s">
        <v>48</v>
      </c>
      <c r="E83" s="15" t="s">
        <v>49</v>
      </c>
      <c r="F83" s="15">
        <v>256.42410000000001</v>
      </c>
      <c r="G83" s="22">
        <v>21.27</v>
      </c>
      <c r="H83" s="22">
        <f t="shared" si="30"/>
        <v>3.7257710956185467E-4</v>
      </c>
      <c r="I83" s="22">
        <f t="shared" si="31"/>
        <v>0.21735987487087341</v>
      </c>
      <c r="J83" s="27"/>
      <c r="K83" s="27"/>
      <c r="L83" s="22">
        <v>7.23</v>
      </c>
      <c r="M83" s="22">
        <f t="shared" si="32"/>
        <v>3.8909759262097438E-5</v>
      </c>
      <c r="N83" s="22">
        <f t="shared" si="33"/>
        <v>7.7704656841295836E-2</v>
      </c>
      <c r="O83" s="27"/>
      <c r="P83" s="27"/>
      <c r="Q83" s="27"/>
      <c r="R83" s="27"/>
      <c r="S83" s="15">
        <f t="shared" ref="S83:S93" si="35">AVERAGE(I83,K83,N83,P83,R83)</f>
        <v>0.14753226585608462</v>
      </c>
      <c r="T83" s="22">
        <f t="shared" si="34"/>
        <v>0.14753226585608462</v>
      </c>
      <c r="U83" s="15">
        <f t="shared" ref="U83:U93" si="36">T83*F83</f>
        <v>37.830828493107227</v>
      </c>
    </row>
    <row r="84" spans="3:22">
      <c r="C84" s="15" t="s">
        <v>213</v>
      </c>
      <c r="D84" s="15" t="s">
        <v>50</v>
      </c>
      <c r="E84" s="15" t="s">
        <v>51</v>
      </c>
      <c r="F84" s="15">
        <v>254.40819999999999</v>
      </c>
      <c r="G84" s="22">
        <v>16.913333333333334</v>
      </c>
      <c r="H84" s="22">
        <f t="shared" si="30"/>
        <v>2.9861087636151487E-4</v>
      </c>
      <c r="I84" s="22">
        <f t="shared" si="31"/>
        <v>0.17420829421686498</v>
      </c>
      <c r="J84" s="27"/>
      <c r="K84" s="27"/>
      <c r="L84" s="22">
        <v>4.41</v>
      </c>
      <c r="M84" s="22">
        <f t="shared" si="32"/>
        <v>2.392139875994563E-5</v>
      </c>
      <c r="N84" s="22">
        <f t="shared" si="33"/>
        <v>4.7772181505529462E-2</v>
      </c>
      <c r="O84" s="27"/>
      <c r="P84" s="27"/>
      <c r="Q84" s="27"/>
      <c r="R84" s="27"/>
      <c r="S84" s="15">
        <f t="shared" si="35"/>
        <v>0.11099023786119722</v>
      </c>
      <c r="T84" s="22">
        <f t="shared" si="34"/>
        <v>0.11099023786119722</v>
      </c>
      <c r="U84" s="15">
        <f t="shared" si="36"/>
        <v>28.236826631839033</v>
      </c>
    </row>
    <row r="85" spans="3:22">
      <c r="C85" s="15" t="s">
        <v>45</v>
      </c>
      <c r="D85" s="15" t="s">
        <v>53</v>
      </c>
      <c r="E85" s="15" t="s">
        <v>54</v>
      </c>
      <c r="F85" s="15">
        <v>284.47719999999998</v>
      </c>
      <c r="G85" s="22">
        <v>8.7299999999999986</v>
      </c>
      <c r="H85" s="22">
        <f t="shared" si="30"/>
        <v>1.3783969330406792E-4</v>
      </c>
      <c r="I85" s="22">
        <f t="shared" si="31"/>
        <v>8.0415081119839221E-2</v>
      </c>
      <c r="J85" s="27"/>
      <c r="K85" s="27"/>
      <c r="L85" s="22">
        <v>3.97</v>
      </c>
      <c r="M85" s="22">
        <f t="shared" si="32"/>
        <v>1.9258485390041804E-5</v>
      </c>
      <c r="N85" s="22">
        <f t="shared" si="33"/>
        <v>3.8460119694804812E-2</v>
      </c>
      <c r="O85" s="27"/>
      <c r="P85" s="27"/>
      <c r="Q85" s="27"/>
      <c r="R85" s="27"/>
      <c r="S85" s="15">
        <f t="shared" si="35"/>
        <v>5.9437600407322017E-2</v>
      </c>
      <c r="T85" s="22">
        <f t="shared" si="34"/>
        <v>5.9437600407322017E-2</v>
      </c>
      <c r="U85" s="15">
        <f t="shared" si="36"/>
        <v>16.908642138593827</v>
      </c>
    </row>
    <row r="86" spans="3:22">
      <c r="C86" s="15" t="s">
        <v>39</v>
      </c>
      <c r="D86" s="15" t="s">
        <v>55</v>
      </c>
      <c r="E86" s="15" t="s">
        <v>56</v>
      </c>
      <c r="F86" s="15">
        <v>282.46140000000003</v>
      </c>
      <c r="G86" s="22">
        <v>13.266666666666666</v>
      </c>
      <c r="H86" s="22">
        <f t="shared" si="30"/>
        <v>2.1096491217718395E-4</v>
      </c>
      <c r="I86" s="22">
        <f t="shared" si="31"/>
        <v>0.12307601765149416</v>
      </c>
      <c r="J86" s="27"/>
      <c r="K86" s="27"/>
      <c r="L86" s="22">
        <v>3.75</v>
      </c>
      <c r="M86" s="22">
        <f t="shared" si="32"/>
        <v>1.832108741229775E-5</v>
      </c>
      <c r="N86" s="22">
        <f t="shared" si="33"/>
        <v>3.6588090939919118E-2</v>
      </c>
      <c r="O86" s="27"/>
      <c r="P86" s="27"/>
      <c r="Q86" s="27"/>
      <c r="R86" s="27"/>
      <c r="S86" s="15">
        <f t="shared" si="35"/>
        <v>7.9832054295706639E-2</v>
      </c>
      <c r="T86" s="22">
        <f t="shared" si="34"/>
        <v>7.9832054295706639E-2</v>
      </c>
      <c r="U86" s="15">
        <f t="shared" si="36"/>
        <v>22.549473821241314</v>
      </c>
    </row>
    <row r="87" spans="3:22">
      <c r="C87" s="15" t="s">
        <v>156</v>
      </c>
      <c r="D87" s="15" t="s">
        <v>274</v>
      </c>
      <c r="E87" s="15" t="s">
        <v>56</v>
      </c>
      <c r="F87" s="15">
        <v>282.46140000000003</v>
      </c>
      <c r="G87" s="22">
        <v>2.0099999999999998</v>
      </c>
      <c r="H87" s="22">
        <f t="shared" si="30"/>
        <v>3.1962774382623601E-5</v>
      </c>
      <c r="I87" s="22">
        <f t="shared" si="31"/>
        <v>1.8646944382877131E-2</v>
      </c>
      <c r="J87" s="27"/>
      <c r="K87" s="27"/>
      <c r="L87" s="22">
        <v>0</v>
      </c>
      <c r="M87" s="22">
        <f t="shared" si="32"/>
        <v>0</v>
      </c>
      <c r="N87" s="22">
        <f t="shared" si="33"/>
        <v>0</v>
      </c>
      <c r="O87" s="27"/>
      <c r="P87" s="27"/>
      <c r="Q87" s="27"/>
      <c r="R87" s="27"/>
      <c r="S87" s="15">
        <f t="shared" si="35"/>
        <v>9.3234721914385657E-3</v>
      </c>
      <c r="T87" s="22">
        <f t="shared" si="34"/>
        <v>9.3234721914385657E-3</v>
      </c>
      <c r="U87" s="15">
        <f t="shared" si="36"/>
        <v>2.6335210080548057</v>
      </c>
      <c r="V87" s="15" t="s">
        <v>644</v>
      </c>
    </row>
    <row r="88" spans="3:22">
      <c r="C88" s="15" t="s">
        <v>40</v>
      </c>
      <c r="D88" s="15" t="s">
        <v>57</v>
      </c>
      <c r="E88" s="15" t="s">
        <v>58</v>
      </c>
      <c r="F88" s="15">
        <v>280.44549999999998</v>
      </c>
      <c r="G88" s="22">
        <v>4.7333333333333334</v>
      </c>
      <c r="H88" s="22">
        <f t="shared" si="30"/>
        <v>7.5809936531538402E-5</v>
      </c>
      <c r="I88" s="22">
        <f t="shared" si="31"/>
        <v>4.4227189206126963E-2</v>
      </c>
      <c r="J88" s="27"/>
      <c r="K88" s="27"/>
      <c r="L88" s="22">
        <v>1.92</v>
      </c>
      <c r="M88" s="22">
        <f t="shared" si="32"/>
        <v>9.4478249784717526E-6</v>
      </c>
      <c r="N88" s="22">
        <f t="shared" si="33"/>
        <v>1.8867759959746325E-2</v>
      </c>
      <c r="O88" s="27"/>
      <c r="P88" s="27"/>
      <c r="Q88" s="27"/>
      <c r="R88" s="27"/>
      <c r="S88" s="15">
        <f t="shared" si="35"/>
        <v>3.1547474582936642E-2</v>
      </c>
      <c r="T88" s="22">
        <f t="shared" si="34"/>
        <v>3.1547474582936642E-2</v>
      </c>
      <c r="U88" s="15">
        <f t="shared" si="36"/>
        <v>8.8473472831489577</v>
      </c>
    </row>
    <row r="89" spans="3:22">
      <c r="C89" s="15" t="s">
        <v>209</v>
      </c>
      <c r="D89" s="15" t="s">
        <v>225</v>
      </c>
      <c r="E89" s="15" t="s">
        <v>60</v>
      </c>
      <c r="F89" s="15">
        <v>278.42959999999999</v>
      </c>
      <c r="G89" s="22">
        <v>6.0733333333333333</v>
      </c>
      <c r="H89" s="22">
        <f t="shared" si="30"/>
        <v>9.7975893686910048E-5</v>
      </c>
      <c r="I89" s="22">
        <f t="shared" si="31"/>
        <v>5.7158712775437506E-2</v>
      </c>
      <c r="J89" s="27"/>
      <c r="K89" s="27"/>
      <c r="L89" s="22">
        <v>49.04</v>
      </c>
      <c r="M89" s="22">
        <f t="shared" si="32"/>
        <v>2.4306036427161482E-4</v>
      </c>
      <c r="N89" s="22">
        <f t="shared" si="33"/>
        <v>0.48540321388840402</v>
      </c>
      <c r="O89" s="27"/>
      <c r="P89" s="27"/>
      <c r="Q89" s="27"/>
      <c r="R89" s="27"/>
      <c r="S89" s="15">
        <f t="shared" si="35"/>
        <v>0.27128096333192075</v>
      </c>
      <c r="T89" s="22">
        <f t="shared" si="34"/>
        <v>0.27128096333192075</v>
      </c>
      <c r="U89" s="15">
        <f t="shared" si="36"/>
        <v>75.532650108121359</v>
      </c>
      <c r="V89" s="15" t="s">
        <v>644</v>
      </c>
    </row>
    <row r="90" spans="3:22">
      <c r="C90" s="15" t="s">
        <v>157</v>
      </c>
      <c r="D90" s="15" t="s">
        <v>59</v>
      </c>
      <c r="E90" s="15" t="s">
        <v>60</v>
      </c>
      <c r="F90" s="15">
        <v>278.42959999999999</v>
      </c>
      <c r="G90" s="22">
        <v>3.1333333333333329</v>
      </c>
      <c r="H90" s="22">
        <f t="shared" si="30"/>
        <v>5.054738752233558E-5</v>
      </c>
      <c r="I90" s="22">
        <f t="shared" si="31"/>
        <v>2.9489127337492451E-2</v>
      </c>
      <c r="J90" s="27"/>
      <c r="K90" s="27"/>
      <c r="L90" s="22">
        <v>0</v>
      </c>
      <c r="M90" s="22">
        <f t="shared" si="32"/>
        <v>0</v>
      </c>
      <c r="N90" s="22">
        <f t="shared" si="33"/>
        <v>0</v>
      </c>
      <c r="O90" s="27"/>
      <c r="P90" s="27"/>
      <c r="Q90" s="27"/>
      <c r="R90" s="27"/>
      <c r="S90" s="15">
        <f t="shared" si="35"/>
        <v>1.4744563668746226E-2</v>
      </c>
      <c r="T90" s="22">
        <f t="shared" si="34"/>
        <v>1.4744563668746226E-2</v>
      </c>
      <c r="U90" s="15">
        <f t="shared" si="36"/>
        <v>4.1053229644635438</v>
      </c>
    </row>
    <row r="91" spans="3:22">
      <c r="C91" s="28" t="s">
        <v>158</v>
      </c>
      <c r="D91" s="15" t="s">
        <v>218</v>
      </c>
      <c r="E91" s="15" t="s">
        <v>219</v>
      </c>
      <c r="F91" s="15">
        <v>276.41370000000001</v>
      </c>
      <c r="G91" s="22">
        <v>3.65</v>
      </c>
      <c r="H91" s="22">
        <f t="shared" si="30"/>
        <v>5.9311761078894895E-5</v>
      </c>
      <c r="I91" s="22">
        <f t="shared" si="31"/>
        <v>3.4602224977375924E-2</v>
      </c>
      <c r="J91" s="27"/>
      <c r="K91" s="27"/>
      <c r="L91" s="22">
        <v>16.04</v>
      </c>
      <c r="M91" s="22">
        <f t="shared" si="32"/>
        <v>8.0079967092803276E-5</v>
      </c>
      <c r="N91" s="22">
        <f t="shared" si="33"/>
        <v>0.15992353797136066</v>
      </c>
      <c r="O91" s="27"/>
      <c r="P91" s="27"/>
      <c r="Q91" s="27"/>
      <c r="R91" s="27"/>
      <c r="S91" s="15">
        <f t="shared" si="35"/>
        <v>9.726288147436829E-2</v>
      </c>
      <c r="T91" s="22">
        <f t="shared" si="34"/>
        <v>9.726288147436829E-2</v>
      </c>
      <c r="U91" s="15">
        <f t="shared" si="36"/>
        <v>26.884792940991595</v>
      </c>
    </row>
    <row r="92" spans="3:22">
      <c r="C92" s="15" t="s">
        <v>44</v>
      </c>
      <c r="D92" s="15" t="s">
        <v>65</v>
      </c>
      <c r="E92" s="15" t="s">
        <v>66</v>
      </c>
      <c r="F92" s="15">
        <v>302.45100000000002</v>
      </c>
      <c r="G92" s="22">
        <v>5.2733333333333334</v>
      </c>
      <c r="H92" s="22">
        <f t="shared" si="30"/>
        <v>7.8313695625260133E-5</v>
      </c>
      <c r="I92" s="22">
        <f t="shared" si="31"/>
        <v>4.5687871436332024E-2</v>
      </c>
      <c r="J92" s="27"/>
      <c r="K92" s="27"/>
      <c r="L92" s="22">
        <v>9.8800000000000008</v>
      </c>
      <c r="M92" s="22">
        <f t="shared" si="32"/>
        <v>4.5079698860311255E-5</v>
      </c>
      <c r="N92" s="22">
        <f t="shared" si="33"/>
        <v>9.0026322364365516E-2</v>
      </c>
      <c r="O92" s="27"/>
      <c r="P92" s="27"/>
      <c r="Q92" s="27"/>
      <c r="R92" s="27"/>
      <c r="S92" s="15">
        <f t="shared" si="35"/>
        <v>6.7857096900348773E-2</v>
      </c>
      <c r="T92" s="22">
        <f t="shared" si="34"/>
        <v>6.7857096900348773E-2</v>
      </c>
      <c r="U92" s="15">
        <f t="shared" si="36"/>
        <v>20.523446814607389</v>
      </c>
      <c r="V92" s="15" t="s">
        <v>644</v>
      </c>
    </row>
    <row r="93" spans="3:22">
      <c r="C93" s="15" t="s">
        <v>159</v>
      </c>
      <c r="D93" s="15" t="s">
        <v>223</v>
      </c>
      <c r="E93" s="15" t="s">
        <v>224</v>
      </c>
      <c r="F93" s="15">
        <v>328.48829999999998</v>
      </c>
      <c r="G93" s="22">
        <v>10.130000000000001</v>
      </c>
      <c r="H93" s="22">
        <f t="shared" si="30"/>
        <v>1.3851508054726252E-4</v>
      </c>
      <c r="I93" s="22">
        <f t="shared" si="31"/>
        <v>8.0809099117463395E-2</v>
      </c>
      <c r="J93" s="27"/>
      <c r="K93" s="27"/>
      <c r="L93" s="22">
        <v>0</v>
      </c>
      <c r="M93" s="22">
        <f t="shared" si="32"/>
        <v>0</v>
      </c>
      <c r="N93" s="22">
        <f t="shared" si="33"/>
        <v>0</v>
      </c>
      <c r="O93" s="27"/>
      <c r="P93" s="27"/>
      <c r="Q93" s="27"/>
      <c r="R93" s="27"/>
      <c r="S93" s="15">
        <f t="shared" si="35"/>
        <v>4.0404549558731698E-2</v>
      </c>
      <c r="T93" s="22">
        <f t="shared" si="34"/>
        <v>4.0404549558731698E-2</v>
      </c>
      <c r="U93" s="15">
        <f t="shared" si="36"/>
        <v>13.272421796813525</v>
      </c>
      <c r="V93" s="15" t="s">
        <v>644</v>
      </c>
    </row>
    <row r="94" spans="3:22">
      <c r="C94" s="15" t="s">
        <v>17</v>
      </c>
      <c r="D94" s="15" t="s">
        <v>18</v>
      </c>
      <c r="E94" s="15" t="s">
        <v>18</v>
      </c>
      <c r="F94" s="15">
        <f t="shared" ref="F94:U94" si="37">SUM(F82:F93)</f>
        <v>3333.2609000000002</v>
      </c>
      <c r="G94" s="15">
        <f t="shared" si="37"/>
        <v>103.40333333333336</v>
      </c>
      <c r="H94" s="15">
        <f t="shared" si="37"/>
        <v>1.7141025213747059E-3</v>
      </c>
      <c r="I94" s="15">
        <f t="shared" si="37"/>
        <v>1.0000000000000002</v>
      </c>
      <c r="J94" s="15">
        <f t="shared" si="37"/>
        <v>0</v>
      </c>
      <c r="K94" s="15">
        <f t="shared" si="37"/>
        <v>0</v>
      </c>
      <c r="L94" s="15">
        <f t="shared" si="37"/>
        <v>99.989999999999981</v>
      </c>
      <c r="M94" s="15">
        <f t="shared" si="37"/>
        <v>5.0073909137217886E-4</v>
      </c>
      <c r="N94" s="15">
        <f t="shared" si="37"/>
        <v>0.99999999999999989</v>
      </c>
      <c r="O94" s="15">
        <f t="shared" si="37"/>
        <v>0</v>
      </c>
      <c r="P94" s="15">
        <f t="shared" si="37"/>
        <v>0</v>
      </c>
      <c r="Q94" s="15">
        <f t="shared" si="37"/>
        <v>0</v>
      </c>
      <c r="R94" s="15">
        <f t="shared" si="37"/>
        <v>0</v>
      </c>
      <c r="S94" s="15">
        <f t="shared" si="37"/>
        <v>1</v>
      </c>
      <c r="T94" s="15">
        <f t="shared" si="37"/>
        <v>1</v>
      </c>
      <c r="U94" s="15">
        <f t="shared" si="37"/>
        <v>273.26255743052411</v>
      </c>
    </row>
    <row r="101" spans="3:39">
      <c r="C101" s="15" t="s">
        <v>23</v>
      </c>
      <c r="G101" s="15" t="s">
        <v>189</v>
      </c>
      <c r="J101" s="15" t="s">
        <v>191</v>
      </c>
      <c r="L101" s="15" t="s">
        <v>195</v>
      </c>
      <c r="O101" s="15" t="s">
        <v>196</v>
      </c>
      <c r="Q101" s="15" t="s">
        <v>204</v>
      </c>
    </row>
    <row r="102" spans="3:39">
      <c r="C102" s="15" t="s">
        <v>13</v>
      </c>
      <c r="D102" s="15" t="s">
        <v>14</v>
      </c>
      <c r="E102" s="15" t="s">
        <v>15</v>
      </c>
      <c r="F102" s="15" t="s">
        <v>16</v>
      </c>
      <c r="G102" s="15" t="s">
        <v>212</v>
      </c>
      <c r="H102" s="15" t="s">
        <v>226</v>
      </c>
      <c r="J102" s="15" t="s">
        <v>210</v>
      </c>
      <c r="L102" s="15" t="s">
        <v>212</v>
      </c>
      <c r="O102" s="15" t="s">
        <v>214</v>
      </c>
      <c r="Q102" s="15" t="s">
        <v>217</v>
      </c>
      <c r="T102" s="15" t="s">
        <v>112</v>
      </c>
      <c r="U102" s="15" t="s">
        <v>271</v>
      </c>
    </row>
    <row r="103" spans="3:39">
      <c r="C103" s="15" t="s">
        <v>36</v>
      </c>
      <c r="D103" s="15" t="s">
        <v>48</v>
      </c>
      <c r="E103" s="15" t="s">
        <v>49</v>
      </c>
      <c r="F103" s="15">
        <v>256.42410000000001</v>
      </c>
      <c r="G103" s="22">
        <v>26.143333333333334</v>
      </c>
      <c r="H103" s="22">
        <f t="shared" ref="H103:H113" si="38">G103/F103*$G$18</f>
        <v>4.5794111742573679E-4</v>
      </c>
      <c r="I103" s="22">
        <f t="shared" ref="I103:I113" si="39">H103/$H$114</f>
        <v>0.25669111059506927</v>
      </c>
      <c r="J103" s="27"/>
      <c r="K103" s="27"/>
      <c r="L103" s="22">
        <v>28.22</v>
      </c>
      <c r="M103" s="22">
        <f t="shared" ref="M103:M113" si="40">L103/F103*$M$21</f>
        <v>6.6031234973623761E-5</v>
      </c>
      <c r="N103" s="22">
        <f t="shared" ref="N103:N113" si="41">M103/$M$114</f>
        <v>0.30033364111338562</v>
      </c>
      <c r="O103" s="27"/>
      <c r="P103" s="27"/>
      <c r="Q103" s="27"/>
      <c r="R103" s="27"/>
      <c r="S103" s="15">
        <f>AVERAGE(I103,K103,N103,P103,R103)</f>
        <v>0.27851237585422745</v>
      </c>
      <c r="T103" s="22">
        <f>S103/$S$114</f>
        <v>0.27851237585422745</v>
      </c>
      <c r="U103" s="15">
        <f>T103*F103</f>
        <v>71.417285317282008</v>
      </c>
    </row>
    <row r="104" spans="3:39">
      <c r="C104" s="15" t="s">
        <v>213</v>
      </c>
      <c r="D104" s="15" t="s">
        <v>50</v>
      </c>
      <c r="E104" s="15" t="s">
        <v>51</v>
      </c>
      <c r="F104" s="15">
        <v>254.40819999999999</v>
      </c>
      <c r="G104" s="22">
        <v>10.026666666666666</v>
      </c>
      <c r="H104" s="22">
        <f t="shared" si="38"/>
        <v>1.7702434294352318E-4</v>
      </c>
      <c r="I104" s="22">
        <f t="shared" si="39"/>
        <v>9.922798688175094E-2</v>
      </c>
      <c r="J104" s="27"/>
      <c r="K104" s="27"/>
      <c r="L104" s="22">
        <v>0</v>
      </c>
      <c r="M104" s="22">
        <f t="shared" si="40"/>
        <v>0</v>
      </c>
      <c r="N104" s="22">
        <f t="shared" si="41"/>
        <v>0</v>
      </c>
      <c r="O104" s="27"/>
      <c r="P104" s="27"/>
      <c r="Q104" s="27"/>
      <c r="R104" s="27"/>
      <c r="S104" s="15">
        <f t="shared" ref="S104:S113" si="42">AVERAGE(I104,K104,N104,P104,R104)</f>
        <v>4.961399344087547E-2</v>
      </c>
      <c r="T104" s="22">
        <f t="shared" ref="T104:T113" si="43">S104/$S$114</f>
        <v>4.961399344087547E-2</v>
      </c>
      <c r="U104" s="15">
        <f t="shared" ref="U104:U113" si="44">T104*F104</f>
        <v>12.622206766104934</v>
      </c>
    </row>
    <row r="105" spans="3:39">
      <c r="C105" s="15" t="s">
        <v>45</v>
      </c>
      <c r="D105" s="15" t="s">
        <v>53</v>
      </c>
      <c r="E105" s="15" t="s">
        <v>54</v>
      </c>
      <c r="F105" s="15">
        <v>284.47719999999998</v>
      </c>
      <c r="G105" s="22">
        <v>7.669999999999999</v>
      </c>
      <c r="H105" s="22">
        <f t="shared" si="38"/>
        <v>1.2110314405981685E-4</v>
      </c>
      <c r="I105" s="22">
        <f t="shared" si="39"/>
        <v>6.7882309236645927E-2</v>
      </c>
      <c r="J105" s="27"/>
      <c r="K105" s="27"/>
      <c r="L105" s="22">
        <v>18.63</v>
      </c>
      <c r="M105" s="22">
        <f t="shared" si="40"/>
        <v>3.9293131400337183E-5</v>
      </c>
      <c r="N105" s="22">
        <f t="shared" si="41"/>
        <v>0.17871919598238487</v>
      </c>
      <c r="O105" s="27"/>
      <c r="P105" s="27"/>
      <c r="Q105" s="27"/>
      <c r="R105" s="27"/>
      <c r="S105" s="15">
        <f t="shared" si="42"/>
        <v>0.1233007526095154</v>
      </c>
      <c r="T105" s="22">
        <f t="shared" si="43"/>
        <v>0.1233007526095154</v>
      </c>
      <c r="U105" s="15">
        <f t="shared" si="44"/>
        <v>35.076252860247628</v>
      </c>
    </row>
    <row r="106" spans="3:39">
      <c r="C106" s="15" t="s">
        <v>39</v>
      </c>
      <c r="D106" s="15" t="s">
        <v>55</v>
      </c>
      <c r="E106" s="15" t="s">
        <v>56</v>
      </c>
      <c r="F106" s="15">
        <v>282.46140000000003</v>
      </c>
      <c r="G106" s="22">
        <v>4.2566666666666668</v>
      </c>
      <c r="H106" s="22">
        <f t="shared" si="38"/>
        <v>6.7688993178458278E-5</v>
      </c>
      <c r="I106" s="22">
        <f t="shared" si="39"/>
        <v>3.7941914741600399E-2</v>
      </c>
      <c r="J106" s="27"/>
      <c r="K106" s="27"/>
      <c r="L106" s="22">
        <v>0</v>
      </c>
      <c r="M106" s="22">
        <f t="shared" si="40"/>
        <v>0</v>
      </c>
      <c r="N106" s="22">
        <f t="shared" si="41"/>
        <v>0</v>
      </c>
      <c r="O106" s="27"/>
      <c r="P106" s="27"/>
      <c r="Q106" s="27"/>
      <c r="R106" s="27"/>
      <c r="S106" s="15">
        <f t="shared" si="42"/>
        <v>1.89709573708002E-2</v>
      </c>
      <c r="T106" s="22">
        <f t="shared" si="43"/>
        <v>1.89709573708002E-2</v>
      </c>
      <c r="U106" s="15">
        <f t="shared" si="44"/>
        <v>5.3585631782965439</v>
      </c>
    </row>
    <row r="107" spans="3:39">
      <c r="C107" s="15" t="s">
        <v>156</v>
      </c>
      <c r="D107" s="15" t="s">
        <v>274</v>
      </c>
      <c r="E107" s="15" t="s">
        <v>56</v>
      </c>
      <c r="F107" s="15">
        <v>282.46140000000003</v>
      </c>
      <c r="G107" s="22">
        <v>6.5649999999999995</v>
      </c>
      <c r="H107" s="22">
        <f t="shared" si="38"/>
        <v>1.0439582777210145E-4</v>
      </c>
      <c r="I107" s="22">
        <f t="shared" si="39"/>
        <v>5.8517307034911488E-2</v>
      </c>
      <c r="J107" s="27"/>
      <c r="K107" s="27"/>
      <c r="L107" s="22">
        <v>0</v>
      </c>
      <c r="M107" s="22">
        <f t="shared" si="40"/>
        <v>0</v>
      </c>
      <c r="N107" s="22">
        <f t="shared" si="41"/>
        <v>0</v>
      </c>
      <c r="O107" s="27"/>
      <c r="P107" s="27"/>
      <c r="Q107" s="27"/>
      <c r="R107" s="27"/>
      <c r="S107" s="15">
        <f t="shared" si="42"/>
        <v>2.9258653517455744E-2</v>
      </c>
      <c r="T107" s="22">
        <f t="shared" si="43"/>
        <v>2.9258653517455744E-2</v>
      </c>
      <c r="U107" s="15">
        <f t="shared" si="44"/>
        <v>8.2644402346554742</v>
      </c>
    </row>
    <row r="108" spans="3:39">
      <c r="C108" s="15" t="s">
        <v>40</v>
      </c>
      <c r="D108" s="15" t="s">
        <v>57</v>
      </c>
      <c r="E108" s="15" t="s">
        <v>58</v>
      </c>
      <c r="F108" s="15">
        <v>280.44549999999998</v>
      </c>
      <c r="G108" s="22">
        <v>2.9866666666666664</v>
      </c>
      <c r="H108" s="22">
        <f t="shared" si="38"/>
        <v>4.7835002205815783E-5</v>
      </c>
      <c r="I108" s="22">
        <f t="shared" si="39"/>
        <v>2.6813097523437975E-2</v>
      </c>
      <c r="J108" s="27"/>
      <c r="K108" s="27"/>
      <c r="L108" s="22">
        <v>0</v>
      </c>
      <c r="M108" s="22">
        <f t="shared" si="40"/>
        <v>0</v>
      </c>
      <c r="N108" s="22">
        <f t="shared" si="41"/>
        <v>0</v>
      </c>
      <c r="O108" s="27"/>
      <c r="P108" s="27"/>
      <c r="Q108" s="27"/>
      <c r="R108" s="27"/>
      <c r="S108" s="15">
        <f t="shared" si="42"/>
        <v>1.3406548761718987E-2</v>
      </c>
      <c r="T108" s="22">
        <f t="shared" si="43"/>
        <v>1.3406548761718987E-2</v>
      </c>
      <c r="U108" s="15">
        <f t="shared" si="44"/>
        <v>3.759806270754662</v>
      </c>
      <c r="V108" s="28"/>
      <c r="AM108" s="29"/>
    </row>
    <row r="109" spans="3:39">
      <c r="C109" s="15" t="s">
        <v>209</v>
      </c>
      <c r="D109" s="15" t="s">
        <v>225</v>
      </c>
      <c r="E109" s="15" t="s">
        <v>60</v>
      </c>
      <c r="F109" s="15">
        <v>278.42959999999999</v>
      </c>
      <c r="G109" s="22">
        <v>7.7</v>
      </c>
      <c r="H109" s="22">
        <f t="shared" si="38"/>
        <v>1.2421751614531405E-4</v>
      </c>
      <c r="I109" s="22">
        <f t="shared" si="39"/>
        <v>6.9628017579951004E-2</v>
      </c>
      <c r="J109" s="27"/>
      <c r="K109" s="27"/>
      <c r="L109" s="22">
        <v>53.15</v>
      </c>
      <c r="M109" s="22">
        <f t="shared" si="40"/>
        <v>1.1453523619615156E-4</v>
      </c>
      <c r="N109" s="22">
        <f t="shared" si="41"/>
        <v>0.52094716290422949</v>
      </c>
      <c r="O109" s="27"/>
      <c r="P109" s="27"/>
      <c r="Q109" s="27"/>
      <c r="R109" s="27"/>
      <c r="S109" s="15">
        <f>AVERAGE(I109,K109,N109,P109,R109)</f>
        <v>0.29528759024209023</v>
      </c>
      <c r="T109" s="22">
        <f t="shared" si="43"/>
        <v>0.29528759024209023</v>
      </c>
      <c r="U109" s="15">
        <f t="shared" si="44"/>
        <v>82.216805636069083</v>
      </c>
      <c r="AM109" s="29"/>
    </row>
    <row r="110" spans="3:39">
      <c r="C110" s="15" t="s">
        <v>157</v>
      </c>
      <c r="D110" s="15" t="s">
        <v>59</v>
      </c>
      <c r="E110" s="15" t="s">
        <v>60</v>
      </c>
      <c r="F110" s="15">
        <v>278.42959999999999</v>
      </c>
      <c r="G110" s="22">
        <v>2.34</v>
      </c>
      <c r="H110" s="22">
        <f t="shared" si="38"/>
        <v>3.7749219192212314E-5</v>
      </c>
      <c r="I110" s="22">
        <f t="shared" si="39"/>
        <v>2.1159683264556535E-2</v>
      </c>
      <c r="J110" s="27"/>
      <c r="K110" s="27"/>
      <c r="L110" s="22">
        <v>0</v>
      </c>
      <c r="M110" s="22">
        <f t="shared" si="40"/>
        <v>0</v>
      </c>
      <c r="N110" s="22">
        <f t="shared" si="41"/>
        <v>0</v>
      </c>
      <c r="O110" s="27"/>
      <c r="P110" s="27"/>
      <c r="Q110" s="27"/>
      <c r="R110" s="27"/>
      <c r="S110" s="15">
        <f t="shared" si="42"/>
        <v>1.0579841632278267E-2</v>
      </c>
      <c r="T110" s="22">
        <f t="shared" si="43"/>
        <v>1.0579841632278267E-2</v>
      </c>
      <c r="U110" s="15">
        <f t="shared" si="44"/>
        <v>2.945741073738585</v>
      </c>
      <c r="AM110" s="29"/>
    </row>
    <row r="111" spans="3:39">
      <c r="C111" s="28" t="s">
        <v>158</v>
      </c>
      <c r="D111" s="15" t="s">
        <v>218</v>
      </c>
      <c r="E111" s="15" t="s">
        <v>219</v>
      </c>
      <c r="F111" s="15">
        <v>276.41370000000001</v>
      </c>
      <c r="G111" s="22">
        <v>19.615000000000002</v>
      </c>
      <c r="H111" s="22">
        <f t="shared" si="38"/>
        <v>3.1873977905822566E-4</v>
      </c>
      <c r="I111" s="22">
        <f t="shared" si="39"/>
        <v>0.17866416612077013</v>
      </c>
      <c r="J111" s="27"/>
      <c r="K111" s="27"/>
      <c r="L111" s="22">
        <v>0</v>
      </c>
      <c r="M111" s="22">
        <f t="shared" si="40"/>
        <v>0</v>
      </c>
      <c r="N111" s="22">
        <f t="shared" si="41"/>
        <v>0</v>
      </c>
      <c r="O111" s="27"/>
      <c r="P111" s="27"/>
      <c r="Q111" s="27"/>
      <c r="R111" s="27"/>
      <c r="S111" s="15">
        <f t="shared" si="42"/>
        <v>8.9332083060385065E-2</v>
      </c>
      <c r="T111" s="22">
        <f t="shared" si="43"/>
        <v>8.9332083060385065E-2</v>
      </c>
      <c r="U111" s="15">
        <f t="shared" si="44"/>
        <v>24.692611607428361</v>
      </c>
      <c r="AM111" s="29"/>
    </row>
    <row r="112" spans="3:39">
      <c r="C112" s="15" t="s">
        <v>44</v>
      </c>
      <c r="D112" s="15" t="s">
        <v>65</v>
      </c>
      <c r="E112" s="15" t="s">
        <v>66</v>
      </c>
      <c r="F112" s="15">
        <v>302.45100000000002</v>
      </c>
      <c r="G112" s="22">
        <v>11.049999999999999</v>
      </c>
      <c r="H112" s="22">
        <f t="shared" si="38"/>
        <v>1.6410233944231181E-4</v>
      </c>
      <c r="I112" s="22">
        <f t="shared" si="39"/>
        <v>9.1984777430533168E-2</v>
      </c>
      <c r="J112" s="27"/>
      <c r="K112" s="27"/>
      <c r="L112" s="22">
        <v>0</v>
      </c>
      <c r="M112" s="22">
        <f t="shared" si="40"/>
        <v>0</v>
      </c>
      <c r="N112" s="22">
        <f t="shared" si="41"/>
        <v>0</v>
      </c>
      <c r="O112" s="27"/>
      <c r="P112" s="27"/>
      <c r="Q112" s="27"/>
      <c r="R112" s="27"/>
      <c r="S112" s="15">
        <f t="shared" si="42"/>
        <v>4.5992388715266584E-2</v>
      </c>
      <c r="T112" s="22">
        <f t="shared" si="43"/>
        <v>4.5992388715266584E-2</v>
      </c>
      <c r="U112" s="15">
        <f t="shared" si="44"/>
        <v>13.910443959321094</v>
      </c>
      <c r="AM112" s="29"/>
    </row>
    <row r="113" spans="3:39">
      <c r="C113" s="15" t="s">
        <v>159</v>
      </c>
      <c r="D113" s="15" t="s">
        <v>223</v>
      </c>
      <c r="E113" s="15" t="s">
        <v>224</v>
      </c>
      <c r="F113" s="15">
        <v>328.48829999999998</v>
      </c>
      <c r="G113" s="22">
        <v>11.936666666666667</v>
      </c>
      <c r="H113" s="22">
        <f t="shared" si="38"/>
        <v>1.6321898764058804E-4</v>
      </c>
      <c r="I113" s="22">
        <f t="shared" si="39"/>
        <v>9.1489629590773183E-2</v>
      </c>
      <c r="J113" s="27"/>
      <c r="K113" s="27"/>
      <c r="L113" s="22">
        <v>0</v>
      </c>
      <c r="M113" s="22">
        <f t="shared" si="40"/>
        <v>0</v>
      </c>
      <c r="N113" s="22">
        <f t="shared" si="41"/>
        <v>0</v>
      </c>
      <c r="O113" s="27"/>
      <c r="P113" s="27"/>
      <c r="Q113" s="27"/>
      <c r="R113" s="27"/>
      <c r="S113" s="15">
        <f t="shared" si="42"/>
        <v>4.5744814795386592E-2</v>
      </c>
      <c r="T113" s="22">
        <f t="shared" si="43"/>
        <v>4.5744814795386592E-2</v>
      </c>
      <c r="U113" s="15">
        <f t="shared" si="44"/>
        <v>15.026636445951388</v>
      </c>
      <c r="AM113" s="29"/>
    </row>
    <row r="114" spans="3:39">
      <c r="C114" s="15" t="s">
        <v>17</v>
      </c>
      <c r="D114" s="15" t="s">
        <v>18</v>
      </c>
      <c r="E114" s="15" t="s">
        <v>18</v>
      </c>
      <c r="F114" s="15">
        <f t="shared" ref="F114:U114" si="45">SUM(F103:F113)</f>
        <v>3104.8900000000003</v>
      </c>
      <c r="G114" s="15">
        <f t="shared" si="45"/>
        <v>110.29</v>
      </c>
      <c r="H114" s="15">
        <f t="shared" si="45"/>
        <v>1.7840162690641041E-3</v>
      </c>
      <c r="I114" s="15">
        <f t="shared" si="45"/>
        <v>1</v>
      </c>
      <c r="J114" s="15">
        <f t="shared" si="45"/>
        <v>0</v>
      </c>
      <c r="K114" s="15">
        <f t="shared" si="45"/>
        <v>0</v>
      </c>
      <c r="L114" s="15">
        <f t="shared" si="45"/>
        <v>100</v>
      </c>
      <c r="M114" s="15">
        <f t="shared" si="45"/>
        <v>2.198596025701125E-4</v>
      </c>
      <c r="N114" s="15">
        <f t="shared" si="45"/>
        <v>1</v>
      </c>
      <c r="O114" s="15">
        <f t="shared" si="45"/>
        <v>0</v>
      </c>
      <c r="P114" s="15">
        <f t="shared" si="45"/>
        <v>0</v>
      </c>
      <c r="Q114" s="15">
        <f t="shared" si="45"/>
        <v>0</v>
      </c>
      <c r="R114" s="15">
        <f t="shared" si="45"/>
        <v>0</v>
      </c>
      <c r="S114" s="15">
        <f t="shared" si="45"/>
        <v>1</v>
      </c>
      <c r="T114" s="15">
        <f t="shared" si="45"/>
        <v>1</v>
      </c>
      <c r="U114" s="15">
        <f t="shared" si="45"/>
        <v>275.29079334984976</v>
      </c>
      <c r="AM114" s="29"/>
    </row>
    <row r="115" spans="3:39">
      <c r="AM115" s="29"/>
    </row>
    <row r="116" spans="3:39">
      <c r="C116" s="28"/>
      <c r="AM116" s="29"/>
    </row>
    <row r="118" spans="3:39">
      <c r="C118" s="15" t="s">
        <v>24</v>
      </c>
      <c r="G118" s="15" t="s">
        <v>189</v>
      </c>
      <c r="J118" s="15" t="s">
        <v>191</v>
      </c>
      <c r="L118" s="15" t="s">
        <v>195</v>
      </c>
      <c r="O118" s="15" t="s">
        <v>196</v>
      </c>
      <c r="Q118" s="15" t="s">
        <v>204</v>
      </c>
    </row>
    <row r="119" spans="3:39">
      <c r="C119" s="15" t="s">
        <v>13</v>
      </c>
      <c r="D119" s="15" t="s">
        <v>14</v>
      </c>
      <c r="E119" s="15" t="s">
        <v>15</v>
      </c>
      <c r="F119" s="15" t="s">
        <v>16</v>
      </c>
      <c r="G119" s="15" t="s">
        <v>212</v>
      </c>
      <c r="H119" s="15" t="s">
        <v>226</v>
      </c>
      <c r="J119" s="15" t="s">
        <v>210</v>
      </c>
      <c r="L119" s="15" t="s">
        <v>212</v>
      </c>
      <c r="O119" s="15" t="s">
        <v>214</v>
      </c>
      <c r="Q119" s="15" t="s">
        <v>217</v>
      </c>
      <c r="T119" s="15" t="s">
        <v>112</v>
      </c>
      <c r="U119" s="15" t="s">
        <v>271</v>
      </c>
    </row>
    <row r="120" spans="3:39">
      <c r="C120" s="15" t="s">
        <v>35</v>
      </c>
      <c r="D120" s="15" t="s">
        <v>46</v>
      </c>
      <c r="E120" s="15" t="s">
        <v>47</v>
      </c>
      <c r="F120" s="15">
        <v>228.37090000000001</v>
      </c>
      <c r="G120" s="22">
        <v>30.193333333333339</v>
      </c>
      <c r="H120" s="22">
        <f t="shared" ref="H120:H129" si="46">G120/F120*$G$18</f>
        <v>5.9385144468445371E-4</v>
      </c>
      <c r="I120" s="22">
        <f>H120/$H$57</f>
        <v>0.35436972737555206</v>
      </c>
      <c r="J120" s="22">
        <f>AVERAGE(42.2,43.5)</f>
        <v>42.85</v>
      </c>
      <c r="K120" s="22">
        <f t="shared" ref="K120:K125" si="47">J120/$J$135</f>
        <v>0.32413010590015134</v>
      </c>
      <c r="L120" s="22">
        <v>10.73</v>
      </c>
      <c r="M120" s="22">
        <f t="shared" ref="M120:M129" si="48">L120/F120*$M$22</f>
        <v>9.6319189528963606E-5</v>
      </c>
      <c r="N120" s="22">
        <f>M120/$M$135</f>
        <v>0.12436582274500796</v>
      </c>
      <c r="O120" s="22">
        <v>34.700000000000003</v>
      </c>
      <c r="P120" s="22">
        <f t="shared" ref="P120:P134" si="49">O120/$O$135</f>
        <v>0.34700000000000003</v>
      </c>
      <c r="Q120" s="22">
        <v>0.36646042975313609</v>
      </c>
      <c r="R120" s="22">
        <f>Q120/$Q$135</f>
        <v>0.36646042975313603</v>
      </c>
      <c r="S120" s="15">
        <f>AVERAGE(I120,K120,N120,P120,R120)</f>
        <v>0.30326521715476951</v>
      </c>
      <c r="T120" s="22">
        <f>S120/$S$135</f>
        <v>0.28015969742487051</v>
      </c>
      <c r="U120" s="15">
        <f>T120*F120</f>
        <v>63.980322244645365</v>
      </c>
    </row>
    <row r="121" spans="3:39">
      <c r="C121" s="15" t="s">
        <v>36</v>
      </c>
      <c r="D121" s="15" t="s">
        <v>48</v>
      </c>
      <c r="E121" s="15" t="s">
        <v>49</v>
      </c>
      <c r="F121" s="15">
        <v>256.42410000000001</v>
      </c>
      <c r="G121" s="22">
        <v>28.653333333333336</v>
      </c>
      <c r="H121" s="22">
        <f t="shared" si="46"/>
        <v>5.019076686716351E-4</v>
      </c>
      <c r="I121" s="22">
        <f t="shared" ref="I121:I134" si="50">H121/$H$57</f>
        <v>0.29950400105429331</v>
      </c>
      <c r="J121" s="22">
        <f>AVERAGE(25.4,34.3)</f>
        <v>29.849999999999998</v>
      </c>
      <c r="K121" s="22">
        <f t="shared" si="47"/>
        <v>0.22579425113464449</v>
      </c>
      <c r="L121" s="22">
        <v>31.66</v>
      </c>
      <c r="M121" s="22">
        <f t="shared" si="48"/>
        <v>2.5310803469720663E-4</v>
      </c>
      <c r="N121" s="22">
        <f t="shared" ref="N121:N134" si="51">M121/$M$135</f>
        <v>0.32680911386847328</v>
      </c>
      <c r="O121" s="22">
        <v>44.8</v>
      </c>
      <c r="P121" s="22">
        <f t="shared" si="49"/>
        <v>0.44799999999999995</v>
      </c>
      <c r="Q121" s="22">
        <v>0.37287476636522277</v>
      </c>
      <c r="R121" s="22">
        <f>Q121/$Q$135</f>
        <v>0.37287476636522271</v>
      </c>
      <c r="S121" s="15">
        <f t="shared" ref="S121:S134" si="52">AVERAGE(I121,K121,N121,P121,R121)</f>
        <v>0.33459642648452675</v>
      </c>
      <c r="T121" s="22">
        <f t="shared" ref="T121:T134" si="53">S121/$S$135</f>
        <v>0.30910380848426844</v>
      </c>
      <c r="U121" s="15">
        <f t="shared" ref="U121:U134" si="54">T121*F121</f>
        <v>79.261665897150905</v>
      </c>
    </row>
    <row r="122" spans="3:39">
      <c r="C122" s="15" t="s">
        <v>213</v>
      </c>
      <c r="D122" s="15" t="s">
        <v>50</v>
      </c>
      <c r="E122" s="15" t="s">
        <v>51</v>
      </c>
      <c r="F122" s="15">
        <v>254.40819999999999</v>
      </c>
      <c r="G122" s="22">
        <v>6.086666666666666</v>
      </c>
      <c r="H122" s="22">
        <f t="shared" si="46"/>
        <v>1.0746225073632757E-4</v>
      </c>
      <c r="I122" s="22">
        <f t="shared" si="50"/>
        <v>6.412608546709922E-2</v>
      </c>
      <c r="J122" s="22">
        <f>AVERAGE(13.7,3.2)</f>
        <v>8.4499999999999993</v>
      </c>
      <c r="K122" s="22">
        <f t="shared" si="47"/>
        <v>6.3918305597579425E-2</v>
      </c>
      <c r="L122" s="22">
        <v>5.72</v>
      </c>
      <c r="M122" s="22">
        <f t="shared" si="48"/>
        <v>4.6091281648940555E-5</v>
      </c>
      <c r="N122" s="22">
        <f t="shared" si="51"/>
        <v>5.9512338005280739E-2</v>
      </c>
      <c r="O122" s="22">
        <v>9.6999999999999993</v>
      </c>
      <c r="P122" s="22">
        <f t="shared" si="49"/>
        <v>9.6999999999999989E-2</v>
      </c>
      <c r="Q122" s="22">
        <v>0.15458193871688997</v>
      </c>
      <c r="R122" s="22">
        <f>Q122/$Q$135</f>
        <v>0.15458193871688994</v>
      </c>
      <c r="S122" s="15">
        <f t="shared" si="52"/>
        <v>8.7827733557369864E-2</v>
      </c>
      <c r="T122" s="22">
        <f t="shared" si="53"/>
        <v>8.1136213014456837E-2</v>
      </c>
      <c r="U122" s="15">
        <f t="shared" si="54"/>
        <v>20.641717907824539</v>
      </c>
    </row>
    <row r="123" spans="3:39">
      <c r="C123" s="15" t="s">
        <v>45</v>
      </c>
      <c r="D123" s="15" t="s">
        <v>53</v>
      </c>
      <c r="E123" s="15" t="s">
        <v>54</v>
      </c>
      <c r="F123" s="15">
        <v>284.47719999999998</v>
      </c>
      <c r="G123" s="22">
        <v>3.563333333333333</v>
      </c>
      <c r="H123" s="22">
        <f t="shared" si="46"/>
        <v>5.6262173402844076E-5</v>
      </c>
      <c r="I123" s="22">
        <f t="shared" si="50"/>
        <v>3.3573398244262677E-2</v>
      </c>
      <c r="J123" s="22">
        <f>AVERAGE(1.1,1)</f>
        <v>1.05</v>
      </c>
      <c r="K123" s="22">
        <f t="shared" si="47"/>
        <v>7.9425113464447819E-3</v>
      </c>
      <c r="L123" s="22">
        <v>6.45</v>
      </c>
      <c r="M123" s="22">
        <f t="shared" si="48"/>
        <v>4.6479999100103627E-5</v>
      </c>
      <c r="N123" s="22">
        <f t="shared" si="51"/>
        <v>6.0014243865012883E-2</v>
      </c>
      <c r="O123" s="22">
        <v>0</v>
      </c>
      <c r="P123" s="22">
        <f t="shared" si="49"/>
        <v>0</v>
      </c>
      <c r="Q123" s="27"/>
      <c r="R123" s="27"/>
      <c r="S123" s="15">
        <f t="shared" si="52"/>
        <v>2.5382538363930084E-2</v>
      </c>
      <c r="T123" s="22">
        <f t="shared" si="53"/>
        <v>2.3448664290058305E-2</v>
      </c>
      <c r="U123" s="15">
        <f t="shared" si="54"/>
        <v>6.6706103609757736</v>
      </c>
    </row>
    <row r="124" spans="3:39">
      <c r="C124" s="15" t="s">
        <v>39</v>
      </c>
      <c r="D124" s="15" t="s">
        <v>55</v>
      </c>
      <c r="E124" s="15" t="s">
        <v>56</v>
      </c>
      <c r="F124" s="15">
        <v>282.46140000000003</v>
      </c>
      <c r="G124" s="22">
        <v>2.8333333333333335</v>
      </c>
      <c r="H124" s="22">
        <f t="shared" si="46"/>
        <v>4.505532043985085E-5</v>
      </c>
      <c r="I124" s="22">
        <f t="shared" si="50"/>
        <v>2.6885918631673677E-2</v>
      </c>
      <c r="J124" s="22">
        <f>AVERAGE(3.6,5.7)/2</f>
        <v>2.3250000000000002</v>
      </c>
      <c r="K124" s="22">
        <f t="shared" si="47"/>
        <v>1.7586989409984873E-2</v>
      </c>
      <c r="L124" s="22">
        <v>8.4700000000000006</v>
      </c>
      <c r="M124" s="22">
        <f t="shared" si="48"/>
        <v>6.147211619003517E-5</v>
      </c>
      <c r="N124" s="22">
        <f t="shared" si="51"/>
        <v>7.9371829676282243E-2</v>
      </c>
      <c r="O124" s="22">
        <f>5.8/2</f>
        <v>2.9</v>
      </c>
      <c r="P124" s="22">
        <f t="shared" si="49"/>
        <v>2.8999999999999998E-2</v>
      </c>
      <c r="Q124" s="22">
        <f>0.0804209336760426/2</f>
        <v>4.0210466838021298E-2</v>
      </c>
      <c r="R124" s="22">
        <f>Q124/$Q$135</f>
        <v>4.0210466838021292E-2</v>
      </c>
      <c r="S124" s="15">
        <f t="shared" si="52"/>
        <v>3.8611040911192419E-2</v>
      </c>
      <c r="T124" s="22">
        <f t="shared" si="53"/>
        <v>3.5669298445849942E-2</v>
      </c>
      <c r="U124" s="15">
        <f t="shared" si="54"/>
        <v>10.0751999760326</v>
      </c>
    </row>
    <row r="125" spans="3:39">
      <c r="C125" s="15" t="s">
        <v>156</v>
      </c>
      <c r="D125" s="15" t="s">
        <v>274</v>
      </c>
      <c r="E125" s="15" t="s">
        <v>56</v>
      </c>
      <c r="F125" s="15">
        <v>282.46140000000003</v>
      </c>
      <c r="G125" s="22">
        <v>1.76</v>
      </c>
      <c r="H125" s="22">
        <f t="shared" si="46"/>
        <v>2.7987304932048529E-5</v>
      </c>
      <c r="I125" s="22">
        <f t="shared" si="50"/>
        <v>1.6700900044145532E-2</v>
      </c>
      <c r="J125" s="22">
        <f>AVERAGE(3.6,5.7)/2</f>
        <v>2.3250000000000002</v>
      </c>
      <c r="K125" s="22">
        <f t="shared" si="47"/>
        <v>1.7586989409984873E-2</v>
      </c>
      <c r="L125" s="22">
        <v>6.92</v>
      </c>
      <c r="M125" s="22">
        <f t="shared" si="48"/>
        <v>5.0222791503547025E-5</v>
      </c>
      <c r="N125" s="22">
        <f t="shared" si="51"/>
        <v>6.4846878554884663E-2</v>
      </c>
      <c r="O125" s="22">
        <f>5.8/2</f>
        <v>2.9</v>
      </c>
      <c r="P125" s="22">
        <f t="shared" si="49"/>
        <v>2.8999999999999998E-2</v>
      </c>
      <c r="Q125" s="22">
        <f>0.0804209336760426/2</f>
        <v>4.0210466838021298E-2</v>
      </c>
      <c r="R125" s="22">
        <f>Q125/$Q$135</f>
        <v>4.0210466838021292E-2</v>
      </c>
      <c r="S125" s="15">
        <f t="shared" si="52"/>
        <v>3.3669046969407271E-2</v>
      </c>
      <c r="T125" s="22">
        <f t="shared" si="53"/>
        <v>3.1103830831740162E-2</v>
      </c>
      <c r="U125" s="15">
        <f t="shared" si="54"/>
        <v>8.7856316020964922</v>
      </c>
    </row>
    <row r="126" spans="3:39">
      <c r="C126" s="15" t="s">
        <v>40</v>
      </c>
      <c r="D126" s="15" t="s">
        <v>57</v>
      </c>
      <c r="E126" s="15" t="s">
        <v>58</v>
      </c>
      <c r="F126" s="15">
        <v>280.44549999999998</v>
      </c>
      <c r="G126" s="22">
        <v>2.1</v>
      </c>
      <c r="H126" s="22">
        <f t="shared" si="46"/>
        <v>3.3633985925964223E-5</v>
      </c>
      <c r="I126" s="22">
        <f t="shared" si="50"/>
        <v>2.0070451170612631E-2</v>
      </c>
      <c r="J126" s="27"/>
      <c r="K126" s="27"/>
      <c r="L126" s="22">
        <v>8.6999999999999993</v>
      </c>
      <c r="M126" s="22">
        <f t="shared" si="48"/>
        <v>6.359524399571395E-5</v>
      </c>
      <c r="N126" s="22">
        <f t="shared" si="51"/>
        <v>8.2113178909361553E-2</v>
      </c>
      <c r="O126" s="22">
        <v>0</v>
      </c>
      <c r="P126" s="22">
        <f t="shared" si="49"/>
        <v>0</v>
      </c>
      <c r="Q126" s="22">
        <v>7.0550285755897847E-3</v>
      </c>
      <c r="R126" s="27"/>
      <c r="S126" s="15">
        <f t="shared" si="52"/>
        <v>3.4061210026658066E-2</v>
      </c>
      <c r="T126" s="22">
        <f t="shared" si="53"/>
        <v>3.14661153182084E-2</v>
      </c>
      <c r="U126" s="15">
        <f t="shared" si="54"/>
        <v>8.8245304434726126</v>
      </c>
    </row>
    <row r="127" spans="3:39">
      <c r="C127" s="15" t="s">
        <v>209</v>
      </c>
      <c r="D127" s="15" t="s">
        <v>225</v>
      </c>
      <c r="E127" s="15" t="s">
        <v>60</v>
      </c>
      <c r="F127" s="15">
        <v>278.42959999999999</v>
      </c>
      <c r="G127" s="22">
        <v>0.98999999999999988</v>
      </c>
      <c r="H127" s="22">
        <f t="shared" si="46"/>
        <v>1.5970823504397518E-5</v>
      </c>
      <c r="I127" s="22">
        <f t="shared" si="50"/>
        <v>9.5302898087983173E-3</v>
      </c>
      <c r="J127" s="27"/>
      <c r="K127" s="27"/>
      <c r="L127" s="22">
        <v>21.35</v>
      </c>
      <c r="M127" s="22">
        <f t="shared" si="48"/>
        <v>1.5719413453167333E-4</v>
      </c>
      <c r="N127" s="22">
        <f t="shared" si="51"/>
        <v>0.20296659437569681</v>
      </c>
      <c r="O127" s="22">
        <v>0</v>
      </c>
      <c r="P127" s="22">
        <f t="shared" si="49"/>
        <v>0</v>
      </c>
      <c r="Q127" s="27"/>
      <c r="R127" s="27"/>
      <c r="S127" s="15">
        <f t="shared" si="52"/>
        <v>7.0832294728165046E-2</v>
      </c>
      <c r="T127" s="22">
        <f t="shared" si="53"/>
        <v>6.543564225772891E-2</v>
      </c>
      <c r="U127" s="15">
        <f t="shared" si="54"/>
        <v>18.219219699562558</v>
      </c>
    </row>
    <row r="128" spans="3:39">
      <c r="C128" s="15" t="s">
        <v>157</v>
      </c>
      <c r="D128" s="15" t="s">
        <v>59</v>
      </c>
      <c r="E128" s="15" t="s">
        <v>60</v>
      </c>
      <c r="F128" s="15">
        <v>278.42959999999999</v>
      </c>
      <c r="G128" s="22">
        <v>0.02</v>
      </c>
      <c r="H128" s="22">
        <f t="shared" si="46"/>
        <v>3.2264289907873782E-7</v>
      </c>
      <c r="I128" s="22">
        <f t="shared" si="50"/>
        <v>1.9253110724845091E-4</v>
      </c>
      <c r="J128" s="27"/>
      <c r="K128" s="27"/>
      <c r="L128" s="22">
        <v>0</v>
      </c>
      <c r="M128" s="22">
        <f t="shared" si="48"/>
        <v>0</v>
      </c>
      <c r="N128" s="22">
        <f t="shared" si="51"/>
        <v>0</v>
      </c>
      <c r="O128" s="22">
        <v>0</v>
      </c>
      <c r="P128" s="22">
        <f t="shared" si="49"/>
        <v>0</v>
      </c>
      <c r="Q128" s="27"/>
      <c r="R128" s="27"/>
      <c r="S128" s="15">
        <f t="shared" si="52"/>
        <v>6.4177035749483634E-5</v>
      </c>
      <c r="T128" s="22">
        <f t="shared" si="53"/>
        <v>5.928744181705661E-5</v>
      </c>
      <c r="U128" s="15">
        <f t="shared" si="54"/>
        <v>1.6507378710146344E-2</v>
      </c>
    </row>
    <row r="129" spans="3:21">
      <c r="C129" s="28" t="s">
        <v>158</v>
      </c>
      <c r="D129" s="15" t="s">
        <v>218</v>
      </c>
      <c r="E129" s="15" t="s">
        <v>219</v>
      </c>
      <c r="F129" s="15">
        <v>276.41370000000001</v>
      </c>
      <c r="G129" s="22">
        <v>2.4250000000000003</v>
      </c>
      <c r="H129" s="22">
        <f t="shared" si="46"/>
        <v>3.940575907296443E-5</v>
      </c>
      <c r="I129" s="22">
        <f t="shared" si="50"/>
        <v>2.3514648696582784E-2</v>
      </c>
      <c r="J129" s="22">
        <f>AVERAGE(1.7,5)</f>
        <v>3.35</v>
      </c>
      <c r="K129" s="22">
        <f>J129/$J$135</f>
        <v>2.5340393343419063E-2</v>
      </c>
      <c r="L129" s="22">
        <v>0</v>
      </c>
      <c r="M129" s="22">
        <f t="shared" si="48"/>
        <v>0</v>
      </c>
      <c r="N129" s="22">
        <f t="shared" si="51"/>
        <v>0</v>
      </c>
      <c r="O129" s="22">
        <v>0.6</v>
      </c>
      <c r="P129" s="22">
        <f t="shared" si="49"/>
        <v>6.0000000000000001E-3</v>
      </c>
      <c r="Q129" s="22">
        <v>7.4777962677771469E-3</v>
      </c>
      <c r="R129" s="22">
        <f>Q129/$Q$135</f>
        <v>7.4777962677771452E-3</v>
      </c>
      <c r="S129" s="15">
        <f t="shared" si="52"/>
        <v>1.2466567661555798E-2</v>
      </c>
      <c r="T129" s="22">
        <f t="shared" si="53"/>
        <v>1.15167504429158E-2</v>
      </c>
      <c r="U129" s="15">
        <f t="shared" si="54"/>
        <v>3.1833876019029952</v>
      </c>
    </row>
    <row r="130" spans="3:21">
      <c r="C130" s="15" t="s">
        <v>42</v>
      </c>
      <c r="D130" s="15" t="s">
        <v>61</v>
      </c>
      <c r="E130" s="15" t="s">
        <v>62</v>
      </c>
      <c r="F130" s="15">
        <v>308.49860000000001</v>
      </c>
      <c r="G130" s="27"/>
      <c r="H130" s="27"/>
      <c r="I130" s="27"/>
      <c r="J130" s="27"/>
      <c r="K130" s="27"/>
      <c r="L130" s="27"/>
      <c r="M130" s="27"/>
      <c r="N130" s="27"/>
      <c r="O130" s="22">
        <v>1.3</v>
      </c>
      <c r="P130" s="22">
        <f t="shared" si="49"/>
        <v>1.3000000000000001E-2</v>
      </c>
      <c r="Q130" s="27"/>
      <c r="R130" s="27"/>
      <c r="S130" s="15">
        <f t="shared" si="52"/>
        <v>1.3000000000000001E-2</v>
      </c>
      <c r="T130" s="22">
        <f t="shared" si="53"/>
        <v>1.2009541023837913E-2</v>
      </c>
      <c r="U130" s="15">
        <f t="shared" si="54"/>
        <v>3.7049265924965629</v>
      </c>
    </row>
    <row r="131" spans="3:21">
      <c r="C131" s="15" t="s">
        <v>43</v>
      </c>
      <c r="D131" s="15" t="s">
        <v>63</v>
      </c>
      <c r="E131" s="15" t="s">
        <v>64</v>
      </c>
      <c r="F131" s="15">
        <v>304.46690000000001</v>
      </c>
      <c r="G131" s="27"/>
      <c r="H131" s="27"/>
      <c r="I131" s="27"/>
      <c r="J131" s="22">
        <f>AVERAGE(1.3,0)</f>
        <v>0.65</v>
      </c>
      <c r="K131" s="22">
        <f>J131/$J$135</f>
        <v>4.9167927382753407E-3</v>
      </c>
      <c r="L131" s="27"/>
      <c r="M131" s="27"/>
      <c r="N131" s="27"/>
      <c r="O131" s="22">
        <v>0</v>
      </c>
      <c r="P131" s="22">
        <f t="shared" si="49"/>
        <v>0</v>
      </c>
      <c r="Q131" s="27"/>
      <c r="R131" s="27"/>
      <c r="S131" s="15">
        <f t="shared" si="52"/>
        <v>2.4583963691376704E-3</v>
      </c>
      <c r="T131" s="22">
        <f t="shared" si="53"/>
        <v>2.2710932344625402E-3</v>
      </c>
      <c r="U131" s="15">
        <f t="shared" si="54"/>
        <v>0.69147271670778276</v>
      </c>
    </row>
    <row r="132" spans="3:21">
      <c r="C132" s="15" t="s">
        <v>44</v>
      </c>
      <c r="D132" s="15" t="s">
        <v>65</v>
      </c>
      <c r="E132" s="15" t="s">
        <v>66</v>
      </c>
      <c r="F132" s="15">
        <v>302.45100000000002</v>
      </c>
      <c r="G132" s="22">
        <v>21.093333333333334</v>
      </c>
      <c r="H132" s="22">
        <f>G132/F132*$G$18</f>
        <v>3.1325478250104053E-4</v>
      </c>
      <c r="I132" s="22">
        <f t="shared" si="50"/>
        <v>0.18692892451068518</v>
      </c>
      <c r="J132" s="22">
        <f>AVERAGE(13.3,24.8)</f>
        <v>19.05</v>
      </c>
      <c r="K132" s="22">
        <f>J132/$J$135</f>
        <v>0.14409984871406961</v>
      </c>
      <c r="L132" s="22">
        <v>0</v>
      </c>
      <c r="M132" s="22">
        <f>L132/F132*$M$22</f>
        <v>0</v>
      </c>
      <c r="N132" s="22">
        <f t="shared" si="51"/>
        <v>0</v>
      </c>
      <c r="O132" s="22">
        <v>2.6</v>
      </c>
      <c r="P132" s="22">
        <f t="shared" si="49"/>
        <v>2.6000000000000002E-2</v>
      </c>
      <c r="Q132" s="22">
        <v>1.1129106645341735E-2</v>
      </c>
      <c r="R132" s="22">
        <f>Q132/$Q$135</f>
        <v>1.1129106645341733E-2</v>
      </c>
      <c r="S132" s="15">
        <f t="shared" si="52"/>
        <v>7.36315759740193E-2</v>
      </c>
      <c r="T132" s="22">
        <f t="shared" si="53"/>
        <v>6.8021648639217128E-2</v>
      </c>
      <c r="U132" s="15">
        <f t="shared" si="54"/>
        <v>20.573215652579862</v>
      </c>
    </row>
    <row r="133" spans="3:21">
      <c r="C133" s="15" t="s">
        <v>211</v>
      </c>
      <c r="D133" s="15" t="s">
        <v>221</v>
      </c>
      <c r="E133" s="15" t="s">
        <v>222</v>
      </c>
      <c r="F133" s="15">
        <v>330.50420000000003</v>
      </c>
      <c r="G133" s="27"/>
      <c r="H133" s="27"/>
      <c r="I133" s="27"/>
      <c r="J133" s="22">
        <f>AVERAGE(2.6,0)</f>
        <v>1.3</v>
      </c>
      <c r="K133" s="22">
        <f>J133/$J$135</f>
        <v>9.8335854765506815E-3</v>
      </c>
      <c r="L133" s="27"/>
      <c r="M133" s="27"/>
      <c r="N133" s="27"/>
      <c r="O133" s="22">
        <v>0.5</v>
      </c>
      <c r="P133" s="22">
        <f t="shared" si="49"/>
        <v>5.0000000000000001E-3</v>
      </c>
      <c r="Q133" s="27"/>
      <c r="R133" s="27"/>
      <c r="S133" s="15">
        <f t="shared" si="52"/>
        <v>7.4167927382753403E-3</v>
      </c>
      <c r="T133" s="22">
        <f t="shared" si="53"/>
        <v>6.8517135888939091E-3</v>
      </c>
      <c r="U133" s="15">
        <f t="shared" si="54"/>
        <v>2.2645201183265105</v>
      </c>
    </row>
    <row r="134" spans="3:21">
      <c r="C134" s="15" t="s">
        <v>159</v>
      </c>
      <c r="D134" s="15" t="s">
        <v>223</v>
      </c>
      <c r="E134" s="15" t="s">
        <v>224</v>
      </c>
      <c r="F134" s="15">
        <v>328.48829999999998</v>
      </c>
      <c r="G134" s="22">
        <v>2.6850000000000001</v>
      </c>
      <c r="H134" s="22">
        <f>G134/F134*$G$18</f>
        <v>3.6714016907147077E-5</v>
      </c>
      <c r="I134" s="22">
        <f t="shared" si="50"/>
        <v>2.1908401972753025E-2</v>
      </c>
      <c r="J134" s="22">
        <f>AVERAGE(9.5,32.5)</f>
        <v>21</v>
      </c>
      <c r="K134" s="22">
        <f>J134/$J$135</f>
        <v>0.15885022692889564</v>
      </c>
      <c r="L134" s="22">
        <v>0</v>
      </c>
      <c r="M134" s="22">
        <f>L134/F134*$M$22</f>
        <v>0</v>
      </c>
      <c r="N134" s="22">
        <f t="shared" si="51"/>
        <v>0</v>
      </c>
      <c r="O134" s="22">
        <v>0</v>
      </c>
      <c r="P134" s="22">
        <f t="shared" si="49"/>
        <v>0</v>
      </c>
      <c r="Q134" s="27"/>
      <c r="R134" s="27"/>
      <c r="S134" s="15">
        <f t="shared" si="52"/>
        <v>4.5189657225412169E-2</v>
      </c>
      <c r="T134" s="22">
        <f t="shared" si="53"/>
        <v>4.1746695561673902E-2</v>
      </c>
      <c r="U134" s="15">
        <f t="shared" si="54"/>
        <v>13.713301055671804</v>
      </c>
    </row>
    <row r="135" spans="3:21">
      <c r="C135" s="15" t="s">
        <v>17</v>
      </c>
      <c r="D135" s="15" t="s">
        <v>18</v>
      </c>
      <c r="E135" s="15" t="s">
        <v>18</v>
      </c>
      <c r="F135" s="15">
        <f t="shared" ref="F135:U135" si="55">SUM(F120:F134)</f>
        <v>4276.7305999999999</v>
      </c>
      <c r="G135" s="15">
        <f t="shared" si="55"/>
        <v>102.40333333333332</v>
      </c>
      <c r="H135" s="15">
        <f t="shared" si="55"/>
        <v>1.7718281736777523E-3</v>
      </c>
      <c r="I135" s="15">
        <f t="shared" si="55"/>
        <v>1.0573052780837069</v>
      </c>
      <c r="J135" s="15">
        <f t="shared" si="55"/>
        <v>132.19999999999999</v>
      </c>
      <c r="K135" s="15">
        <f t="shared" si="55"/>
        <v>0.99999999999999989</v>
      </c>
      <c r="L135" s="15">
        <f t="shared" si="55"/>
        <v>100</v>
      </c>
      <c r="M135" s="15">
        <f t="shared" si="55"/>
        <v>7.7448279119618382E-4</v>
      </c>
      <c r="N135" s="15">
        <f t="shared" si="55"/>
        <v>1</v>
      </c>
      <c r="O135" s="15">
        <f t="shared" si="55"/>
        <v>100</v>
      </c>
      <c r="P135" s="15">
        <f t="shared" si="55"/>
        <v>1</v>
      </c>
      <c r="Q135" s="15">
        <f t="shared" si="55"/>
        <v>1.0000000000000002</v>
      </c>
      <c r="R135" s="15">
        <f t="shared" si="55"/>
        <v>0.99294497142441018</v>
      </c>
      <c r="S135" s="15">
        <f t="shared" si="55"/>
        <v>1.082472675200169</v>
      </c>
      <c r="T135" s="15">
        <f t="shared" si="55"/>
        <v>0.99999999999999967</v>
      </c>
      <c r="U135" s="15">
        <f t="shared" si="55"/>
        <v>260.60622924815652</v>
      </c>
    </row>
    <row r="139" spans="3:21">
      <c r="C139" s="15" t="s">
        <v>29</v>
      </c>
      <c r="G139" s="15" t="s">
        <v>189</v>
      </c>
      <c r="J139" s="15" t="s">
        <v>191</v>
      </c>
      <c r="L139" s="15" t="s">
        <v>195</v>
      </c>
      <c r="O139" s="15" t="s">
        <v>196</v>
      </c>
      <c r="Q139" s="15" t="s">
        <v>204</v>
      </c>
    </row>
    <row r="140" spans="3:21">
      <c r="C140" s="15" t="s">
        <v>13</v>
      </c>
      <c r="D140" s="15" t="s">
        <v>14</v>
      </c>
      <c r="E140" s="15" t="s">
        <v>15</v>
      </c>
      <c r="F140" s="15" t="s">
        <v>16</v>
      </c>
      <c r="G140" s="15" t="s">
        <v>212</v>
      </c>
      <c r="H140" s="15" t="s">
        <v>226</v>
      </c>
      <c r="J140" s="15" t="s">
        <v>210</v>
      </c>
      <c r="L140" s="15" t="s">
        <v>212</v>
      </c>
      <c r="O140" s="15" t="s">
        <v>214</v>
      </c>
      <c r="Q140" s="15" t="s">
        <v>217</v>
      </c>
      <c r="T140" s="15" t="s">
        <v>112</v>
      </c>
      <c r="U140" s="15" t="s">
        <v>271</v>
      </c>
    </row>
    <row r="141" spans="3:21">
      <c r="C141" s="15" t="s">
        <v>35</v>
      </c>
      <c r="D141" s="15" t="s">
        <v>46</v>
      </c>
      <c r="E141" s="15" t="s">
        <v>47</v>
      </c>
      <c r="F141" s="15">
        <v>228.37090000000001</v>
      </c>
      <c r="G141" s="22">
        <v>9.2133333333333329</v>
      </c>
      <c r="H141" s="22">
        <f>G141/F141*$G$18</f>
        <v>1.8121057552526268E-4</v>
      </c>
      <c r="I141" s="22">
        <f>H141/$H$155</f>
        <v>9.7235984595609698E-2</v>
      </c>
      <c r="J141" s="22">
        <f>AVERAGE(14.3,13.7)</f>
        <v>14</v>
      </c>
      <c r="K141" s="22">
        <f>J141/$J$155</f>
        <v>0.14127144298688196</v>
      </c>
      <c r="L141" s="22">
        <v>4.1100000000000003</v>
      </c>
      <c r="M141" s="22">
        <f>L141/F141*$M$26</f>
        <v>2.9695114395047708E-4</v>
      </c>
      <c r="N141" s="22">
        <f>M141/$M$155</f>
        <v>5.0754201442564026E-2</v>
      </c>
      <c r="O141" s="22">
        <v>3.1</v>
      </c>
      <c r="P141" s="22">
        <f>O141/$O$155</f>
        <v>3.1E-2</v>
      </c>
      <c r="Q141" s="22">
        <v>2.4203490151052286E-2</v>
      </c>
      <c r="R141" s="22">
        <f>Q141/$Q$155</f>
        <v>2.4203490151052286E-2</v>
      </c>
      <c r="S141" s="15">
        <f>AVERAGE(I141,K141,N141,P141,R141)</f>
        <v>6.8893023835221598E-2</v>
      </c>
      <c r="T141" s="22">
        <f t="shared" ref="T141:T154" si="56">S141/$S$155</f>
        <v>6.6276344019908631E-2</v>
      </c>
      <c r="U141" s="15">
        <f>T141*F141</f>
        <v>15.135588332536152</v>
      </c>
    </row>
    <row r="142" spans="3:21">
      <c r="C142" s="15" t="s">
        <v>36</v>
      </c>
      <c r="D142" s="15" t="s">
        <v>48</v>
      </c>
      <c r="E142" s="15" t="s">
        <v>49</v>
      </c>
      <c r="F142" s="15">
        <v>256.42410000000001</v>
      </c>
      <c r="G142" s="22">
        <v>18.436666666666667</v>
      </c>
      <c r="H142" s="22">
        <f>G142/F142*$G$18</f>
        <v>3.229468724316907E-4</v>
      </c>
      <c r="I142" s="22">
        <f>H142/$H$155</f>
        <v>0.17329042205150122</v>
      </c>
      <c r="J142" s="22">
        <f>AVERAGE(14.9,6.6)</f>
        <v>10.75</v>
      </c>
      <c r="K142" s="22">
        <f>J142/$J$155</f>
        <v>0.10847628657921293</v>
      </c>
      <c r="L142" s="22">
        <v>8.07</v>
      </c>
      <c r="M142" s="22">
        <f>L142/F142*$M$26</f>
        <v>5.1927646426369438E-4</v>
      </c>
      <c r="N142" s="22">
        <f>M142/$M$155</f>
        <v>8.8753530028553379E-2</v>
      </c>
      <c r="O142" s="22">
        <v>8.3000000000000007</v>
      </c>
      <c r="P142" s="22">
        <f>O142/$O$155</f>
        <v>8.3000000000000004E-2</v>
      </c>
      <c r="Q142" s="22">
        <v>3.6200699919224956E-2</v>
      </c>
      <c r="R142" s="22">
        <f>Q142/$Q$155</f>
        <v>3.6200699919224956E-2</v>
      </c>
      <c r="S142" s="15">
        <f t="shared" ref="S142:S154" si="57">AVERAGE(I142,K142,N142,P142,R142)</f>
        <v>9.7944187715698502E-2</v>
      </c>
      <c r="T142" s="22">
        <f t="shared" si="56"/>
        <v>9.4224092925899713E-2</v>
      </c>
      <c r="U142" s="15">
        <f t="shared" ref="U142:U154" si="58">T142*F142</f>
        <v>24.161328226840201</v>
      </c>
    </row>
    <row r="143" spans="3:21">
      <c r="C143" s="15" t="s">
        <v>213</v>
      </c>
      <c r="D143" s="15" t="s">
        <v>50</v>
      </c>
      <c r="E143" s="15" t="s">
        <v>51</v>
      </c>
      <c r="F143" s="15">
        <v>254.40819999999999</v>
      </c>
      <c r="G143" s="22">
        <v>15.656666666666666</v>
      </c>
      <c r="H143" s="22">
        <f>G143/F143*$G$18</f>
        <v>2.7642398231573421E-4</v>
      </c>
      <c r="I143" s="22">
        <f>H143/$H$155</f>
        <v>0.14832665261615866</v>
      </c>
      <c r="J143" s="22">
        <f>AVERAGE(25.2,38.2)</f>
        <v>31.700000000000003</v>
      </c>
      <c r="K143" s="22">
        <f>J143/$J$155</f>
        <v>0.3198789101917256</v>
      </c>
      <c r="L143" s="22">
        <v>9.48</v>
      </c>
      <c r="M143" s="22">
        <f>L143/F143*$M$26</f>
        <v>6.1483867265284698E-4</v>
      </c>
      <c r="N143" s="22">
        <f>M143/$M$155</f>
        <v>0.10508680125409951</v>
      </c>
      <c r="O143" s="22">
        <v>8.6999999999999993</v>
      </c>
      <c r="P143" s="22">
        <f>O143/$O$155</f>
        <v>8.6999999999999994E-2</v>
      </c>
      <c r="Q143" s="22">
        <v>0.22440852693272251</v>
      </c>
      <c r="R143" s="22">
        <f>Q143/$Q$155</f>
        <v>0.22440852693272251</v>
      </c>
      <c r="S143" s="15">
        <f t="shared" si="57"/>
        <v>0.17694017819894126</v>
      </c>
      <c r="T143" s="22">
        <f t="shared" si="56"/>
        <v>0.17021967491665768</v>
      </c>
      <c r="U143" s="15">
        <f t="shared" si="58"/>
        <v>43.305281100132028</v>
      </c>
    </row>
    <row r="144" spans="3:21">
      <c r="C144" s="15" t="s">
        <v>38</v>
      </c>
      <c r="D144" s="15" t="s">
        <v>111</v>
      </c>
      <c r="E144" s="15" t="s">
        <v>52</v>
      </c>
      <c r="F144" s="15">
        <v>252.39230000000001</v>
      </c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2">
        <v>4.2584486665230223E-2</v>
      </c>
      <c r="R144" s="22">
        <f>Q144/$Q$155</f>
        <v>4.2584486665230223E-2</v>
      </c>
      <c r="S144" s="15">
        <f t="shared" si="57"/>
        <v>4.2584486665230223E-2</v>
      </c>
      <c r="T144" s="22">
        <f t="shared" si="56"/>
        <v>4.0967051974471258E-2</v>
      </c>
      <c r="U144" s="15">
        <f t="shared" si="58"/>
        <v>10.339768472056342</v>
      </c>
    </row>
    <row r="145" spans="3:21">
      <c r="C145" s="15" t="s">
        <v>45</v>
      </c>
      <c r="D145" s="15" t="s">
        <v>53</v>
      </c>
      <c r="E145" s="15" t="s">
        <v>54</v>
      </c>
      <c r="F145" s="15">
        <v>284.47719999999998</v>
      </c>
      <c r="G145" s="22">
        <v>5.7100000000000009</v>
      </c>
      <c r="H145" s="22">
        <f t="shared" ref="H145:H151" si="59">G145/F145*$G$18</f>
        <v>9.0156317155352594E-5</v>
      </c>
      <c r="I145" s="22">
        <f t="shared" ref="I145:I154" si="60">H145/$H$155</f>
        <v>4.8377078659477206E-2</v>
      </c>
      <c r="J145" s="22">
        <f>AVERAGE(1.5,4.1)</f>
        <v>2.8</v>
      </c>
      <c r="K145" s="22">
        <f t="shared" ref="K145:K154" si="61">J145/$J$155</f>
        <v>2.825428859737639E-2</v>
      </c>
      <c r="L145" s="22">
        <v>1.32</v>
      </c>
      <c r="M145" s="22">
        <f t="shared" ref="M145:M151" si="62">L145/F145*$M$26</f>
        <v>7.6561495965230258E-5</v>
      </c>
      <c r="N145" s="22">
        <f t="shared" ref="N145:N151" si="63">M145/$M$155</f>
        <v>1.308571348562103E-2</v>
      </c>
      <c r="O145" s="22">
        <v>0</v>
      </c>
      <c r="P145" s="22">
        <f t="shared" ref="P145:P154" si="64">O145/$O$155</f>
        <v>0</v>
      </c>
      <c r="Q145" s="27"/>
      <c r="R145" s="27"/>
      <c r="S145" s="15">
        <f t="shared" si="57"/>
        <v>2.2429270185618657E-2</v>
      </c>
      <c r="T145" s="22">
        <f t="shared" si="56"/>
        <v>2.1577366534135969E-2</v>
      </c>
      <c r="U145" s="15">
        <f t="shared" si="58"/>
        <v>6.1382688150047047</v>
      </c>
    </row>
    <row r="146" spans="3:21">
      <c r="C146" s="15" t="s">
        <v>39</v>
      </c>
      <c r="D146" s="15" t="s">
        <v>55</v>
      </c>
      <c r="E146" s="15" t="s">
        <v>56</v>
      </c>
      <c r="F146" s="15">
        <v>282.46140000000003</v>
      </c>
      <c r="G146" s="22">
        <v>5.3566666666666665</v>
      </c>
      <c r="H146" s="22">
        <f t="shared" si="59"/>
        <v>8.5181058760988611E-5</v>
      </c>
      <c r="I146" s="22">
        <f t="shared" si="60"/>
        <v>4.5707399215044832E-2</v>
      </c>
      <c r="J146" s="22">
        <f>AVERAGE(4,1.7)/2</f>
        <v>1.425</v>
      </c>
      <c r="K146" s="22">
        <f t="shared" si="61"/>
        <v>1.4379414732593344E-2</v>
      </c>
      <c r="L146" s="22">
        <v>3.16</v>
      </c>
      <c r="M146" s="22">
        <f t="shared" si="62"/>
        <v>1.8459159375404922E-4</v>
      </c>
      <c r="N146" s="22">
        <f t="shared" si="63"/>
        <v>3.1549967477341678E-2</v>
      </c>
      <c r="O146" s="22">
        <v>0</v>
      </c>
      <c r="P146" s="22">
        <f t="shared" si="64"/>
        <v>0</v>
      </c>
      <c r="Q146" s="22">
        <f>0.0155627246279281/2</f>
        <v>7.7813623139640501E-3</v>
      </c>
      <c r="R146" s="22">
        <f>Q146/$Q$155</f>
        <v>7.7813623139640501E-3</v>
      </c>
      <c r="S146" s="15">
        <f t="shared" si="57"/>
        <v>1.9883628747788783E-2</v>
      </c>
      <c r="T146" s="22">
        <f t="shared" si="56"/>
        <v>1.9128413094547048E-2</v>
      </c>
      <c r="U146" s="15">
        <f t="shared" si="58"/>
        <v>5.4030383424640922</v>
      </c>
    </row>
    <row r="147" spans="3:21">
      <c r="C147" s="15" t="s">
        <v>156</v>
      </c>
      <c r="D147" s="15" t="s">
        <v>274</v>
      </c>
      <c r="E147" s="15" t="s">
        <v>56</v>
      </c>
      <c r="F147" s="15">
        <v>282.46140000000003</v>
      </c>
      <c r="G147" s="22">
        <v>1.2366666666666666</v>
      </c>
      <c r="H147" s="22">
        <f t="shared" si="59"/>
        <v>1.9665322215511368E-5</v>
      </c>
      <c r="I147" s="22">
        <f t="shared" si="60"/>
        <v>1.0552237155433497E-2</v>
      </c>
      <c r="J147" s="22">
        <f>AVERAGE(4,1.7)/2</f>
        <v>1.425</v>
      </c>
      <c r="K147" s="22">
        <f t="shared" si="61"/>
        <v>1.4379414732593344E-2</v>
      </c>
      <c r="L147" s="22">
        <v>0.87</v>
      </c>
      <c r="M147" s="22">
        <f t="shared" si="62"/>
        <v>5.0821103343678111E-5</v>
      </c>
      <c r="N147" s="22">
        <f t="shared" si="63"/>
        <v>8.6862252231921702E-3</v>
      </c>
      <c r="O147" s="22">
        <v>0</v>
      </c>
      <c r="P147" s="22">
        <f t="shared" si="64"/>
        <v>0</v>
      </c>
      <c r="Q147" s="22">
        <f>0.0155627246279281/2</f>
        <v>7.7813623139640501E-3</v>
      </c>
      <c r="R147" s="22">
        <f>Q147/$Q$155</f>
        <v>7.7813623139640501E-3</v>
      </c>
      <c r="S147" s="15">
        <f t="shared" si="57"/>
        <v>8.2798478850366116E-3</v>
      </c>
      <c r="T147" s="22">
        <f t="shared" si="56"/>
        <v>7.9653645073515644E-3</v>
      </c>
      <c r="U147" s="15">
        <f t="shared" si="58"/>
        <v>2.2499080102568332</v>
      </c>
    </row>
    <row r="148" spans="3:21">
      <c r="C148" s="15" t="s">
        <v>40</v>
      </c>
      <c r="D148" s="15" t="s">
        <v>57</v>
      </c>
      <c r="E148" s="15" t="s">
        <v>58</v>
      </c>
      <c r="F148" s="15">
        <v>280.44549999999998</v>
      </c>
      <c r="G148" s="22">
        <v>13.335000000000001</v>
      </c>
      <c r="H148" s="22">
        <f t="shared" si="59"/>
        <v>2.1357581062987283E-4</v>
      </c>
      <c r="I148" s="22">
        <f t="shared" si="60"/>
        <v>0.11460288215632311</v>
      </c>
      <c r="J148" s="22">
        <f>AVERAGE(8.5,3)</f>
        <v>5.75</v>
      </c>
      <c r="K148" s="22">
        <f t="shared" si="61"/>
        <v>5.8022199798183662E-2</v>
      </c>
      <c r="L148" s="22">
        <v>3.39</v>
      </c>
      <c r="M148" s="22">
        <f t="shared" si="62"/>
        <v>1.9945051712364794E-4</v>
      </c>
      <c r="N148" s="22">
        <f t="shared" si="63"/>
        <v>3.4089620229263741E-2</v>
      </c>
      <c r="O148" s="22">
        <v>2.5</v>
      </c>
      <c r="P148" s="22">
        <f t="shared" si="64"/>
        <v>2.5000000000000001E-2</v>
      </c>
      <c r="Q148" s="22">
        <v>2.5885401755012531E-2</v>
      </c>
      <c r="R148" s="22">
        <f t="shared" ref="R148:R154" si="65">Q148/$Q$155</f>
        <v>2.5885401755012531E-2</v>
      </c>
      <c r="S148" s="15">
        <f t="shared" si="57"/>
        <v>5.1520020787756603E-2</v>
      </c>
      <c r="T148" s="22">
        <f t="shared" si="56"/>
        <v>4.956319858755432E-2</v>
      </c>
      <c r="U148" s="15">
        <f t="shared" si="58"/>
        <v>13.899776009485965</v>
      </c>
    </row>
    <row r="149" spans="3:21">
      <c r="C149" s="15" t="s">
        <v>209</v>
      </c>
      <c r="D149" s="15" t="s">
        <v>225</v>
      </c>
      <c r="E149" s="15" t="s">
        <v>60</v>
      </c>
      <c r="F149" s="15">
        <v>278.42959999999999</v>
      </c>
      <c r="G149" s="22">
        <v>4.6900000000000004</v>
      </c>
      <c r="H149" s="22">
        <f t="shared" si="59"/>
        <v>7.565975983396402E-5</v>
      </c>
      <c r="I149" s="22">
        <f t="shared" si="60"/>
        <v>4.059835481675423E-2</v>
      </c>
      <c r="J149" s="22">
        <v>0</v>
      </c>
      <c r="K149" s="22">
        <f t="shared" si="61"/>
        <v>0</v>
      </c>
      <c r="L149" s="22">
        <v>1.85</v>
      </c>
      <c r="M149" s="22">
        <f t="shared" si="62"/>
        <v>1.0963274019716296E-4</v>
      </c>
      <c r="N149" s="22">
        <f t="shared" si="63"/>
        <v>1.8738173918585965E-2</v>
      </c>
      <c r="O149" s="22">
        <v>4</v>
      </c>
      <c r="P149" s="22">
        <f t="shared" si="64"/>
        <v>0.04</v>
      </c>
      <c r="Q149" s="22">
        <f>0.0606865583828462/2</f>
        <v>3.03432791914231E-2</v>
      </c>
      <c r="R149" s="22">
        <f t="shared" si="65"/>
        <v>3.03432791914231E-2</v>
      </c>
      <c r="S149" s="15">
        <f t="shared" si="57"/>
        <v>2.5935961585352656E-2</v>
      </c>
      <c r="T149" s="22">
        <f t="shared" si="56"/>
        <v>2.4950867545447442E-2</v>
      </c>
      <c r="U149" s="15">
        <f t="shared" si="58"/>
        <v>6.9470600703319132</v>
      </c>
    </row>
    <row r="150" spans="3:21">
      <c r="C150" s="15" t="s">
        <v>157</v>
      </c>
      <c r="D150" s="15" t="s">
        <v>59</v>
      </c>
      <c r="E150" s="15" t="s">
        <v>60</v>
      </c>
      <c r="F150" s="15">
        <v>278.42959999999999</v>
      </c>
      <c r="G150" s="22">
        <v>6.2</v>
      </c>
      <c r="H150" s="22">
        <f t="shared" si="59"/>
        <v>1.0001929871440871E-4</v>
      </c>
      <c r="I150" s="22">
        <f t="shared" si="60"/>
        <v>5.3669466921935222E-2</v>
      </c>
      <c r="J150" s="22">
        <v>0</v>
      </c>
      <c r="K150" s="22">
        <f t="shared" si="61"/>
        <v>0</v>
      </c>
      <c r="L150" s="22">
        <v>3.34</v>
      </c>
      <c r="M150" s="22">
        <f t="shared" si="62"/>
        <v>1.9793154176136446E-4</v>
      </c>
      <c r="N150" s="22">
        <f t="shared" si="63"/>
        <v>3.3830000480041679E-2</v>
      </c>
      <c r="O150" s="22">
        <v>3.5</v>
      </c>
      <c r="P150" s="22">
        <f t="shared" si="64"/>
        <v>3.5000000000000003E-2</v>
      </c>
      <c r="Q150" s="22">
        <f>0.0606865583828462/2</f>
        <v>3.03432791914231E-2</v>
      </c>
      <c r="R150" s="22">
        <f t="shared" si="65"/>
        <v>3.03432791914231E-2</v>
      </c>
      <c r="S150" s="15">
        <f t="shared" si="57"/>
        <v>3.0568549318679999E-2</v>
      </c>
      <c r="T150" s="22">
        <f t="shared" si="56"/>
        <v>2.9407501341211274E-2</v>
      </c>
      <c r="U150" s="15">
        <f t="shared" si="58"/>
        <v>8.1879188354329191</v>
      </c>
    </row>
    <row r="151" spans="3:21">
      <c r="C151" s="28" t="s">
        <v>158</v>
      </c>
      <c r="D151" s="15" t="s">
        <v>218</v>
      </c>
      <c r="E151" s="15" t="s">
        <v>219</v>
      </c>
      <c r="F151" s="15">
        <v>276.41370000000001</v>
      </c>
      <c r="G151" s="22">
        <v>16.375</v>
      </c>
      <c r="H151" s="22">
        <f t="shared" si="59"/>
        <v>2.66090434977234E-4</v>
      </c>
      <c r="I151" s="22">
        <f t="shared" si="60"/>
        <v>0.14278176293788306</v>
      </c>
      <c r="J151" s="22">
        <f>AVERAGE(1.1,4.6)</f>
        <v>2.8499999999999996</v>
      </c>
      <c r="K151" s="22">
        <f t="shared" si="61"/>
        <v>2.8758829465186684E-2</v>
      </c>
      <c r="L151" s="22">
        <v>21.75</v>
      </c>
      <c r="M151" s="22">
        <f t="shared" si="62"/>
        <v>1.2983256618611886E-3</v>
      </c>
      <c r="N151" s="22">
        <f t="shared" si="63"/>
        <v>0.22190681370516124</v>
      </c>
      <c r="O151" s="22">
        <v>26.1</v>
      </c>
      <c r="P151" s="22">
        <f t="shared" si="64"/>
        <v>0.26100000000000001</v>
      </c>
      <c r="Q151" s="22">
        <v>0.19359840535693026</v>
      </c>
      <c r="R151" s="22">
        <f t="shared" si="65"/>
        <v>0.19359840535693026</v>
      </c>
      <c r="S151" s="15">
        <f t="shared" si="57"/>
        <v>0.16960916229303227</v>
      </c>
      <c r="T151" s="22">
        <f t="shared" si="56"/>
        <v>0.16316710405901094</v>
      </c>
      <c r="U151" s="15">
        <f t="shared" si="58"/>
        <v>45.101622951236237</v>
      </c>
    </row>
    <row r="152" spans="3:21">
      <c r="C152" s="15" t="s">
        <v>43</v>
      </c>
      <c r="D152" s="15" t="s">
        <v>63</v>
      </c>
      <c r="E152" s="15" t="s">
        <v>64</v>
      </c>
      <c r="F152" s="15">
        <v>304.46690000000001</v>
      </c>
      <c r="G152" s="27"/>
      <c r="H152" s="27"/>
      <c r="I152" s="27"/>
      <c r="J152" s="22">
        <f>AVERAGE(1.1,0)</f>
        <v>0.55000000000000004</v>
      </c>
      <c r="K152" s="22">
        <f t="shared" si="61"/>
        <v>5.5499495459132202E-3</v>
      </c>
      <c r="L152" s="27"/>
      <c r="M152" s="27"/>
      <c r="N152" s="27"/>
      <c r="O152" s="22">
        <v>0</v>
      </c>
      <c r="P152" s="22">
        <f t="shared" si="64"/>
        <v>0</v>
      </c>
      <c r="Q152" s="22">
        <v>1.4093819085539887E-3</v>
      </c>
      <c r="R152" s="22">
        <f t="shared" si="65"/>
        <v>1.4093819085539887E-3</v>
      </c>
      <c r="S152" s="15">
        <f t="shared" si="57"/>
        <v>2.3197771514890694E-3</v>
      </c>
      <c r="T152" s="22">
        <f t="shared" si="56"/>
        <v>2.2316678813422961E-3</v>
      </c>
      <c r="U152" s="15">
        <f t="shared" si="58"/>
        <v>0.67946900166185675</v>
      </c>
    </row>
    <row r="153" spans="3:21">
      <c r="C153" s="15" t="s">
        <v>44</v>
      </c>
      <c r="D153" s="15" t="s">
        <v>65</v>
      </c>
      <c r="E153" s="15" t="s">
        <v>66</v>
      </c>
      <c r="F153" s="15">
        <v>302.45100000000002</v>
      </c>
      <c r="G153" s="22">
        <v>14.563333333333333</v>
      </c>
      <c r="H153" s="22">
        <f>G153/F153*$G$18</f>
        <v>2.162784678803802E-4</v>
      </c>
      <c r="I153" s="22">
        <f t="shared" si="60"/>
        <v>0.11605310402122145</v>
      </c>
      <c r="J153" s="22">
        <f>AVERAGE(19.9,21.4)</f>
        <v>20.65</v>
      </c>
      <c r="K153" s="22">
        <f t="shared" si="61"/>
        <v>0.20837537840565087</v>
      </c>
      <c r="L153" s="22">
        <v>36.67</v>
      </c>
      <c r="M153" s="22">
        <f>L153/F153*$M$26</f>
        <v>2.0005058670660701E-3</v>
      </c>
      <c r="N153" s="22">
        <f>M153/$M$155</f>
        <v>0.34192182731929632</v>
      </c>
      <c r="O153" s="22">
        <v>43.8</v>
      </c>
      <c r="P153" s="22">
        <f t="shared" si="64"/>
        <v>0.43799999999999994</v>
      </c>
      <c r="Q153" s="22">
        <v>0.37047657277674306</v>
      </c>
      <c r="R153" s="22">
        <f t="shared" si="65"/>
        <v>0.37047657277674306</v>
      </c>
      <c r="S153" s="15">
        <f t="shared" si="57"/>
        <v>0.29496537650458238</v>
      </c>
      <c r="T153" s="22">
        <f t="shared" si="56"/>
        <v>0.28376206586515113</v>
      </c>
      <c r="U153" s="15">
        <f t="shared" si="58"/>
        <v>85.824120582980825</v>
      </c>
    </row>
    <row r="154" spans="3:21">
      <c r="C154" s="15" t="s">
        <v>159</v>
      </c>
      <c r="D154" s="15" t="s">
        <v>223</v>
      </c>
      <c r="E154" s="15" t="s">
        <v>224</v>
      </c>
      <c r="F154" s="15">
        <v>328.48829999999998</v>
      </c>
      <c r="G154" s="22">
        <v>1.2</v>
      </c>
      <c r="H154" s="22">
        <f>G154/F154*$G$18</f>
        <v>1.640849917637858E-5</v>
      </c>
      <c r="I154" s="22">
        <f t="shared" si="60"/>
        <v>8.8046548526578283E-3</v>
      </c>
      <c r="J154" s="22">
        <f>AVERAGE(11.6,2.8)</f>
        <v>7.1999999999999993</v>
      </c>
      <c r="K154" s="22">
        <f t="shared" si="61"/>
        <v>7.2653884964682142E-2</v>
      </c>
      <c r="L154" s="22">
        <v>6.01</v>
      </c>
      <c r="M154" s="22">
        <f>L154/F154*$M$26</f>
        <v>3.0188289811235289E-4</v>
      </c>
      <c r="N154" s="22">
        <f>M154/$M$155</f>
        <v>5.1597125436279277E-2</v>
      </c>
      <c r="O154" s="22">
        <v>0</v>
      </c>
      <c r="P154" s="22">
        <f t="shared" si="64"/>
        <v>0</v>
      </c>
      <c r="Q154" s="22">
        <v>4.9837515237558319E-3</v>
      </c>
      <c r="R154" s="22">
        <f t="shared" si="65"/>
        <v>4.9837515237558319E-3</v>
      </c>
      <c r="S154" s="15">
        <f t="shared" si="57"/>
        <v>2.7607883355475017E-2</v>
      </c>
      <c r="T154" s="22">
        <f t="shared" si="56"/>
        <v>2.6559286747310857E-2</v>
      </c>
      <c r="U154" s="15">
        <f t="shared" si="58"/>
        <v>8.724414952836673</v>
      </c>
    </row>
    <row r="155" spans="3:21">
      <c r="C155" s="15" t="s">
        <v>17</v>
      </c>
      <c r="D155" s="15" t="s">
        <v>18</v>
      </c>
      <c r="E155" s="15" t="s">
        <v>18</v>
      </c>
      <c r="F155" s="15">
        <f t="shared" ref="F155:U155" si="66">SUM(F141:F154)</f>
        <v>3890.1200999999996</v>
      </c>
      <c r="G155" s="15">
        <f t="shared" si="66"/>
        <v>111.97333333333333</v>
      </c>
      <c r="H155" s="15">
        <f t="shared" si="66"/>
        <v>1.8636163996167785E-3</v>
      </c>
      <c r="I155" s="15">
        <f t="shared" si="66"/>
        <v>0.99999999999999989</v>
      </c>
      <c r="J155" s="15">
        <f t="shared" si="66"/>
        <v>99.09999999999998</v>
      </c>
      <c r="K155" s="15">
        <f t="shared" si="66"/>
        <v>1.0000000000000002</v>
      </c>
      <c r="L155" s="15">
        <f t="shared" si="66"/>
        <v>100.02000000000001</v>
      </c>
      <c r="M155" s="15">
        <f t="shared" si="66"/>
        <v>5.8507697000517627E-3</v>
      </c>
      <c r="N155" s="15">
        <f t="shared" si="66"/>
        <v>1</v>
      </c>
      <c r="O155" s="15">
        <f t="shared" si="66"/>
        <v>100</v>
      </c>
      <c r="P155" s="15">
        <f t="shared" si="66"/>
        <v>1</v>
      </c>
      <c r="Q155" s="15">
        <f t="shared" si="66"/>
        <v>1</v>
      </c>
      <c r="R155" s="15">
        <f t="shared" si="66"/>
        <v>1</v>
      </c>
      <c r="S155" s="15">
        <f t="shared" si="66"/>
        <v>1.0394813542299035</v>
      </c>
      <c r="T155" s="15">
        <f t="shared" si="66"/>
        <v>1</v>
      </c>
      <c r="U155" s="15">
        <f t="shared" si="66"/>
        <v>276.09756370325675</v>
      </c>
    </row>
    <row r="160" spans="3:21">
      <c r="C160" s="15" t="s">
        <v>30</v>
      </c>
      <c r="G160" s="15" t="s">
        <v>189</v>
      </c>
      <c r="J160" s="15" t="s">
        <v>191</v>
      </c>
      <c r="L160" s="15" t="s">
        <v>195</v>
      </c>
      <c r="O160" s="15" t="s">
        <v>196</v>
      </c>
      <c r="Q160" s="15" t="s">
        <v>204</v>
      </c>
    </row>
    <row r="161" spans="3:21">
      <c r="C161" s="15" t="s">
        <v>13</v>
      </c>
      <c r="D161" s="15" t="s">
        <v>14</v>
      </c>
      <c r="E161" s="15" t="s">
        <v>15</v>
      </c>
      <c r="F161" s="15" t="s">
        <v>16</v>
      </c>
      <c r="G161" s="15" t="s">
        <v>212</v>
      </c>
      <c r="H161" s="15" t="s">
        <v>226</v>
      </c>
      <c r="J161" s="15" t="s">
        <v>210</v>
      </c>
      <c r="L161" s="15" t="s">
        <v>212</v>
      </c>
      <c r="O161" s="15" t="s">
        <v>214</v>
      </c>
      <c r="Q161" s="15" t="s">
        <v>217</v>
      </c>
      <c r="T161" s="15" t="s">
        <v>112</v>
      </c>
      <c r="U161" s="15" t="s">
        <v>271</v>
      </c>
    </row>
    <row r="162" spans="3:21">
      <c r="C162" s="15" t="s">
        <v>35</v>
      </c>
      <c r="D162" s="15" t="s">
        <v>46</v>
      </c>
      <c r="E162" s="15" t="s">
        <v>47</v>
      </c>
      <c r="F162" s="15">
        <v>228.37090000000001</v>
      </c>
      <c r="G162" s="22">
        <v>13.903333333333334</v>
      </c>
      <c r="H162" s="22">
        <f>G162/F162*$G$18</f>
        <v>2.7345488803034399E-4</v>
      </c>
      <c r="I162" s="22">
        <f>H162/$H$176</f>
        <v>0.14294835631389538</v>
      </c>
      <c r="J162" s="27"/>
      <c r="K162" s="27"/>
      <c r="L162" s="22">
        <v>13.17</v>
      </c>
      <c r="M162" s="22">
        <f>L162/F162*$M$27</f>
        <v>1.7416141898989756E-4</v>
      </c>
      <c r="N162" s="22">
        <f>M162/$M$176</f>
        <v>0.15689341465259218</v>
      </c>
      <c r="O162" s="22">
        <v>4.5999999999999996</v>
      </c>
      <c r="P162" s="22">
        <f>O162/$O$176</f>
        <v>4.5908183632734523E-2</v>
      </c>
      <c r="Q162" s="22">
        <v>4.6079639787213009E-2</v>
      </c>
      <c r="R162" s="22">
        <f>Q162/$Q$57</f>
        <v>4.5380525459272271E-2</v>
      </c>
      <c r="S162" s="15">
        <f>AVERAGE(I162,K162,N162,P162,R162)</f>
        <v>9.7782620014623595E-2</v>
      </c>
      <c r="T162" s="22">
        <f>S162/$S$176</f>
        <v>9.2897797566365681E-2</v>
      </c>
      <c r="U162" s="15">
        <f>T162*F162</f>
        <v>21.21515363824874</v>
      </c>
    </row>
    <row r="163" spans="3:21">
      <c r="C163" s="15" t="s">
        <v>215</v>
      </c>
      <c r="D163" s="15" t="s">
        <v>269</v>
      </c>
      <c r="E163" s="15" t="s">
        <v>270</v>
      </c>
      <c r="F163" s="15">
        <v>242.39750000000001</v>
      </c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2">
        <v>1.9144373591657979E-2</v>
      </c>
      <c r="R163" s="22">
        <f>Q163/$Q$57</f>
        <v>1.8853917634554501E-2</v>
      </c>
      <c r="S163" s="15">
        <f>AVERAGE(I163,K163,N163,P163,R163)</f>
        <v>1.8853917634554501E-2</v>
      </c>
      <c r="T163" s="22">
        <f>S163/$S$176</f>
        <v>1.7912052504686801E-2</v>
      </c>
      <c r="U163" s="15">
        <f>T163*F163</f>
        <v>4.3418367470048187</v>
      </c>
    </row>
    <row r="164" spans="3:21">
      <c r="C164" s="15" t="s">
        <v>36</v>
      </c>
      <c r="D164" s="15" t="s">
        <v>48</v>
      </c>
      <c r="E164" s="15" t="s">
        <v>49</v>
      </c>
      <c r="F164" s="15">
        <v>256.42410000000001</v>
      </c>
      <c r="G164" s="22">
        <v>28.896666666666665</v>
      </c>
      <c r="H164" s="22">
        <f>G164/F164*$G$18</f>
        <v>5.06170030213402E-4</v>
      </c>
      <c r="I164" s="22">
        <f>H164/$H$176</f>
        <v>0.26460003825688261</v>
      </c>
      <c r="J164" s="27"/>
      <c r="K164" s="27"/>
      <c r="L164" s="22">
        <v>20.21</v>
      </c>
      <c r="M164" s="22">
        <f>L164/F164*$M$27</f>
        <v>2.3802052927162463E-4</v>
      </c>
      <c r="N164" s="22">
        <f>M164/$M$176</f>
        <v>0.21442093094687423</v>
      </c>
      <c r="O164" s="22">
        <v>19</v>
      </c>
      <c r="P164" s="22">
        <f>O164/$O$176</f>
        <v>0.18962075848303392</v>
      </c>
      <c r="Q164" s="22">
        <v>0.12351247813728672</v>
      </c>
      <c r="R164" s="22">
        <f>Q164/$Q$57</f>
        <v>0.12163856281277487</v>
      </c>
      <c r="S164" s="15">
        <f t="shared" ref="S164:S175" si="67">AVERAGE(I164,K164,N164,P164,R164)</f>
        <v>0.1975700726248914</v>
      </c>
      <c r="T164" s="22">
        <f>S164/$S$176</f>
        <v>0.18770027443664811</v>
      </c>
      <c r="U164" s="15">
        <f t="shared" ref="U164:U175" si="68">T164*F164</f>
        <v>48.130873942170503</v>
      </c>
    </row>
    <row r="165" spans="3:21">
      <c r="C165" s="15" t="s">
        <v>213</v>
      </c>
      <c r="D165" s="15" t="s">
        <v>50</v>
      </c>
      <c r="E165" s="15" t="s">
        <v>51</v>
      </c>
      <c r="F165" s="15">
        <v>254.40819999999999</v>
      </c>
      <c r="G165" s="22">
        <v>11.676666666666668</v>
      </c>
      <c r="H165" s="22">
        <f>G165/F165*$G$18</f>
        <v>2.0615567597445541E-4</v>
      </c>
      <c r="I165" s="22">
        <f>H165/$H$176</f>
        <v>0.10776773908703474</v>
      </c>
      <c r="J165" s="27"/>
      <c r="K165" s="27"/>
      <c r="L165" s="22">
        <v>7.79</v>
      </c>
      <c r="M165" s="22">
        <f>L165/F165*$M$27</f>
        <v>9.2472648287280051E-5</v>
      </c>
      <c r="N165" s="22">
        <f>M165/$M$176</f>
        <v>8.330403849431843E-2</v>
      </c>
      <c r="O165" s="22">
        <f>9.6+0.9</f>
        <v>10.5</v>
      </c>
      <c r="P165" s="22">
        <f>O165/$O$176</f>
        <v>0.10479041916167664</v>
      </c>
      <c r="Q165" s="22">
        <v>0.27206394099740372</v>
      </c>
      <c r="R165" s="22">
        <f>Q165/$Q$57</f>
        <v>0.26793622211449503</v>
      </c>
      <c r="S165" s="15">
        <f t="shared" si="67"/>
        <v>0.14094960471438123</v>
      </c>
      <c r="T165" s="22">
        <f t="shared" ref="T165:T175" si="69">S165/$S$176</f>
        <v>0.13390833507894989</v>
      </c>
      <c r="U165" s="15">
        <f t="shared" si="68"/>
        <v>34.067378492432496</v>
      </c>
    </row>
    <row r="166" spans="3:21">
      <c r="C166" s="15" t="s">
        <v>38</v>
      </c>
      <c r="D166" s="15" t="s">
        <v>111</v>
      </c>
      <c r="E166" s="15" t="s">
        <v>52</v>
      </c>
      <c r="F166" s="15">
        <v>252.39230000000001</v>
      </c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2">
        <v>2.2541541676837328E-2</v>
      </c>
      <c r="R166" s="22">
        <f>Q166/$Q$57</f>
        <v>2.2199544325449103E-2</v>
      </c>
      <c r="S166" s="15">
        <f t="shared" si="67"/>
        <v>2.2199544325449103E-2</v>
      </c>
      <c r="T166" s="22">
        <f t="shared" si="69"/>
        <v>2.1090545277910464E-2</v>
      </c>
      <c r="U166" s="15">
        <f t="shared" si="68"/>
        <v>5.3230912309459617</v>
      </c>
    </row>
    <row r="167" spans="3:21">
      <c r="C167" s="15" t="s">
        <v>45</v>
      </c>
      <c r="D167" s="15" t="s">
        <v>53</v>
      </c>
      <c r="E167" s="15" t="s">
        <v>54</v>
      </c>
      <c r="F167" s="15">
        <v>284.47719999999998</v>
      </c>
      <c r="G167" s="22">
        <v>3.8933333333333331</v>
      </c>
      <c r="H167" s="22">
        <f t="shared" ref="H167:H175" si="70">G167/F167*$G$18</f>
        <v>6.1472608544922241E-5</v>
      </c>
      <c r="I167" s="22">
        <f t="shared" ref="I167:I175" si="71">H167/$H$176</f>
        <v>3.2134764213280605E-2</v>
      </c>
      <c r="J167" s="27"/>
      <c r="K167" s="27"/>
      <c r="L167" s="22">
        <v>4.78</v>
      </c>
      <c r="M167" s="22">
        <f t="shared" ref="M167:M175" si="72">L167/F167*$M$27</f>
        <v>5.0744312725237742E-5</v>
      </c>
      <c r="N167" s="22">
        <f t="shared" ref="N167:N175" si="73">M167/$M$176</f>
        <v>4.5713043358491169E-2</v>
      </c>
      <c r="O167" s="22">
        <v>0</v>
      </c>
      <c r="P167" s="22">
        <f t="shared" ref="P167:P175" si="74">O167/$O$176</f>
        <v>0</v>
      </c>
      <c r="Q167" s="27"/>
      <c r="R167" s="27"/>
      <c r="S167" s="15">
        <f t="shared" si="67"/>
        <v>2.5949269190590592E-2</v>
      </c>
      <c r="T167" s="22">
        <f t="shared" si="69"/>
        <v>2.4652949122268352E-2</v>
      </c>
      <c r="U167" s="15">
        <f t="shared" si="68"/>
        <v>7.0132019380453583</v>
      </c>
    </row>
    <row r="168" spans="3:21">
      <c r="C168" s="15" t="s">
        <v>39</v>
      </c>
      <c r="D168" s="15" t="s">
        <v>55</v>
      </c>
      <c r="E168" s="15" t="s">
        <v>56</v>
      </c>
      <c r="F168" s="15">
        <v>282.46140000000003</v>
      </c>
      <c r="G168" s="22">
        <v>3.75</v>
      </c>
      <c r="H168" s="22">
        <f t="shared" si="70"/>
        <v>5.9632041758626126E-5</v>
      </c>
      <c r="I168" s="22">
        <f t="shared" si="71"/>
        <v>3.1172609180389835E-2</v>
      </c>
      <c r="J168" s="27"/>
      <c r="K168" s="27"/>
      <c r="L168" s="22">
        <v>5.77</v>
      </c>
      <c r="M168" s="22">
        <f t="shared" si="72"/>
        <v>6.1691261177633465E-5</v>
      </c>
      <c r="N168" s="22">
        <f t="shared" si="73"/>
        <v>5.5574608179698212E-2</v>
      </c>
      <c r="O168" s="22">
        <v>0</v>
      </c>
      <c r="P168" s="22">
        <f t="shared" si="74"/>
        <v>0</v>
      </c>
      <c r="Q168" s="27"/>
      <c r="R168" s="27"/>
      <c r="S168" s="15">
        <f t="shared" si="67"/>
        <v>2.8915739120029347E-2</v>
      </c>
      <c r="T168" s="22">
        <f t="shared" si="69"/>
        <v>2.7471226265491751E-2</v>
      </c>
      <c r="U168" s="15">
        <f t="shared" si="68"/>
        <v>7.7595610306675722</v>
      </c>
    </row>
    <row r="169" spans="3:21">
      <c r="C169" s="15" t="s">
        <v>156</v>
      </c>
      <c r="D169" s="15" t="s">
        <v>274</v>
      </c>
      <c r="E169" s="15" t="s">
        <v>56</v>
      </c>
      <c r="F169" s="15">
        <v>282.46140000000003</v>
      </c>
      <c r="G169" s="22">
        <v>4.54</v>
      </c>
      <c r="H169" s="22">
        <f t="shared" si="70"/>
        <v>7.2194525222443371E-5</v>
      </c>
      <c r="I169" s="22">
        <f t="shared" si="71"/>
        <v>3.7739638847725299E-2</v>
      </c>
      <c r="J169" s="27"/>
      <c r="K169" s="27"/>
      <c r="L169" s="22">
        <v>0.8</v>
      </c>
      <c r="M169" s="22">
        <f t="shared" si="72"/>
        <v>8.5533810991519555E-6</v>
      </c>
      <c r="N169" s="22">
        <f t="shared" si="73"/>
        <v>7.7053182918125794E-3</v>
      </c>
      <c r="O169" s="22">
        <v>0</v>
      </c>
      <c r="P169" s="22">
        <f t="shared" si="74"/>
        <v>0</v>
      </c>
      <c r="Q169" s="27"/>
      <c r="R169" s="27"/>
      <c r="S169" s="15">
        <f t="shared" si="67"/>
        <v>1.5148319046512626E-2</v>
      </c>
      <c r="T169" s="22">
        <f t="shared" si="69"/>
        <v>1.4391570567890234E-2</v>
      </c>
      <c r="U169" s="15">
        <f t="shared" si="68"/>
        <v>4.0650631708050708</v>
      </c>
    </row>
    <row r="170" spans="3:21">
      <c r="C170" s="15" t="s">
        <v>40</v>
      </c>
      <c r="D170" s="15" t="s">
        <v>57</v>
      </c>
      <c r="E170" s="15" t="s">
        <v>58</v>
      </c>
      <c r="F170" s="15">
        <v>280.44549999999998</v>
      </c>
      <c r="G170" s="22">
        <v>4.2750000000000004</v>
      </c>
      <c r="H170" s="22">
        <f t="shared" si="70"/>
        <v>6.8469185634998609E-5</v>
      </c>
      <c r="I170" s="22">
        <f t="shared" si="71"/>
        <v>3.5792220117813175E-2</v>
      </c>
      <c r="J170" s="27"/>
      <c r="K170" s="27"/>
      <c r="L170" s="22">
        <v>0.8</v>
      </c>
      <c r="M170" s="22">
        <f t="shared" si="72"/>
        <v>8.6148645637031091E-6</v>
      </c>
      <c r="N170" s="22">
        <f t="shared" si="73"/>
        <v>7.7607057062815763E-3</v>
      </c>
      <c r="O170" s="22">
        <v>0</v>
      </c>
      <c r="P170" s="22">
        <f t="shared" si="74"/>
        <v>0</v>
      </c>
      <c r="Q170" s="22">
        <v>4.9686609226821483E-3</v>
      </c>
      <c r="R170" s="22">
        <f>Q170/$Q$57</f>
        <v>4.8932770425614038E-3</v>
      </c>
      <c r="S170" s="15">
        <f t="shared" si="67"/>
        <v>1.2111550716664039E-2</v>
      </c>
      <c r="T170" s="22">
        <f t="shared" si="69"/>
        <v>1.1506506846750073E-2</v>
      </c>
      <c r="U170" s="15">
        <f t="shared" si="68"/>
        <v>3.2269480658902472</v>
      </c>
    </row>
    <row r="171" spans="3:21">
      <c r="C171" s="15" t="s">
        <v>209</v>
      </c>
      <c r="D171" s="15" t="s">
        <v>225</v>
      </c>
      <c r="E171" s="15" t="s">
        <v>60</v>
      </c>
      <c r="F171" s="15">
        <v>278.42959999999999</v>
      </c>
      <c r="G171" s="22">
        <v>1.8033333333333335</v>
      </c>
      <c r="H171" s="22">
        <f t="shared" si="70"/>
        <v>2.9091634733599522E-5</v>
      </c>
      <c r="I171" s="22">
        <f t="shared" si="71"/>
        <v>1.52076322263101E-2</v>
      </c>
      <c r="J171" s="27"/>
      <c r="K171" s="27"/>
      <c r="L171" s="22">
        <v>3.83</v>
      </c>
      <c r="M171" s="22">
        <f t="shared" si="72"/>
        <v>4.1542278550843737E-5</v>
      </c>
      <c r="N171" s="22">
        <f t="shared" si="73"/>
        <v>3.7423385570078987E-2</v>
      </c>
      <c r="O171" s="22">
        <v>2</v>
      </c>
      <c r="P171" s="22">
        <f t="shared" si="74"/>
        <v>1.9960079840319361E-2</v>
      </c>
      <c r="Q171" s="22">
        <f>0.0229833349135679/2</f>
        <v>1.149166745678395E-2</v>
      </c>
      <c r="R171" s="22">
        <f>Q171/$Q$57</f>
        <v>1.1317317366200182E-2</v>
      </c>
      <c r="S171" s="15">
        <f t="shared" si="67"/>
        <v>2.0977103750727158E-2</v>
      </c>
      <c r="T171" s="22">
        <f t="shared" si="69"/>
        <v>1.9929172868064546E-2</v>
      </c>
      <c r="U171" s="15">
        <f t="shared" si="68"/>
        <v>5.5488716299860643</v>
      </c>
    </row>
    <row r="172" spans="3:21">
      <c r="C172" s="15" t="s">
        <v>157</v>
      </c>
      <c r="D172" s="15" t="s">
        <v>59</v>
      </c>
      <c r="E172" s="15" t="s">
        <v>60</v>
      </c>
      <c r="F172" s="15">
        <v>278.42959999999999</v>
      </c>
      <c r="G172" s="22">
        <v>0.32</v>
      </c>
      <c r="H172" s="22">
        <f t="shared" si="70"/>
        <v>5.1622863852598051E-6</v>
      </c>
      <c r="I172" s="22">
        <f t="shared" si="71"/>
        <v>2.6985816889570605E-3</v>
      </c>
      <c r="J172" s="27"/>
      <c r="K172" s="27"/>
      <c r="L172" s="22">
        <v>4.66</v>
      </c>
      <c r="M172" s="22">
        <f t="shared" si="72"/>
        <v>5.0544913328180632E-5</v>
      </c>
      <c r="N172" s="22">
        <f t="shared" si="73"/>
        <v>4.5533414296754067E-2</v>
      </c>
      <c r="O172" s="22">
        <v>1.5</v>
      </c>
      <c r="P172" s="22">
        <f t="shared" si="74"/>
        <v>1.4970059880239521E-2</v>
      </c>
      <c r="Q172" s="22">
        <f>0.0229833349135679/2</f>
        <v>1.149166745678395E-2</v>
      </c>
      <c r="R172" s="22">
        <f>Q172/$Q$57</f>
        <v>1.1317317366200182E-2</v>
      </c>
      <c r="S172" s="15">
        <f t="shared" si="67"/>
        <v>1.8629843308037707E-2</v>
      </c>
      <c r="T172" s="22">
        <f t="shared" si="69"/>
        <v>1.769917202120759E-2</v>
      </c>
      <c r="U172" s="15">
        <f t="shared" si="68"/>
        <v>4.9279733861960207</v>
      </c>
    </row>
    <row r="173" spans="3:21">
      <c r="C173" s="28" t="s">
        <v>158</v>
      </c>
      <c r="D173" s="15" t="s">
        <v>218</v>
      </c>
      <c r="E173" s="15" t="s">
        <v>219</v>
      </c>
      <c r="F173" s="15">
        <v>276.41370000000001</v>
      </c>
      <c r="G173" s="22">
        <v>2.2349999999999999</v>
      </c>
      <c r="H173" s="22">
        <f t="shared" si="70"/>
        <v>3.6318297537350715E-5</v>
      </c>
      <c r="I173" s="22">
        <f t="shared" si="71"/>
        <v>1.898536528082536E-2</v>
      </c>
      <c r="J173" s="27"/>
      <c r="K173" s="27"/>
      <c r="L173" s="22">
        <v>9.26</v>
      </c>
      <c r="M173" s="22">
        <f t="shared" si="72"/>
        <v>1.0117154106326858E-4</v>
      </c>
      <c r="N173" s="22">
        <f t="shared" si="73"/>
        <v>9.114044106405618E-2</v>
      </c>
      <c r="O173" s="22">
        <v>13.3</v>
      </c>
      <c r="P173" s="22">
        <f t="shared" si="74"/>
        <v>0.13273453093812376</v>
      </c>
      <c r="Q173" s="22">
        <v>0.13837609717030422</v>
      </c>
      <c r="R173" s="22">
        <f>Q173/$Q$57</f>
        <v>0.13627667294253226</v>
      </c>
      <c r="S173" s="15">
        <f t="shared" si="67"/>
        <v>9.4784252556384396E-2</v>
      </c>
      <c r="T173" s="22">
        <f t="shared" si="69"/>
        <v>9.0049216365295115E-2</v>
      </c>
      <c r="U173" s="15">
        <f t="shared" si="68"/>
        <v>24.890837077631776</v>
      </c>
    </row>
    <row r="174" spans="3:21">
      <c r="C174" s="15" t="s">
        <v>44</v>
      </c>
      <c r="D174" s="15" t="s">
        <v>65</v>
      </c>
      <c r="E174" s="15" t="s">
        <v>66</v>
      </c>
      <c r="F174" s="15">
        <v>302.45100000000002</v>
      </c>
      <c r="G174" s="22">
        <v>36.984999999999999</v>
      </c>
      <c r="H174" s="22">
        <f t="shared" si="70"/>
        <v>5.4926018319220846E-4</v>
      </c>
      <c r="I174" s="22">
        <f t="shared" si="71"/>
        <v>0.28712538635360846</v>
      </c>
      <c r="J174" s="27"/>
      <c r="K174" s="27"/>
      <c r="L174" s="22">
        <v>20.94</v>
      </c>
      <c r="M174" s="22">
        <f t="shared" si="72"/>
        <v>2.0908775305752007E-4</v>
      </c>
      <c r="N174" s="22">
        <f t="shared" si="73"/>
        <v>0.18835682282271229</v>
      </c>
      <c r="O174" s="22">
        <v>48.6</v>
      </c>
      <c r="P174" s="22">
        <f t="shared" si="74"/>
        <v>0.48502994011976047</v>
      </c>
      <c r="Q174" s="22">
        <v>0.35032993280304692</v>
      </c>
      <c r="R174" s="22">
        <f>Q174/$Q$57</f>
        <v>0.34501477242722534</v>
      </c>
      <c r="S174" s="15">
        <f t="shared" si="67"/>
        <v>0.32638173043082663</v>
      </c>
      <c r="T174" s="22">
        <f t="shared" si="69"/>
        <v>0.31007702512357133</v>
      </c>
      <c r="U174" s="15">
        <f t="shared" si="68"/>
        <v>93.783106325649271</v>
      </c>
    </row>
    <row r="175" spans="3:21">
      <c r="C175" s="15" t="s">
        <v>159</v>
      </c>
      <c r="D175" s="15" t="s">
        <v>223</v>
      </c>
      <c r="E175" s="15" t="s">
        <v>224</v>
      </c>
      <c r="F175" s="15">
        <v>328.48829999999998</v>
      </c>
      <c r="G175" s="22">
        <v>3.3334999999999999</v>
      </c>
      <c r="H175" s="22">
        <f t="shared" si="70"/>
        <v>4.5581443337048323E-5</v>
      </c>
      <c r="I175" s="22">
        <f t="shared" si="71"/>
        <v>2.3827668433277334E-2</v>
      </c>
      <c r="J175" s="27"/>
      <c r="K175" s="27"/>
      <c r="L175" s="22">
        <v>7.99</v>
      </c>
      <c r="M175" s="22">
        <f t="shared" si="72"/>
        <v>7.3457106387046374E-5</v>
      </c>
      <c r="N175" s="22">
        <f t="shared" si="73"/>
        <v>6.6173876616330063E-2</v>
      </c>
      <c r="O175" s="22">
        <v>0.7</v>
      </c>
      <c r="P175" s="22">
        <f t="shared" si="74"/>
        <v>6.9860279441117754E-3</v>
      </c>
      <c r="Q175" s="27"/>
      <c r="R175" s="27"/>
      <c r="S175" s="15">
        <f t="shared" si="67"/>
        <v>3.232919099790639E-2</v>
      </c>
      <c r="T175" s="22">
        <f t="shared" si="69"/>
        <v>3.0714155954900044E-2</v>
      </c>
      <c r="U175" s="15">
        <f t="shared" si="68"/>
        <v>10.089240875559991</v>
      </c>
    </row>
    <row r="176" spans="3:21">
      <c r="C176" s="15" t="s">
        <v>17</v>
      </c>
      <c r="D176" s="15" t="s">
        <v>18</v>
      </c>
      <c r="E176" s="15" t="s">
        <v>18</v>
      </c>
      <c r="F176" s="15">
        <f t="shared" ref="F176:M176" si="75">SUM(F162:F175)</f>
        <v>3828.0507000000002</v>
      </c>
      <c r="G176" s="15">
        <f t="shared" si="75"/>
        <v>115.61183333333332</v>
      </c>
      <c r="H176" s="15">
        <f t="shared" si="75"/>
        <v>1.9129628005646587E-3</v>
      </c>
      <c r="I176" s="15">
        <f t="shared" si="75"/>
        <v>0.99999999999999989</v>
      </c>
      <c r="J176" s="15">
        <f t="shared" si="75"/>
        <v>0</v>
      </c>
      <c r="K176" s="15">
        <f t="shared" si="75"/>
        <v>0</v>
      </c>
      <c r="L176" s="15">
        <f t="shared" si="75"/>
        <v>99.999999999999986</v>
      </c>
      <c r="M176" s="15">
        <f t="shared" si="75"/>
        <v>1.1100620085013879E-3</v>
      </c>
      <c r="O176" s="15">
        <f t="shared" ref="O176:U176" si="76">SUM(O162:O175)</f>
        <v>100.2</v>
      </c>
      <c r="P176" s="15">
        <f t="shared" si="76"/>
        <v>0.99999999999999989</v>
      </c>
      <c r="Q176" s="15">
        <f t="shared" si="76"/>
        <v>0.99999999999999989</v>
      </c>
      <c r="R176" s="15">
        <f t="shared" si="76"/>
        <v>0.98482812949126519</v>
      </c>
      <c r="S176" s="15">
        <f t="shared" si="76"/>
        <v>1.0525827584315788</v>
      </c>
      <c r="T176" s="15">
        <f>SUM(T162:T175)</f>
        <v>1</v>
      </c>
      <c r="U176" s="15">
        <f t="shared" si="76"/>
        <v>274.38313755123386</v>
      </c>
    </row>
    <row r="179" spans="3:21">
      <c r="C179" s="15" t="s">
        <v>25</v>
      </c>
      <c r="G179" s="15" t="s">
        <v>189</v>
      </c>
      <c r="J179" s="15" t="s">
        <v>191</v>
      </c>
      <c r="L179" s="15" t="s">
        <v>195</v>
      </c>
      <c r="O179" s="15" t="s">
        <v>196</v>
      </c>
      <c r="Q179" s="15" t="s">
        <v>204</v>
      </c>
    </row>
    <row r="180" spans="3:21">
      <c r="C180" s="15" t="s">
        <v>13</v>
      </c>
      <c r="D180" s="15" t="s">
        <v>14</v>
      </c>
      <c r="E180" s="15" t="s">
        <v>15</v>
      </c>
      <c r="F180" s="15" t="s">
        <v>16</v>
      </c>
      <c r="G180" s="15" t="s">
        <v>212</v>
      </c>
      <c r="H180" s="15" t="s">
        <v>226</v>
      </c>
      <c r="J180" s="15" t="s">
        <v>210</v>
      </c>
      <c r="L180" s="15" t="s">
        <v>212</v>
      </c>
      <c r="O180" s="15" t="s">
        <v>214</v>
      </c>
      <c r="Q180" s="15" t="s">
        <v>217</v>
      </c>
      <c r="T180" s="15" t="s">
        <v>112</v>
      </c>
      <c r="U180" s="15" t="s">
        <v>271</v>
      </c>
    </row>
    <row r="181" spans="3:21">
      <c r="C181" s="15" t="s">
        <v>35</v>
      </c>
      <c r="D181" s="15" t="s">
        <v>46</v>
      </c>
      <c r="E181" s="15" t="s">
        <v>47</v>
      </c>
      <c r="F181" s="15">
        <v>228.37090000000001</v>
      </c>
      <c r="G181" s="22">
        <v>11.486666666666665</v>
      </c>
      <c r="H181" s="22">
        <f>G181/F181*$G$18</f>
        <v>2.2592317049929637E-4</v>
      </c>
      <c r="I181" s="22">
        <f>H181/$H$198</f>
        <v>0.12840291165338344</v>
      </c>
      <c r="J181" s="27"/>
      <c r="K181" s="27"/>
      <c r="L181" s="22">
        <v>6.33</v>
      </c>
      <c r="M181" s="22">
        <f>L181/F181*$M$23</f>
        <v>3.6033487629115613E-5</v>
      </c>
      <c r="N181" s="22">
        <f>M181/$M$198</f>
        <v>7.6788480567427E-2</v>
      </c>
      <c r="O181" s="22">
        <v>0.7</v>
      </c>
      <c r="P181" s="22">
        <f>O181/$O$198</f>
        <v>6.9651741293532332E-3</v>
      </c>
      <c r="Q181" s="27"/>
      <c r="R181" s="27"/>
      <c r="S181" s="15">
        <f>AVERAGE(I181,K181,N181,P181,R181)</f>
        <v>7.071885545005456E-2</v>
      </c>
      <c r="T181" s="22">
        <f>S181/$S$198</f>
        <v>3.7462000647493408E-2</v>
      </c>
      <c r="U181" s="15">
        <f>T181*F181</f>
        <v>8.5552308036686533</v>
      </c>
    </row>
    <row r="182" spans="3:21">
      <c r="C182" s="15" t="s">
        <v>36</v>
      </c>
      <c r="D182" s="15" t="s">
        <v>48</v>
      </c>
      <c r="E182" s="15" t="s">
        <v>49</v>
      </c>
      <c r="F182" s="15">
        <v>256.42410000000001</v>
      </c>
      <c r="G182" s="22">
        <v>32.56666666666667</v>
      </c>
      <c r="H182" s="22">
        <f>G182/F182*$G$18</f>
        <v>5.7045578442553222E-4</v>
      </c>
      <c r="I182" s="22">
        <f>H182/$H$198</f>
        <v>0.32421722627153593</v>
      </c>
      <c r="J182" s="27"/>
      <c r="K182" s="27"/>
      <c r="L182" s="22">
        <v>18.649999999999999</v>
      </c>
      <c r="M182" s="22">
        <f>L182/F182*$M$23</f>
        <v>9.4550395224161837E-5</v>
      </c>
      <c r="N182" s="22">
        <f>M182/$M$198</f>
        <v>0.2014898269366131</v>
      </c>
      <c r="O182" s="22">
        <v>9.1</v>
      </c>
      <c r="P182" s="22">
        <f>O182/$O$198</f>
        <v>9.0547263681592036E-2</v>
      </c>
      <c r="Q182" s="27"/>
      <c r="R182" s="27"/>
      <c r="S182" s="15">
        <f t="shared" ref="S182:S197" si="77">AVERAGE(I182,K182,N182,P182,R182)</f>
        <v>0.20541810562991369</v>
      </c>
      <c r="T182" s="22">
        <f t="shared" ref="T182:T197" si="78">S182/$S$198</f>
        <v>0.10881642748799265</v>
      </c>
      <c r="U182" s="15">
        <f t="shared" ref="U182:U197" si="79">T182*F182</f>
        <v>27.903154483823776</v>
      </c>
    </row>
    <row r="183" spans="3:21">
      <c r="C183" s="15" t="s">
        <v>213</v>
      </c>
      <c r="D183" s="15" t="s">
        <v>50</v>
      </c>
      <c r="E183" s="15" t="s">
        <v>51</v>
      </c>
      <c r="F183" s="15">
        <v>254.40819999999999</v>
      </c>
      <c r="G183" s="22">
        <v>14.063333333333333</v>
      </c>
      <c r="H183" s="22">
        <f>G183/F183*$G$18</f>
        <v>2.4829311930808659E-4</v>
      </c>
      <c r="I183" s="22">
        <f>H183/$H$198</f>
        <v>0.14111682034295164</v>
      </c>
      <c r="J183" s="27"/>
      <c r="K183" s="27"/>
      <c r="L183" s="22">
        <v>9.06</v>
      </c>
      <c r="M183" s="22">
        <f>L183/F183*$M$23</f>
        <v>4.6295677576430324E-5</v>
      </c>
      <c r="N183" s="22">
        <f>M183/$M$198</f>
        <v>9.8657525869383547E-2</v>
      </c>
      <c r="O183" s="22">
        <f>3.2+12.8</f>
        <v>16</v>
      </c>
      <c r="P183" s="22">
        <f>O183/$O$198</f>
        <v>0.15920398009950248</v>
      </c>
      <c r="Q183" s="27"/>
      <c r="R183" s="27"/>
      <c r="S183" s="15">
        <f t="shared" si="77"/>
        <v>0.13299277543727922</v>
      </c>
      <c r="T183" s="22">
        <f t="shared" si="78"/>
        <v>7.045045352949722E-2</v>
      </c>
      <c r="U183" s="15">
        <f t="shared" si="79"/>
        <v>17.923173071623033</v>
      </c>
    </row>
    <row r="184" spans="3:21">
      <c r="C184" s="15" t="s">
        <v>232</v>
      </c>
      <c r="D184" s="15">
        <v>5282811</v>
      </c>
      <c r="E184" s="15" t="s">
        <v>275</v>
      </c>
      <c r="F184" s="15">
        <v>250.38</v>
      </c>
      <c r="G184" s="27"/>
      <c r="H184" s="27"/>
      <c r="I184" s="27"/>
      <c r="J184" s="27"/>
      <c r="K184" s="27"/>
      <c r="L184" s="27"/>
      <c r="M184" s="27"/>
      <c r="N184" s="27"/>
      <c r="O184" s="22">
        <v>2.2000000000000002</v>
      </c>
      <c r="P184" s="22">
        <f>O184/$O$198</f>
        <v>2.1890547263681594E-2</v>
      </c>
      <c r="Q184" s="27"/>
      <c r="R184" s="27"/>
      <c r="S184" s="15">
        <f>AVERAGE(I184,K184,N184,P184,R184)</f>
        <v>2.1890547263681594E-2</v>
      </c>
      <c r="T184" s="22">
        <f t="shared" si="78"/>
        <v>1.1596110974182802E-2</v>
      </c>
      <c r="U184" s="15">
        <f t="shared" si="79"/>
        <v>2.90343426571589</v>
      </c>
    </row>
    <row r="185" spans="3:21">
      <c r="C185" s="15" t="s">
        <v>235</v>
      </c>
      <c r="D185" s="15" t="s">
        <v>276</v>
      </c>
      <c r="E185" s="15" t="s">
        <v>277</v>
      </c>
      <c r="F185" s="15">
        <v>269.44</v>
      </c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2">
        <v>0.89226901393422131</v>
      </c>
      <c r="R185" s="22">
        <f>Q185/$Q$198</f>
        <v>0.89226901393422142</v>
      </c>
      <c r="S185" s="15">
        <f t="shared" si="77"/>
        <v>0.89226901393422142</v>
      </c>
      <c r="T185" s="22">
        <f t="shared" si="78"/>
        <v>0.47266294349672372</v>
      </c>
      <c r="U185" s="15">
        <f t="shared" si="79"/>
        <v>127.35430349575724</v>
      </c>
    </row>
    <row r="186" spans="3:21">
      <c r="C186" s="15" t="s">
        <v>45</v>
      </c>
      <c r="D186" s="15" t="s">
        <v>53</v>
      </c>
      <c r="E186" s="15" t="s">
        <v>54</v>
      </c>
      <c r="F186" s="15">
        <v>284.47719999999998</v>
      </c>
      <c r="G186" s="22">
        <v>6.3</v>
      </c>
      <c r="H186" s="22">
        <f t="shared" ref="H186:H192" si="80">G186/F186*$G$18</f>
        <v>9.9471943621492342E-5</v>
      </c>
      <c r="I186" s="22">
        <f t="shared" ref="I186:I192" si="81">H186/$H$198</f>
        <v>5.6534649193322115E-2</v>
      </c>
      <c r="J186" s="27"/>
      <c r="K186" s="27"/>
      <c r="L186" s="22">
        <v>4.34</v>
      </c>
      <c r="M186" s="22">
        <f t="shared" ref="M186:M192" si="82">L186/F186*$M$23</f>
        <v>1.9832872370791049E-5</v>
      </c>
      <c r="N186" s="22">
        <f t="shared" ref="N186:N192" si="83">M186/$M$198</f>
        <v>4.2264466607173277E-2</v>
      </c>
      <c r="O186" s="22">
        <v>1.1000000000000001</v>
      </c>
      <c r="P186" s="22">
        <f>O186/$O$198</f>
        <v>1.0945273631840797E-2</v>
      </c>
      <c r="Q186" s="27"/>
      <c r="R186" s="27"/>
      <c r="S186" s="15">
        <f t="shared" si="77"/>
        <v>3.6581463144112057E-2</v>
      </c>
      <c r="T186" s="22">
        <f t="shared" si="78"/>
        <v>1.9378350897644864E-2</v>
      </c>
      <c r="U186" s="15">
        <f t="shared" si="79"/>
        <v>5.5126990039794972</v>
      </c>
    </row>
    <row r="187" spans="3:21">
      <c r="C187" s="15" t="s">
        <v>39</v>
      </c>
      <c r="D187" s="15" t="s">
        <v>55</v>
      </c>
      <c r="E187" s="15" t="s">
        <v>56</v>
      </c>
      <c r="F187" s="15">
        <v>282.46140000000003</v>
      </c>
      <c r="G187" s="22">
        <v>6.2399999999999993</v>
      </c>
      <c r="H187" s="22">
        <f t="shared" si="80"/>
        <v>9.9227717486353862E-5</v>
      </c>
      <c r="I187" s="22">
        <f t="shared" si="81"/>
        <v>5.6395843834029714E-2</v>
      </c>
      <c r="J187" s="27"/>
      <c r="K187" s="27"/>
      <c r="L187" s="22">
        <v>19.27</v>
      </c>
      <c r="M187" s="22">
        <f t="shared" si="82"/>
        <v>8.8688224302506461E-5</v>
      </c>
      <c r="N187" s="22">
        <f t="shared" si="83"/>
        <v>0.18899735874886145</v>
      </c>
      <c r="O187" s="22">
        <f>3.7/2</f>
        <v>1.85</v>
      </c>
      <c r="P187" s="22">
        <f t="shared" ref="P187:P192" si="84">O187/$O$198</f>
        <v>1.8407960199004977E-2</v>
      </c>
      <c r="Q187" s="22">
        <f>0.0936421186798666/2</f>
        <v>4.6821059339933302E-2</v>
      </c>
      <c r="R187" s="22">
        <f>Q187/$Q$198</f>
        <v>4.6821059339933309E-2</v>
      </c>
      <c r="S187" s="15">
        <f t="shared" si="77"/>
        <v>7.765555553045736E-2</v>
      </c>
      <c r="T187" s="22">
        <f t="shared" si="78"/>
        <v>4.1136588722339253E-2</v>
      </c>
      <c r="U187" s="15">
        <f t="shared" si="79"/>
        <v>11.619498441736157</v>
      </c>
    </row>
    <row r="188" spans="3:21">
      <c r="C188" s="15" t="s">
        <v>156</v>
      </c>
      <c r="D188" s="15" t="s">
        <v>274</v>
      </c>
      <c r="E188" s="15" t="s">
        <v>56</v>
      </c>
      <c r="F188" s="15">
        <v>282.46140000000003</v>
      </c>
      <c r="G188" s="22">
        <v>8</v>
      </c>
      <c r="H188" s="22">
        <f t="shared" si="80"/>
        <v>1.2721502241840242E-4</v>
      </c>
      <c r="I188" s="22">
        <f t="shared" si="81"/>
        <v>7.2302363889781701E-2</v>
      </c>
      <c r="J188" s="27"/>
      <c r="K188" s="27"/>
      <c r="L188" s="22">
        <v>3.75</v>
      </c>
      <c r="M188" s="22">
        <f t="shared" si="82"/>
        <v>1.7258995388396433E-5</v>
      </c>
      <c r="N188" s="22">
        <f t="shared" si="83"/>
        <v>3.677945486809707E-2</v>
      </c>
      <c r="O188" s="22">
        <f>3.7/2</f>
        <v>1.85</v>
      </c>
      <c r="P188" s="22">
        <f t="shared" si="84"/>
        <v>1.8407960199004977E-2</v>
      </c>
      <c r="Q188" s="22">
        <f>0.0936421186798666/2</f>
        <v>4.6821059339933302E-2</v>
      </c>
      <c r="R188" s="22">
        <f>Q188/$Q$198</f>
        <v>4.6821059339933309E-2</v>
      </c>
      <c r="S188" s="15">
        <f t="shared" si="77"/>
        <v>4.357770957420426E-2</v>
      </c>
      <c r="T188" s="22">
        <f t="shared" si="78"/>
        <v>2.3084482545649859E-2</v>
      </c>
      <c r="U188" s="15">
        <f t="shared" si="79"/>
        <v>6.5204752581198235</v>
      </c>
    </row>
    <row r="189" spans="3:21">
      <c r="C189" s="15" t="s">
        <v>40</v>
      </c>
      <c r="D189" s="15" t="s">
        <v>57</v>
      </c>
      <c r="E189" s="15" t="s">
        <v>58</v>
      </c>
      <c r="F189" s="15">
        <v>280.44549999999998</v>
      </c>
      <c r="G189" s="22">
        <v>8.9499999999999993</v>
      </c>
      <c r="H189" s="22">
        <f t="shared" si="80"/>
        <v>1.4334484477970466E-4</v>
      </c>
      <c r="I189" s="22">
        <f t="shared" si="81"/>
        <v>8.146971113914013E-2</v>
      </c>
      <c r="J189" s="27"/>
      <c r="K189" s="27"/>
      <c r="L189" s="22">
        <v>3.89</v>
      </c>
      <c r="M189" s="22">
        <f t="shared" si="82"/>
        <v>1.8032024047453071E-5</v>
      </c>
      <c r="N189" s="22">
        <f t="shared" si="83"/>
        <v>3.8426802934290676E-2</v>
      </c>
      <c r="O189" s="22">
        <v>3.7</v>
      </c>
      <c r="P189" s="22">
        <f t="shared" si="84"/>
        <v>3.6815920398009953E-2</v>
      </c>
      <c r="Q189" s="27"/>
      <c r="R189" s="27"/>
      <c r="S189" s="15">
        <f t="shared" si="77"/>
        <v>5.2237478157146917E-2</v>
      </c>
      <c r="T189" s="22">
        <f t="shared" si="78"/>
        <v>2.7671834167742472E-2</v>
      </c>
      <c r="U189" s="15">
        <f t="shared" si="79"/>
        <v>7.7604413690896212</v>
      </c>
    </row>
    <row r="190" spans="3:21">
      <c r="C190" s="15" t="s">
        <v>209</v>
      </c>
      <c r="D190" s="15" t="s">
        <v>225</v>
      </c>
      <c r="E190" s="15" t="s">
        <v>60</v>
      </c>
      <c r="F190" s="15">
        <v>278.42959999999999</v>
      </c>
      <c r="G190" s="22">
        <v>3.2766666666666668</v>
      </c>
      <c r="H190" s="22">
        <f t="shared" si="80"/>
        <v>5.2859661632399872E-5</v>
      </c>
      <c r="I190" s="22">
        <f t="shared" si="81"/>
        <v>3.0042666485303782E-2</v>
      </c>
      <c r="J190" s="27"/>
      <c r="K190" s="27"/>
      <c r="L190" s="22">
        <v>1.51</v>
      </c>
      <c r="M190" s="22">
        <f t="shared" si="82"/>
        <v>7.0502561509264817E-6</v>
      </c>
      <c r="N190" s="22">
        <f t="shared" si="83"/>
        <v>1.5024314687856045E-2</v>
      </c>
      <c r="O190" s="22">
        <v>0</v>
      </c>
      <c r="P190" s="22">
        <f t="shared" si="84"/>
        <v>0</v>
      </c>
      <c r="Q190" s="27"/>
      <c r="R190" s="27"/>
      <c r="S190" s="15">
        <f t="shared" si="77"/>
        <v>1.5022327057719942E-2</v>
      </c>
      <c r="T190" s="22">
        <f t="shared" si="78"/>
        <v>7.9577988413658367E-3</v>
      </c>
      <c r="U190" s="15">
        <f t="shared" si="79"/>
        <v>2.2156867482819531</v>
      </c>
    </row>
    <row r="191" spans="3:21">
      <c r="C191" s="15" t="s">
        <v>157</v>
      </c>
      <c r="D191" s="15" t="s">
        <v>59</v>
      </c>
      <c r="E191" s="15" t="s">
        <v>60</v>
      </c>
      <c r="F191" s="15">
        <v>278.42959999999999</v>
      </c>
      <c r="G191" s="22">
        <v>1.42</v>
      </c>
      <c r="H191" s="22">
        <f t="shared" si="80"/>
        <v>2.2907645834590383E-5</v>
      </c>
      <c r="I191" s="22">
        <f t="shared" si="81"/>
        <v>1.3019507551108252E-2</v>
      </c>
      <c r="J191" s="27"/>
      <c r="K191" s="27"/>
      <c r="L191" s="22">
        <v>2.38</v>
      </c>
      <c r="M191" s="22">
        <f t="shared" si="82"/>
        <v>1.111232426437419E-5</v>
      </c>
      <c r="N191" s="22">
        <f t="shared" si="83"/>
        <v>2.3680707918607543E-2</v>
      </c>
      <c r="O191" s="22">
        <v>0.5</v>
      </c>
      <c r="P191" s="22">
        <f t="shared" si="84"/>
        <v>4.9751243781094526E-3</v>
      </c>
      <c r="Q191" s="27"/>
      <c r="R191" s="27"/>
      <c r="S191" s="15">
        <f t="shared" si="77"/>
        <v>1.3891779949275082E-2</v>
      </c>
      <c r="T191" s="22">
        <f t="shared" si="78"/>
        <v>7.3589125013784088E-3</v>
      </c>
      <c r="U191" s="15">
        <f t="shared" si="79"/>
        <v>2.0489390641937897</v>
      </c>
    </row>
    <row r="192" spans="3:21">
      <c r="C192" s="28" t="s">
        <v>158</v>
      </c>
      <c r="D192" s="15" t="s">
        <v>218</v>
      </c>
      <c r="E192" s="15" t="s">
        <v>219</v>
      </c>
      <c r="F192" s="15">
        <v>276.41370000000001</v>
      </c>
      <c r="G192" s="22">
        <v>0.77</v>
      </c>
      <c r="H192" s="22">
        <f t="shared" si="80"/>
        <v>1.2512344118013446E-5</v>
      </c>
      <c r="I192" s="22">
        <f t="shared" si="81"/>
        <v>7.1113618528428728E-3</v>
      </c>
      <c r="J192" s="27"/>
      <c r="K192" s="27"/>
      <c r="L192" s="22">
        <v>6.94</v>
      </c>
      <c r="M192" s="22">
        <f t="shared" si="82"/>
        <v>3.2639482051721745E-5</v>
      </c>
      <c r="N192" s="22">
        <f t="shared" si="83"/>
        <v>6.9555749336746395E-2</v>
      </c>
      <c r="O192" s="22">
        <v>1.6</v>
      </c>
      <c r="P192" s="22">
        <f t="shared" si="84"/>
        <v>1.5920398009950251E-2</v>
      </c>
      <c r="Q192" s="27"/>
      <c r="R192" s="27"/>
      <c r="S192" s="15">
        <f t="shared" si="77"/>
        <v>3.0862503066513173E-2</v>
      </c>
      <c r="T192" s="22">
        <f t="shared" si="78"/>
        <v>1.6348837979674794E-2</v>
      </c>
      <c r="U192" s="15">
        <f t="shared" si="79"/>
        <v>4.5190427966624345</v>
      </c>
    </row>
    <row r="193" spans="3:21">
      <c r="C193" s="28" t="s">
        <v>236</v>
      </c>
      <c r="D193" s="15">
        <v>5312513</v>
      </c>
      <c r="E193" s="15" t="s">
        <v>278</v>
      </c>
      <c r="F193" s="15">
        <v>296.5</v>
      </c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2">
        <v>1.0160741248540144E-2</v>
      </c>
      <c r="R193" s="22">
        <f>Q193/$Q$198</f>
        <v>1.0160741248540146E-2</v>
      </c>
      <c r="S193" s="15">
        <f>AVERAGE(I193,K193,N193,P193,R193)</f>
        <v>1.0160741248540146E-2</v>
      </c>
      <c r="T193" s="22">
        <f>S193/$S$198</f>
        <v>5.3824640233417452E-3</v>
      </c>
      <c r="U193" s="15">
        <f t="shared" si="79"/>
        <v>1.5959005829208275</v>
      </c>
    </row>
    <row r="194" spans="3:21">
      <c r="C194" s="15" t="s">
        <v>43</v>
      </c>
      <c r="D194" s="15" t="s">
        <v>63</v>
      </c>
      <c r="E194" s="15" t="s">
        <v>64</v>
      </c>
      <c r="F194" s="15">
        <v>304.46690000000001</v>
      </c>
      <c r="G194" s="27"/>
      <c r="H194" s="27"/>
      <c r="I194" s="27"/>
      <c r="J194" s="27"/>
      <c r="K194" s="27"/>
      <c r="L194" s="27"/>
      <c r="M194" s="27"/>
      <c r="N194" s="27"/>
      <c r="O194" s="22">
        <v>0.5</v>
      </c>
      <c r="P194" s="22">
        <f>O194/$O$198</f>
        <v>4.9751243781094526E-3</v>
      </c>
      <c r="Q194" s="27"/>
      <c r="R194" s="27"/>
      <c r="S194" s="15">
        <f t="shared" si="77"/>
        <v>4.9751243781094526E-3</v>
      </c>
      <c r="T194" s="22">
        <f t="shared" si="78"/>
        <v>2.6354797668597277E-3</v>
      </c>
      <c r="U194" s="15">
        <f t="shared" si="79"/>
        <v>0.80241635462850402</v>
      </c>
    </row>
    <row r="195" spans="3:21">
      <c r="C195" s="15" t="s">
        <v>44</v>
      </c>
      <c r="D195" s="15" t="s">
        <v>65</v>
      </c>
      <c r="E195" s="15" t="s">
        <v>66</v>
      </c>
      <c r="F195" s="15">
        <v>302.45100000000002</v>
      </c>
      <c r="G195" s="22">
        <v>7.07</v>
      </c>
      <c r="H195" s="22">
        <f>G195/F195*$G$18</f>
        <v>1.0499579546218505E-4</v>
      </c>
      <c r="I195" s="22">
        <f>H195/$H$198</f>
        <v>5.9674117616677368E-2</v>
      </c>
      <c r="J195" s="27"/>
      <c r="K195" s="27"/>
      <c r="L195" s="22">
        <v>9.56</v>
      </c>
      <c r="M195" s="22">
        <f>L195/F195*$M$23</f>
        <v>4.109095357595114E-5</v>
      </c>
      <c r="N195" s="22">
        <f>M195/$M$198</f>
        <v>8.756609747690447E-2</v>
      </c>
      <c r="O195" s="22">
        <v>34.6</v>
      </c>
      <c r="P195" s="22">
        <f>O195/$O$198</f>
        <v>0.34427860696517415</v>
      </c>
      <c r="Q195" s="22">
        <v>3.9281261373718653E-3</v>
      </c>
      <c r="R195" s="22">
        <f>Q195/$Q$198</f>
        <v>3.9281261373718662E-3</v>
      </c>
      <c r="S195" s="15">
        <f t="shared" si="77"/>
        <v>0.12386173704903196</v>
      </c>
      <c r="T195" s="22">
        <f t="shared" si="78"/>
        <v>6.5613455478045549E-2</v>
      </c>
      <c r="U195" s="15">
        <f t="shared" si="79"/>
        <v>19.844855222790354</v>
      </c>
    </row>
    <row r="196" spans="3:21">
      <c r="C196" s="15" t="s">
        <v>211</v>
      </c>
      <c r="D196" s="15" t="s">
        <v>221</v>
      </c>
      <c r="E196" s="15" t="s">
        <v>222</v>
      </c>
      <c r="F196" s="15">
        <v>330.50420000000003</v>
      </c>
      <c r="G196" s="27"/>
      <c r="H196" s="27"/>
      <c r="I196" s="27"/>
      <c r="J196" s="27"/>
      <c r="K196" s="27"/>
      <c r="L196" s="27"/>
      <c r="M196" s="27"/>
      <c r="N196" s="27"/>
      <c r="O196" s="22">
        <v>2.5</v>
      </c>
      <c r="P196" s="22">
        <f>O196/$O$198</f>
        <v>2.4875621890547265E-2</v>
      </c>
      <c r="Q196" s="27"/>
      <c r="R196" s="27"/>
      <c r="S196" s="15">
        <f t="shared" si="77"/>
        <v>2.4875621890547265E-2</v>
      </c>
      <c r="T196" s="22">
        <f t="shared" si="78"/>
        <v>1.3177398834298639E-2</v>
      </c>
      <c r="U196" s="15">
        <f t="shared" si="79"/>
        <v>4.3551856598108047</v>
      </c>
    </row>
    <row r="197" spans="3:21">
      <c r="C197" s="15" t="s">
        <v>159</v>
      </c>
      <c r="D197" s="15" t="s">
        <v>223</v>
      </c>
      <c r="E197" s="15" t="s">
        <v>224</v>
      </c>
      <c r="F197" s="15">
        <v>328.48829999999998</v>
      </c>
      <c r="G197" s="22">
        <v>3.8233333333333337</v>
      </c>
      <c r="H197" s="22">
        <f>G197/F197*$G$18</f>
        <v>5.2279301542517314E-5</v>
      </c>
      <c r="I197" s="22">
        <f>H197/$H$198</f>
        <v>2.971282016992299E-2</v>
      </c>
      <c r="J197" s="27"/>
      <c r="K197" s="27"/>
      <c r="L197" s="22">
        <v>14.32</v>
      </c>
      <c r="M197" s="22">
        <f>L197/F197*$M$23</f>
        <v>5.6671729251848544E-5</v>
      </c>
      <c r="N197" s="22">
        <f>M197/$M$198</f>
        <v>0.12076921404803975</v>
      </c>
      <c r="O197" s="22">
        <v>24.3</v>
      </c>
      <c r="P197" s="22">
        <f>O197/$O$198</f>
        <v>0.2417910447761194</v>
      </c>
      <c r="Q197" s="27"/>
      <c r="R197" s="27"/>
      <c r="S197" s="15">
        <f t="shared" si="77"/>
        <v>0.13075769299802739</v>
      </c>
      <c r="T197" s="22">
        <f t="shared" si="78"/>
        <v>6.9266460105768965E-2</v>
      </c>
      <c r="U197" s="15">
        <f t="shared" si="79"/>
        <v>22.753221727161865</v>
      </c>
    </row>
    <row r="198" spans="3:21">
      <c r="C198" s="15" t="s">
        <v>17</v>
      </c>
      <c r="D198" s="15" t="s">
        <v>18</v>
      </c>
      <c r="E198" s="15" t="s">
        <v>18</v>
      </c>
      <c r="F198" s="15">
        <f>SUM(F181:F197)</f>
        <v>4784.5519999999997</v>
      </c>
      <c r="G198" s="15">
        <f t="shared" ref="G198:U198" si="85">SUM(G181:G197)</f>
        <v>103.96666666666668</v>
      </c>
      <c r="H198" s="15">
        <f t="shared" si="85"/>
        <v>1.7594863511285746E-3</v>
      </c>
      <c r="I198" s="15">
        <f t="shared" si="85"/>
        <v>1</v>
      </c>
      <c r="J198" s="15">
        <f t="shared" si="85"/>
        <v>0</v>
      </c>
      <c r="K198" s="15">
        <f t="shared" si="85"/>
        <v>0</v>
      </c>
      <c r="L198" s="15">
        <f t="shared" si="85"/>
        <v>100</v>
      </c>
      <c r="M198" s="15">
        <f t="shared" si="85"/>
        <v>4.6925642183367675E-4</v>
      </c>
      <c r="N198" s="15">
        <f t="shared" si="85"/>
        <v>1.0000000000000002</v>
      </c>
      <c r="O198" s="15">
        <f t="shared" si="85"/>
        <v>100.5</v>
      </c>
      <c r="P198" s="15">
        <f t="shared" si="85"/>
        <v>1</v>
      </c>
      <c r="Q198" s="15">
        <f t="shared" si="85"/>
        <v>0.99999999999999989</v>
      </c>
      <c r="R198" s="15">
        <f t="shared" si="85"/>
        <v>1</v>
      </c>
      <c r="S198" s="15">
        <f t="shared" si="85"/>
        <v>1.8877490317588357</v>
      </c>
      <c r="T198" s="15">
        <f t="shared" si="85"/>
        <v>1</v>
      </c>
      <c r="U198" s="15">
        <f t="shared" si="85"/>
        <v>274.18765834996424</v>
      </c>
    </row>
    <row r="202" spans="3:21">
      <c r="C202" s="15" t="s">
        <v>26</v>
      </c>
      <c r="G202" s="15" t="s">
        <v>189</v>
      </c>
      <c r="J202" s="15" t="s">
        <v>191</v>
      </c>
      <c r="L202" s="15" t="s">
        <v>195</v>
      </c>
      <c r="O202" s="15" t="s">
        <v>196</v>
      </c>
      <c r="Q202" s="15" t="s">
        <v>204</v>
      </c>
    </row>
    <row r="203" spans="3:21">
      <c r="C203" s="15" t="s">
        <v>13</v>
      </c>
      <c r="D203" s="15" t="s">
        <v>14</v>
      </c>
      <c r="E203" s="15" t="s">
        <v>15</v>
      </c>
      <c r="F203" s="15" t="s">
        <v>16</v>
      </c>
      <c r="G203" s="15" t="s">
        <v>212</v>
      </c>
      <c r="H203" s="15" t="s">
        <v>226</v>
      </c>
      <c r="J203" s="15" t="s">
        <v>210</v>
      </c>
      <c r="L203" s="15" t="s">
        <v>212</v>
      </c>
      <c r="O203" s="15" t="s">
        <v>214</v>
      </c>
      <c r="Q203" s="15" t="s">
        <v>217</v>
      </c>
      <c r="T203" s="15" t="s">
        <v>112</v>
      </c>
      <c r="U203" s="15" t="s">
        <v>271</v>
      </c>
    </row>
    <row r="204" spans="3:21">
      <c r="C204" s="15" t="s">
        <v>234</v>
      </c>
      <c r="D204" s="15" t="s">
        <v>272</v>
      </c>
      <c r="E204" s="15" t="s">
        <v>273</v>
      </c>
      <c r="F204" s="15">
        <v>200.31780000000001</v>
      </c>
      <c r="G204" s="27"/>
      <c r="H204" s="27"/>
      <c r="I204" s="27"/>
      <c r="J204" s="27"/>
      <c r="K204" s="27"/>
      <c r="L204" s="27"/>
      <c r="M204" s="27"/>
      <c r="N204" s="27"/>
      <c r="O204" s="27" t="s">
        <v>233</v>
      </c>
      <c r="P204" s="27"/>
      <c r="Q204" s="22">
        <v>2.6690387467161424E-2</v>
      </c>
      <c r="R204" s="22">
        <f>Q204/$Q$209</f>
        <v>2.6690387467161413E-2</v>
      </c>
      <c r="S204" s="15">
        <f>AVERAGE(I204,K204,N204,P204,R204)</f>
        <v>2.6690387467161413E-2</v>
      </c>
      <c r="T204" s="22">
        <f>S204/$S$209</f>
        <v>2.6690387467161417E-2</v>
      </c>
      <c r="U204" s="15">
        <f>T204*F204</f>
        <v>5.3465596985693473</v>
      </c>
    </row>
    <row r="205" spans="3:21">
      <c r="C205" s="15" t="s">
        <v>237</v>
      </c>
      <c r="D205" s="15" t="s">
        <v>643</v>
      </c>
      <c r="E205" s="15" t="s">
        <v>279</v>
      </c>
      <c r="F205" s="15">
        <v>214.34</v>
      </c>
      <c r="G205" s="27"/>
      <c r="H205" s="27"/>
      <c r="I205" s="27"/>
      <c r="J205" s="27"/>
      <c r="K205" s="27"/>
      <c r="L205" s="27"/>
      <c r="M205" s="27"/>
      <c r="N205" s="27"/>
      <c r="O205" s="27" t="s">
        <v>233</v>
      </c>
      <c r="P205" s="27"/>
      <c r="Q205" s="22">
        <v>2.6690387467161424E-2</v>
      </c>
      <c r="R205" s="22">
        <f>Q205/$Q$209</f>
        <v>2.6690387467161413E-2</v>
      </c>
      <c r="S205" s="15">
        <f>AVERAGE(I205,K205,N205,P205,R205)</f>
        <v>2.6690387467161413E-2</v>
      </c>
      <c r="T205" s="22">
        <f>S205/$S$209</f>
        <v>2.6690387467161417E-2</v>
      </c>
      <c r="U205" s="15">
        <f>T205*F205</f>
        <v>5.7208176497113783</v>
      </c>
    </row>
    <row r="206" spans="3:21">
      <c r="C206" s="15" t="s">
        <v>235</v>
      </c>
      <c r="D206" s="15" t="s">
        <v>276</v>
      </c>
      <c r="E206" s="15" t="s">
        <v>277</v>
      </c>
      <c r="F206" s="15">
        <v>269.44</v>
      </c>
      <c r="G206" s="27"/>
      <c r="H206" s="27"/>
      <c r="I206" s="27"/>
      <c r="J206" s="27"/>
      <c r="K206" s="27"/>
      <c r="L206" s="27"/>
      <c r="M206" s="27"/>
      <c r="N206" s="27"/>
      <c r="O206" s="27" t="s">
        <v>233</v>
      </c>
      <c r="P206" s="27"/>
      <c r="Q206" s="22">
        <v>0.68332731339499853</v>
      </c>
      <c r="R206" s="22">
        <f>Q206/$Q$209</f>
        <v>0.68332731339499819</v>
      </c>
      <c r="S206" s="15">
        <f>AVERAGE(I206,K206,N206,P206,R206)</f>
        <v>0.68332731339499819</v>
      </c>
      <c r="T206" s="22">
        <f>S206/$S$209</f>
        <v>0.6833273133949983</v>
      </c>
      <c r="U206" s="15">
        <f>T206*F206</f>
        <v>184.11571132114835</v>
      </c>
    </row>
    <row r="207" spans="3:21">
      <c r="C207" s="15" t="s">
        <v>39</v>
      </c>
      <c r="D207" s="15" t="s">
        <v>55</v>
      </c>
      <c r="E207" s="15" t="s">
        <v>56</v>
      </c>
      <c r="F207" s="15">
        <v>282.46140000000003</v>
      </c>
      <c r="G207" s="27"/>
      <c r="H207" s="27"/>
      <c r="I207" s="27"/>
      <c r="J207" s="27"/>
      <c r="K207" s="27"/>
      <c r="L207" s="27"/>
      <c r="M207" s="27"/>
      <c r="N207" s="27"/>
      <c r="O207" s="27" t="s">
        <v>233</v>
      </c>
      <c r="P207" s="27"/>
      <c r="Q207" s="22">
        <f>0.263291911670679/2</f>
        <v>0.1316459558353395</v>
      </c>
      <c r="R207" s="22">
        <f>Q207/$Q$209</f>
        <v>0.13164595583533945</v>
      </c>
      <c r="S207" s="15">
        <f>AVERAGE(I207,K207,N207,P207,R207)</f>
        <v>0.13164595583533945</v>
      </c>
      <c r="T207" s="22">
        <f>S207/$S$209</f>
        <v>0.13164595583533947</v>
      </c>
      <c r="U207" s="15">
        <f>T207*F207</f>
        <v>37.184900989588158</v>
      </c>
    </row>
    <row r="208" spans="3:21">
      <c r="C208" s="15" t="s">
        <v>156</v>
      </c>
      <c r="D208" s="15" t="s">
        <v>274</v>
      </c>
      <c r="E208" s="15" t="s">
        <v>56</v>
      </c>
      <c r="F208" s="15">
        <v>282.46140000000003</v>
      </c>
      <c r="G208" s="27"/>
      <c r="H208" s="27"/>
      <c r="I208" s="27"/>
      <c r="J208" s="27"/>
      <c r="K208" s="27"/>
      <c r="L208" s="27"/>
      <c r="M208" s="27"/>
      <c r="N208" s="27"/>
      <c r="O208" s="27" t="s">
        <v>233</v>
      </c>
      <c r="P208" s="27"/>
      <c r="Q208" s="22">
        <f>0.263291911670679/2</f>
        <v>0.1316459558353395</v>
      </c>
      <c r="R208" s="22">
        <f>Q208/$Q$209</f>
        <v>0.13164595583533945</v>
      </c>
      <c r="S208" s="15">
        <f>AVERAGE(I208,K208,N208,P208,R208)</f>
        <v>0.13164595583533945</v>
      </c>
      <c r="T208" s="22">
        <f>S208/$S$209</f>
        <v>0.13164595583533947</v>
      </c>
      <c r="U208" s="15">
        <f>T208*F208</f>
        <v>37.184900989588158</v>
      </c>
    </row>
    <row r="209" spans="3:21">
      <c r="C209" s="15" t="s">
        <v>17</v>
      </c>
      <c r="D209" s="15" t="s">
        <v>18</v>
      </c>
      <c r="E209" s="15" t="s">
        <v>18</v>
      </c>
      <c r="F209" s="15">
        <f t="shared" ref="F209:M209" si="86">SUM(F204:F208)</f>
        <v>1249.0206000000001</v>
      </c>
      <c r="G209" s="15">
        <f t="shared" si="86"/>
        <v>0</v>
      </c>
      <c r="H209" s="15">
        <f t="shared" si="86"/>
        <v>0</v>
      </c>
      <c r="I209" s="15">
        <f t="shared" si="86"/>
        <v>0</v>
      </c>
      <c r="J209" s="15">
        <f t="shared" si="86"/>
        <v>0</v>
      </c>
      <c r="K209" s="15">
        <f t="shared" si="86"/>
        <v>0</v>
      </c>
      <c r="L209" s="15">
        <f t="shared" si="86"/>
        <v>0</v>
      </c>
      <c r="M209" s="15">
        <f t="shared" si="86"/>
        <v>0</v>
      </c>
      <c r="O209" s="15">
        <f t="shared" ref="O209:U209" si="87">SUM(O204:O208)</f>
        <v>0</v>
      </c>
      <c r="P209" s="15">
        <f t="shared" si="87"/>
        <v>0</v>
      </c>
      <c r="Q209" s="15">
        <f t="shared" si="87"/>
        <v>1.0000000000000004</v>
      </c>
      <c r="R209" s="15">
        <f t="shared" si="87"/>
        <v>0.99999999999999989</v>
      </c>
      <c r="S209" s="15">
        <f t="shared" si="87"/>
        <v>0.99999999999999989</v>
      </c>
      <c r="T209" s="15">
        <f t="shared" si="87"/>
        <v>1</v>
      </c>
      <c r="U209" s="15">
        <f t="shared" si="87"/>
        <v>269.5528906486054</v>
      </c>
    </row>
    <row r="213" spans="3:21">
      <c r="C213" s="15" t="s">
        <v>27</v>
      </c>
      <c r="G213" s="15" t="s">
        <v>189</v>
      </c>
      <c r="J213" s="15" t="s">
        <v>191</v>
      </c>
      <c r="L213" s="15" t="s">
        <v>195</v>
      </c>
      <c r="O213" s="15" t="s">
        <v>196</v>
      </c>
      <c r="Q213" s="15" t="s">
        <v>204</v>
      </c>
    </row>
    <row r="214" spans="3:21">
      <c r="C214" s="15" t="s">
        <v>13</v>
      </c>
      <c r="D214" s="15" t="s">
        <v>14</v>
      </c>
      <c r="E214" s="15" t="s">
        <v>15</v>
      </c>
      <c r="F214" s="15" t="s">
        <v>16</v>
      </c>
      <c r="G214" s="15" t="s">
        <v>212</v>
      </c>
      <c r="H214" s="15" t="s">
        <v>226</v>
      </c>
      <c r="J214" s="15" t="s">
        <v>210</v>
      </c>
      <c r="L214" s="15" t="s">
        <v>212</v>
      </c>
      <c r="O214" s="15" t="s">
        <v>214</v>
      </c>
      <c r="Q214" s="15" t="s">
        <v>217</v>
      </c>
      <c r="T214" s="15" t="s">
        <v>112</v>
      </c>
      <c r="U214" s="15" t="s">
        <v>271</v>
      </c>
    </row>
    <row r="215" spans="3:21">
      <c r="C215" s="15" t="s">
        <v>235</v>
      </c>
      <c r="D215" s="15" t="s">
        <v>276</v>
      </c>
      <c r="E215" s="15" t="s">
        <v>277</v>
      </c>
      <c r="F215" s="15">
        <v>269.44</v>
      </c>
      <c r="G215" s="27"/>
      <c r="H215" s="27"/>
      <c r="I215" s="27"/>
      <c r="J215" s="27"/>
      <c r="K215" s="27"/>
      <c r="L215" s="27"/>
      <c r="M215" s="27"/>
      <c r="N215" s="27"/>
      <c r="O215" s="27" t="s">
        <v>233</v>
      </c>
      <c r="P215" s="27"/>
      <c r="Q215" s="22">
        <v>0.8711935828954398</v>
      </c>
      <c r="R215" s="22">
        <f>Q215/$Q$219</f>
        <v>0.8711935828954398</v>
      </c>
      <c r="S215" s="15">
        <f>AVERAGE(I215,K215,M215,P215,R215)</f>
        <v>0.8711935828954398</v>
      </c>
      <c r="T215" s="22">
        <f>S215/$S$219</f>
        <v>0.8711935828954398</v>
      </c>
      <c r="U215" s="15">
        <f>T215*F215</f>
        <v>234.73439897534729</v>
      </c>
    </row>
    <row r="216" spans="3:21">
      <c r="C216" s="15" t="s">
        <v>281</v>
      </c>
      <c r="D216" s="15" t="s">
        <v>276</v>
      </c>
      <c r="E216" s="15" t="s">
        <v>277</v>
      </c>
      <c r="F216" s="15">
        <v>268.4348</v>
      </c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2">
        <v>3.0084700280645808E-2</v>
      </c>
      <c r="R216" s="22">
        <f>Q216/$Q$219</f>
        <v>3.0084700280645808E-2</v>
      </c>
      <c r="S216" s="15">
        <f>AVERAGE(I216,K216,M216,P216,R216)</f>
        <v>3.0084700280645808E-2</v>
      </c>
      <c r="T216" s="22">
        <f>S216/$S$219</f>
        <v>3.0084700280645808E-2</v>
      </c>
      <c r="U216" s="15">
        <f>T216*F216</f>
        <v>8.0757805028951015</v>
      </c>
    </row>
    <row r="217" spans="3:21">
      <c r="C217" s="15" t="s">
        <v>39</v>
      </c>
      <c r="D217" s="15" t="s">
        <v>55</v>
      </c>
      <c r="E217" s="15" t="s">
        <v>56</v>
      </c>
      <c r="F217" s="15">
        <v>282.46140000000003</v>
      </c>
      <c r="G217" s="27"/>
      <c r="H217" s="27"/>
      <c r="I217" s="27"/>
      <c r="J217" s="27"/>
      <c r="K217" s="27"/>
      <c r="L217" s="27"/>
      <c r="M217" s="27"/>
      <c r="N217" s="27"/>
      <c r="O217" s="27" t="s">
        <v>233</v>
      </c>
      <c r="P217" s="27"/>
      <c r="Q217" s="22">
        <f>0.0987217168239144/2</f>
        <v>4.9360858411957198E-2</v>
      </c>
      <c r="R217" s="22">
        <f>Q217/$Q$219</f>
        <v>4.9360858411957198E-2</v>
      </c>
      <c r="S217" s="15">
        <f>AVERAGE(I217,K217,M217,P217,R217)</f>
        <v>4.9360858411957198E-2</v>
      </c>
      <c r="T217" s="22">
        <f>S217/$S$219</f>
        <v>4.9360858411957198E-2</v>
      </c>
      <c r="U217" s="15">
        <f>T217*F217</f>
        <v>13.942537172243208</v>
      </c>
    </row>
    <row r="218" spans="3:21">
      <c r="C218" s="15" t="s">
        <v>156</v>
      </c>
      <c r="D218" s="15" t="s">
        <v>274</v>
      </c>
      <c r="E218" s="15" t="s">
        <v>56</v>
      </c>
      <c r="F218" s="15">
        <v>282.46140000000003</v>
      </c>
      <c r="G218" s="27"/>
      <c r="H218" s="27"/>
      <c r="I218" s="27"/>
      <c r="J218" s="27"/>
      <c r="K218" s="27"/>
      <c r="L218" s="27"/>
      <c r="M218" s="27"/>
      <c r="N218" s="27"/>
      <c r="O218" s="27" t="s">
        <v>233</v>
      </c>
      <c r="P218" s="27"/>
      <c r="Q218" s="22">
        <f>0.0987217168239144/2</f>
        <v>4.9360858411957198E-2</v>
      </c>
      <c r="R218" s="22">
        <f>Q218/$Q$219</f>
        <v>4.9360858411957198E-2</v>
      </c>
      <c r="S218" s="15">
        <f>AVERAGE(I218,K218,M218,P218,R218)</f>
        <v>4.9360858411957198E-2</v>
      </c>
      <c r="T218" s="22">
        <f>S218/$S$219</f>
        <v>4.9360858411957198E-2</v>
      </c>
      <c r="U218" s="15">
        <f>T218*F218</f>
        <v>13.942537172243208</v>
      </c>
    </row>
    <row r="219" spans="3:21">
      <c r="C219" s="15" t="s">
        <v>17</v>
      </c>
      <c r="D219" s="15" t="s">
        <v>18</v>
      </c>
      <c r="E219" s="15" t="s">
        <v>18</v>
      </c>
      <c r="F219" s="15">
        <f t="shared" ref="F219:M219" si="88">SUM(F215:F218)</f>
        <v>1102.7976000000001</v>
      </c>
      <c r="G219" s="15">
        <f t="shared" si="88"/>
        <v>0</v>
      </c>
      <c r="H219" s="15">
        <f t="shared" si="88"/>
        <v>0</v>
      </c>
      <c r="I219" s="15">
        <f t="shared" si="88"/>
        <v>0</v>
      </c>
      <c r="J219" s="15">
        <f t="shared" si="88"/>
        <v>0</v>
      </c>
      <c r="K219" s="15">
        <f t="shared" si="88"/>
        <v>0</v>
      </c>
      <c r="L219" s="15">
        <f t="shared" si="88"/>
        <v>0</v>
      </c>
      <c r="M219" s="15">
        <f t="shared" si="88"/>
        <v>0</v>
      </c>
      <c r="O219" s="15">
        <f t="shared" ref="O219:U219" si="89">SUM(O215:O218)</f>
        <v>0</v>
      </c>
      <c r="P219" s="15">
        <f t="shared" si="89"/>
        <v>0</v>
      </c>
      <c r="Q219" s="15">
        <f t="shared" si="89"/>
        <v>1</v>
      </c>
      <c r="R219" s="15">
        <f t="shared" si="89"/>
        <v>1</v>
      </c>
      <c r="S219" s="15">
        <f t="shared" si="89"/>
        <v>1</v>
      </c>
      <c r="T219" s="15">
        <f t="shared" si="89"/>
        <v>1</v>
      </c>
      <c r="U219" s="15">
        <f t="shared" si="89"/>
        <v>270.69525382272877</v>
      </c>
    </row>
    <row r="222" spans="3:21">
      <c r="C222" s="15" t="s">
        <v>155</v>
      </c>
      <c r="G222" s="15" t="s">
        <v>189</v>
      </c>
      <c r="J222" s="15" t="s">
        <v>191</v>
      </c>
      <c r="L222" s="15" t="s">
        <v>195</v>
      </c>
      <c r="O222" s="15" t="s">
        <v>196</v>
      </c>
      <c r="Q222" s="15" t="s">
        <v>204</v>
      </c>
    </row>
    <row r="223" spans="3:21">
      <c r="C223" s="15" t="s">
        <v>13</v>
      </c>
      <c r="D223" s="15" t="s">
        <v>14</v>
      </c>
      <c r="E223" s="15" t="s">
        <v>15</v>
      </c>
      <c r="F223" s="15" t="s">
        <v>16</v>
      </c>
      <c r="G223" s="15" t="s">
        <v>212</v>
      </c>
      <c r="H223" s="15" t="s">
        <v>226</v>
      </c>
      <c r="J223" s="15" t="s">
        <v>210</v>
      </c>
      <c r="L223" s="15" t="s">
        <v>212</v>
      </c>
      <c r="O223" s="15" t="s">
        <v>214</v>
      </c>
      <c r="Q223" s="15" t="s">
        <v>217</v>
      </c>
      <c r="T223" s="15" t="s">
        <v>112</v>
      </c>
      <c r="U223" s="15" t="s">
        <v>271</v>
      </c>
    </row>
    <row r="224" spans="3:21">
      <c r="C224" s="15" t="s">
        <v>35</v>
      </c>
      <c r="D224" s="15" t="s">
        <v>46</v>
      </c>
      <c r="E224" s="15" t="s">
        <v>47</v>
      </c>
      <c r="F224" s="15">
        <v>228.37090000000001</v>
      </c>
      <c r="G224" s="22">
        <v>19.886666666666667</v>
      </c>
      <c r="H224" s="22">
        <f t="shared" ref="H224:H233" si="90">G224/F224*$G$18</f>
        <v>3.91136864538248E-4</v>
      </c>
      <c r="I224" s="22">
        <f t="shared" ref="I224:I233" si="91">H224/$H$236</f>
        <v>0.22843320949907625</v>
      </c>
      <c r="J224" s="27"/>
      <c r="K224" s="27"/>
      <c r="L224" s="22">
        <v>4.8899999999999997</v>
      </c>
      <c r="M224" s="22">
        <f t="shared" ref="M224:M235" si="92">L224/F224*$M$28</f>
        <v>7.6442751681584636E-5</v>
      </c>
      <c r="N224" s="22">
        <f t="shared" ref="N224:N235" si="93">M224/$M$236</f>
        <v>6.392509029041879E-2</v>
      </c>
      <c r="O224" s="27" t="s">
        <v>233</v>
      </c>
      <c r="P224" s="27"/>
      <c r="Q224" s="27"/>
      <c r="R224" s="27"/>
      <c r="S224" s="15">
        <f>AVERAGE(I224,K224,N224,P224,R224)</f>
        <v>0.14617914989474751</v>
      </c>
      <c r="T224" s="22">
        <f>S224/$S$236</f>
        <v>0.14617914989474751</v>
      </c>
      <c r="U224" s="15">
        <f>T224*F224</f>
        <v>33.383064022698392</v>
      </c>
    </row>
    <row r="225" spans="3:22">
      <c r="C225" s="15" t="s">
        <v>36</v>
      </c>
      <c r="D225" s="15" t="s">
        <v>48</v>
      </c>
      <c r="E225" s="15" t="s">
        <v>49</v>
      </c>
      <c r="F225" s="15">
        <v>256.42410000000001</v>
      </c>
      <c r="G225" s="22">
        <v>30.516666666666669</v>
      </c>
      <c r="H225" s="22">
        <f t="shared" si="90"/>
        <v>5.3454684814900177E-4</v>
      </c>
      <c r="I225" s="22">
        <f t="shared" si="91"/>
        <v>0.31218804265469907</v>
      </c>
      <c r="J225" s="27"/>
      <c r="K225" s="27"/>
      <c r="L225" s="22">
        <v>9.0500000000000007</v>
      </c>
      <c r="M225" s="22">
        <f t="shared" si="92"/>
        <v>1.2599634745720078E-4</v>
      </c>
      <c r="N225" s="22">
        <f t="shared" si="93"/>
        <v>0.10536418051791374</v>
      </c>
      <c r="O225" s="27" t="s">
        <v>233</v>
      </c>
      <c r="P225" s="27"/>
      <c r="Q225" s="27"/>
      <c r="R225" s="27"/>
      <c r="S225" s="15">
        <f t="shared" ref="S225:S234" si="94">AVERAGE(I225,K225,N225,P225,R225)</f>
        <v>0.20877611158630641</v>
      </c>
      <c r="T225" s="22">
        <f t="shared" ref="T225:T235" si="95">S225/$S$236</f>
        <v>0.20877611158630641</v>
      </c>
      <c r="U225" s="15">
        <f t="shared" ref="U225:U235" si="96">T225*F225</f>
        <v>53.535226515018195</v>
      </c>
    </row>
    <row r="226" spans="3:22">
      <c r="C226" s="15" t="s">
        <v>213</v>
      </c>
      <c r="D226" s="15" t="s">
        <v>50</v>
      </c>
      <c r="E226" s="15" t="s">
        <v>51</v>
      </c>
      <c r="F226" s="15">
        <v>254.40819999999999</v>
      </c>
      <c r="G226" s="22">
        <v>6.4533333333333331</v>
      </c>
      <c r="H226" s="22">
        <f t="shared" si="90"/>
        <v>1.1393588029875696E-4</v>
      </c>
      <c r="I226" s="22">
        <f t="shared" si="91"/>
        <v>6.6541257481503774E-2</v>
      </c>
      <c r="J226" s="27"/>
      <c r="K226" s="27"/>
      <c r="L226" s="22">
        <v>3.29</v>
      </c>
      <c r="M226" s="22">
        <f t="shared" si="92"/>
        <v>4.6167143983566566E-5</v>
      </c>
      <c r="N226" s="22">
        <f t="shared" si="93"/>
        <v>3.8607177040059677E-2</v>
      </c>
      <c r="O226" s="27" t="s">
        <v>233</v>
      </c>
      <c r="P226" s="27"/>
      <c r="Q226" s="27"/>
      <c r="R226" s="27"/>
      <c r="S226" s="15">
        <f t="shared" si="94"/>
        <v>5.2574217260781722E-2</v>
      </c>
      <c r="T226" s="22">
        <f t="shared" si="95"/>
        <v>5.2574217260781722E-2</v>
      </c>
      <c r="U226" s="15">
        <f t="shared" si="96"/>
        <v>13.375311979724408</v>
      </c>
    </row>
    <row r="227" spans="3:22">
      <c r="C227" s="15" t="s">
        <v>45</v>
      </c>
      <c r="D227" s="15" t="s">
        <v>53</v>
      </c>
      <c r="E227" s="15" t="s">
        <v>54</v>
      </c>
      <c r="F227" s="15">
        <v>284.47719999999998</v>
      </c>
      <c r="G227" s="22">
        <v>6.4966666666666661</v>
      </c>
      <c r="H227" s="22">
        <f t="shared" si="90"/>
        <v>1.0257715244353892E-4</v>
      </c>
      <c r="I227" s="22">
        <f t="shared" si="91"/>
        <v>5.9907490902490125E-2</v>
      </c>
      <c r="J227" s="27"/>
      <c r="K227" s="27"/>
      <c r="L227" s="22">
        <v>3.78</v>
      </c>
      <c r="M227" s="22">
        <f t="shared" si="92"/>
        <v>4.7436490516638942E-5</v>
      </c>
      <c r="N227" s="22">
        <f t="shared" si="93"/>
        <v>3.9668665408171752E-2</v>
      </c>
      <c r="O227" s="27" t="s">
        <v>233</v>
      </c>
      <c r="P227" s="27"/>
      <c r="Q227" s="27"/>
      <c r="R227" s="27"/>
      <c r="S227" s="15">
        <f t="shared" si="94"/>
        <v>4.9788078155330942E-2</v>
      </c>
      <c r="T227" s="22">
        <f t="shared" si="95"/>
        <v>4.9788078155330942E-2</v>
      </c>
      <c r="U227" s="15">
        <f t="shared" si="96"/>
        <v>14.163573067009711</v>
      </c>
    </row>
    <row r="228" spans="3:22">
      <c r="C228" s="15" t="s">
        <v>39</v>
      </c>
      <c r="D228" s="15" t="s">
        <v>55</v>
      </c>
      <c r="E228" s="15" t="s">
        <v>56</v>
      </c>
      <c r="F228" s="15">
        <v>282.46140000000003</v>
      </c>
      <c r="G228" s="22">
        <v>4.9799999999999995</v>
      </c>
      <c r="H228" s="22">
        <f t="shared" si="90"/>
        <v>7.9191351455455499E-5</v>
      </c>
      <c r="I228" s="22">
        <f t="shared" si="91"/>
        <v>4.6249628244310087E-2</v>
      </c>
      <c r="J228" s="27"/>
      <c r="K228" s="27"/>
      <c r="L228" s="22">
        <v>4.0999999999999996</v>
      </c>
      <c r="M228" s="22">
        <f t="shared" si="92"/>
        <v>5.1819469846145334E-5</v>
      </c>
      <c r="N228" s="22">
        <f t="shared" si="93"/>
        <v>4.3333922652531678E-2</v>
      </c>
      <c r="O228" s="27" t="s">
        <v>233</v>
      </c>
      <c r="P228" s="27"/>
      <c r="Q228" s="27"/>
      <c r="R228" s="27"/>
      <c r="S228" s="15">
        <f t="shared" si="94"/>
        <v>4.4791775448420883E-2</v>
      </c>
      <c r="T228" s="22">
        <f t="shared" si="95"/>
        <v>4.4791775448420883E-2</v>
      </c>
      <c r="U228" s="15">
        <f t="shared" si="96"/>
        <v>12.651947601646592</v>
      </c>
    </row>
    <row r="229" spans="3:22">
      <c r="C229" s="15" t="s">
        <v>156</v>
      </c>
      <c r="D229" s="15" t="s">
        <v>55</v>
      </c>
      <c r="E229" s="15" t="s">
        <v>56</v>
      </c>
      <c r="F229" s="15">
        <v>282.46140000000003</v>
      </c>
      <c r="G229" s="22">
        <v>2.12</v>
      </c>
      <c r="H229" s="22">
        <f t="shared" si="90"/>
        <v>3.3711980940876639E-5</v>
      </c>
      <c r="I229" s="22">
        <f t="shared" si="91"/>
        <v>1.9688596762638028E-2</v>
      </c>
      <c r="J229" s="27"/>
      <c r="K229" s="27"/>
      <c r="L229" s="22">
        <v>2.57</v>
      </c>
      <c r="M229" s="22">
        <f t="shared" si="92"/>
        <v>3.2481960366974025E-5</v>
      </c>
      <c r="N229" s="22">
        <f t="shared" si="93"/>
        <v>2.7162971028538149E-2</v>
      </c>
      <c r="O229" s="27" t="s">
        <v>233</v>
      </c>
      <c r="P229" s="27"/>
      <c r="Q229" s="27"/>
      <c r="R229" s="27"/>
      <c r="S229" s="15">
        <f>AVERAGE(I229,K229,N229,P229,R229)</f>
        <v>2.3425783895588088E-2</v>
      </c>
      <c r="T229" s="22">
        <f t="shared" si="95"/>
        <v>2.3425783895588088E-2</v>
      </c>
      <c r="U229" s="15">
        <f t="shared" si="96"/>
        <v>6.6168797152452656</v>
      </c>
    </row>
    <row r="230" spans="3:22">
      <c r="C230" s="15" t="s">
        <v>40</v>
      </c>
      <c r="D230" s="15" t="s">
        <v>57</v>
      </c>
      <c r="E230" s="15" t="s">
        <v>58</v>
      </c>
      <c r="F230" s="15">
        <v>280.44549999999998</v>
      </c>
      <c r="G230" s="22">
        <v>5.9499999999999993</v>
      </c>
      <c r="H230" s="22">
        <f t="shared" si="90"/>
        <v>9.5296293456898623E-5</v>
      </c>
      <c r="I230" s="22">
        <f t="shared" si="91"/>
        <v>5.5655296499408501E-2</v>
      </c>
      <c r="J230" s="27"/>
      <c r="K230" s="27"/>
      <c r="L230" s="22">
        <v>0</v>
      </c>
      <c r="M230" s="22">
        <f t="shared" si="92"/>
        <v>0</v>
      </c>
      <c r="N230" s="22">
        <f t="shared" si="93"/>
        <v>0</v>
      </c>
      <c r="O230" s="27" t="s">
        <v>233</v>
      </c>
      <c r="P230" s="27"/>
      <c r="Q230" s="27"/>
      <c r="R230" s="27"/>
      <c r="S230" s="15">
        <f t="shared" si="94"/>
        <v>2.782764824970425E-2</v>
      </c>
      <c r="T230" s="22">
        <f t="shared" si="95"/>
        <v>2.782764824970425E-2</v>
      </c>
      <c r="U230" s="15">
        <f t="shared" si="96"/>
        <v>7.8041387272124325</v>
      </c>
    </row>
    <row r="231" spans="3:22">
      <c r="C231" s="15" t="s">
        <v>209</v>
      </c>
      <c r="D231" s="15" t="s">
        <v>225</v>
      </c>
      <c r="E231" s="15" t="s">
        <v>60</v>
      </c>
      <c r="F231" s="15">
        <v>278.42959999999999</v>
      </c>
      <c r="G231" s="22">
        <v>3.6933333333333334</v>
      </c>
      <c r="H231" s="22">
        <f t="shared" si="90"/>
        <v>5.9581388696540243E-5</v>
      </c>
      <c r="I231" s="22">
        <f t="shared" si="91"/>
        <v>3.4796944702285296E-2</v>
      </c>
      <c r="J231" s="27"/>
      <c r="K231" s="27"/>
      <c r="L231" s="22">
        <v>1.88</v>
      </c>
      <c r="M231" s="22">
        <f t="shared" si="92"/>
        <v>2.4105195711950166E-5</v>
      </c>
      <c r="N231" s="22">
        <f t="shared" si="93"/>
        <v>2.0157919206954002E-2</v>
      </c>
      <c r="O231" s="27" t="s">
        <v>233</v>
      </c>
      <c r="P231" s="27"/>
      <c r="Q231" s="27"/>
      <c r="R231" s="27"/>
      <c r="S231" s="15">
        <f t="shared" si="94"/>
        <v>2.7477431954619651E-2</v>
      </c>
      <c r="T231" s="22">
        <f t="shared" si="95"/>
        <v>2.7477431954619651E-2</v>
      </c>
      <c r="U231" s="15">
        <f t="shared" si="96"/>
        <v>7.6505303881519673</v>
      </c>
    </row>
    <row r="232" spans="3:22">
      <c r="C232" s="15" t="s">
        <v>157</v>
      </c>
      <c r="D232" s="15" t="s">
        <v>59</v>
      </c>
      <c r="E232" s="15" t="s">
        <v>60</v>
      </c>
      <c r="F232" s="15">
        <v>278.42959999999999</v>
      </c>
      <c r="G232" s="22">
        <v>0</v>
      </c>
      <c r="H232" s="22">
        <f t="shared" si="90"/>
        <v>0</v>
      </c>
      <c r="I232" s="22">
        <f t="shared" si="91"/>
        <v>0</v>
      </c>
      <c r="J232" s="27"/>
      <c r="K232" s="27"/>
      <c r="L232" s="22">
        <v>3.82</v>
      </c>
      <c r="M232" s="22">
        <f t="shared" si="92"/>
        <v>4.8979706180664699E-5</v>
      </c>
      <c r="N232" s="22">
        <f t="shared" si="93"/>
        <v>4.0959176260938451E-2</v>
      </c>
      <c r="O232" s="27" t="s">
        <v>233</v>
      </c>
      <c r="P232" s="27"/>
      <c r="Q232" s="27"/>
      <c r="R232" s="27"/>
      <c r="S232" s="15">
        <f>AVERAGE(I232,K232,N232,P232,R232)</f>
        <v>2.0479588130469226E-2</v>
      </c>
      <c r="T232" s="22">
        <f t="shared" si="95"/>
        <v>2.0479588130469226E-2</v>
      </c>
      <c r="U232" s="15">
        <f t="shared" si="96"/>
        <v>5.7021235313312939</v>
      </c>
    </row>
    <row r="233" spans="3:22">
      <c r="C233" s="28" t="s">
        <v>158</v>
      </c>
      <c r="D233" s="15" t="s">
        <v>218</v>
      </c>
      <c r="E233" s="15" t="s">
        <v>219</v>
      </c>
      <c r="F233" s="15">
        <v>276.41370000000001</v>
      </c>
      <c r="G233" s="22">
        <v>0</v>
      </c>
      <c r="H233" s="22">
        <f t="shared" si="90"/>
        <v>0</v>
      </c>
      <c r="I233" s="22">
        <f t="shared" si="91"/>
        <v>0</v>
      </c>
      <c r="J233" s="27"/>
      <c r="K233" s="27"/>
      <c r="L233" s="22">
        <v>6.31</v>
      </c>
      <c r="M233" s="22">
        <f t="shared" si="92"/>
        <v>8.149632236028821E-5</v>
      </c>
      <c r="N233" s="22">
        <f t="shared" si="93"/>
        <v>6.8151128139903525E-2</v>
      </c>
      <c r="O233" s="27" t="s">
        <v>233</v>
      </c>
      <c r="P233" s="27"/>
      <c r="Q233" s="27"/>
      <c r="R233" s="27"/>
      <c r="S233" s="15">
        <f>AVERAGE(I233,K233,N233,P233,R233)</f>
        <v>3.4075564069951762E-2</v>
      </c>
      <c r="T233" s="22">
        <f t="shared" si="95"/>
        <v>3.4075564069951762E-2</v>
      </c>
      <c r="U233" s="15">
        <f t="shared" si="96"/>
        <v>9.418952744162425</v>
      </c>
      <c r="V233" s="15" t="s">
        <v>644</v>
      </c>
    </row>
    <row r="234" spans="3:22">
      <c r="C234" s="15" t="s">
        <v>44</v>
      </c>
      <c r="D234" s="15" t="s">
        <v>65</v>
      </c>
      <c r="E234" s="15" t="s">
        <v>66</v>
      </c>
      <c r="F234" s="15">
        <v>302.45100000000002</v>
      </c>
      <c r="G234" s="22">
        <v>2.6333333333333333</v>
      </c>
      <c r="H234" s="22">
        <f>G234/F234*$G$18</f>
        <v>3.9107344844472507E-5</v>
      </c>
      <c r="I234" s="22">
        <f>H234/$H$236</f>
        <v>2.2839617299576828E-2</v>
      </c>
      <c r="J234" s="27"/>
      <c r="K234" s="27"/>
      <c r="L234" s="22">
        <v>5.82</v>
      </c>
      <c r="M234" s="22">
        <f t="shared" si="92"/>
        <v>6.8696747572334028E-5</v>
      </c>
      <c r="N234" s="22">
        <f t="shared" si="93"/>
        <v>5.7447510648383389E-2</v>
      </c>
      <c r="O234" s="27" t="s">
        <v>233</v>
      </c>
      <c r="P234" s="27"/>
      <c r="Q234" s="27"/>
      <c r="R234" s="27"/>
      <c r="S234" s="15">
        <f t="shared" si="94"/>
        <v>4.0143563973980112E-2</v>
      </c>
      <c r="T234" s="22">
        <f t="shared" si="95"/>
        <v>4.0143563973980112E-2</v>
      </c>
      <c r="U234" s="15">
        <f t="shared" si="96"/>
        <v>12.14146106749426</v>
      </c>
    </row>
    <row r="235" spans="3:22">
      <c r="C235" s="15" t="s">
        <v>159</v>
      </c>
      <c r="D235" s="15" t="s">
        <v>223</v>
      </c>
      <c r="E235" s="15" t="s">
        <v>224</v>
      </c>
      <c r="F235" s="15">
        <v>328.48829999999998</v>
      </c>
      <c r="G235" s="22">
        <v>19.246666666666666</v>
      </c>
      <c r="H235" s="22">
        <f>G235/F235*$G$18</f>
        <v>2.6317409512336087E-4</v>
      </c>
      <c r="I235" s="22">
        <f>H235/$H$236</f>
        <v>0.15369991595401206</v>
      </c>
      <c r="J235" s="27"/>
      <c r="K235" s="27"/>
      <c r="L235" s="22">
        <v>54.49</v>
      </c>
      <c r="M235" s="22">
        <f t="shared" si="92"/>
        <v>5.9219552111901708E-4</v>
      </c>
      <c r="N235" s="22">
        <f t="shared" si="93"/>
        <v>0.49522225880618681</v>
      </c>
      <c r="O235" s="27" t="s">
        <v>233</v>
      </c>
      <c r="P235" s="27"/>
      <c r="Q235" s="27"/>
      <c r="R235" s="27"/>
      <c r="S235" s="15">
        <f>AVERAGE(I235,K235,N235,P235,R235)</f>
        <v>0.32446108738009943</v>
      </c>
      <c r="T235" s="22">
        <f t="shared" si="95"/>
        <v>0.32446108738009943</v>
      </c>
      <c r="U235" s="15">
        <f t="shared" si="96"/>
        <v>106.58167100964032</v>
      </c>
    </row>
    <row r="236" spans="3:22">
      <c r="C236" s="15" t="s">
        <v>17</v>
      </c>
      <c r="D236" s="15" t="s">
        <v>18</v>
      </c>
      <c r="E236" s="15" t="s">
        <v>18</v>
      </c>
      <c r="F236" s="15">
        <f t="shared" ref="F236:U236" si="97">SUM(F224:F235)</f>
        <v>3333.2609000000002</v>
      </c>
      <c r="G236" s="15">
        <f t="shared" si="97"/>
        <v>101.97666666666669</v>
      </c>
      <c r="H236" s="15">
        <f t="shared" si="97"/>
        <v>1.71225919994715E-3</v>
      </c>
      <c r="I236" s="15">
        <f t="shared" si="97"/>
        <v>1</v>
      </c>
      <c r="J236" s="15">
        <f t="shared" si="97"/>
        <v>0</v>
      </c>
      <c r="K236" s="15">
        <f t="shared" si="97"/>
        <v>0</v>
      </c>
      <c r="L236" s="15">
        <f t="shared" si="97"/>
        <v>100</v>
      </c>
      <c r="M236" s="15">
        <f t="shared" si="97"/>
        <v>1.1958176567963645E-3</v>
      </c>
      <c r="N236" s="15">
        <f t="shared" si="97"/>
        <v>1</v>
      </c>
      <c r="O236" s="15">
        <f t="shared" si="97"/>
        <v>0</v>
      </c>
      <c r="P236" s="15">
        <f t="shared" si="97"/>
        <v>0</v>
      </c>
      <c r="Q236" s="15">
        <f t="shared" si="97"/>
        <v>0</v>
      </c>
      <c r="R236" s="15">
        <f t="shared" si="97"/>
        <v>0</v>
      </c>
      <c r="S236" s="15">
        <f t="shared" si="97"/>
        <v>1</v>
      </c>
      <c r="T236" s="15">
        <f t="shared" si="97"/>
        <v>1</v>
      </c>
      <c r="U236" s="15">
        <f t="shared" si="97"/>
        <v>283.02488036933528</v>
      </c>
    </row>
    <row r="239" spans="3:22">
      <c r="C239" s="15" t="s">
        <v>197</v>
      </c>
      <c r="G239" s="15" t="s">
        <v>189</v>
      </c>
      <c r="J239" s="15" t="s">
        <v>191</v>
      </c>
      <c r="L239" s="15" t="s">
        <v>195</v>
      </c>
      <c r="O239" s="15" t="s">
        <v>196</v>
      </c>
      <c r="Q239" s="15" t="s">
        <v>204</v>
      </c>
    </row>
    <row r="240" spans="3:22">
      <c r="C240" s="15" t="s">
        <v>13</v>
      </c>
      <c r="D240" s="15" t="s">
        <v>14</v>
      </c>
      <c r="E240" s="15" t="s">
        <v>15</v>
      </c>
      <c r="F240" s="15" t="s">
        <v>16</v>
      </c>
      <c r="G240" s="15" t="s">
        <v>212</v>
      </c>
      <c r="H240" s="15" t="s">
        <v>226</v>
      </c>
      <c r="J240" s="15" t="s">
        <v>210</v>
      </c>
      <c r="L240" s="15" t="s">
        <v>212</v>
      </c>
      <c r="O240" s="15" t="s">
        <v>214</v>
      </c>
      <c r="Q240" s="15" t="s">
        <v>217</v>
      </c>
      <c r="T240" s="15" t="s">
        <v>112</v>
      </c>
      <c r="U240" s="15" t="s">
        <v>271</v>
      </c>
    </row>
    <row r="241" spans="3:21">
      <c r="C241" s="15" t="s">
        <v>35</v>
      </c>
      <c r="D241" s="15" t="s">
        <v>46</v>
      </c>
      <c r="E241" s="15" t="s">
        <v>47</v>
      </c>
      <c r="F241" s="15">
        <v>228.37090000000001</v>
      </c>
      <c r="G241" s="27"/>
      <c r="H241" s="27"/>
      <c r="I241" s="27"/>
      <c r="J241" s="27"/>
      <c r="K241" s="27"/>
      <c r="L241" s="27"/>
      <c r="M241" s="27"/>
      <c r="N241" s="27"/>
      <c r="O241" s="22">
        <v>1.1000000000000001</v>
      </c>
      <c r="P241" s="22">
        <f>O241/$O$57</f>
        <v>1.1000000000000003E-2</v>
      </c>
      <c r="Q241" s="27"/>
      <c r="R241" s="27"/>
      <c r="S241" s="22">
        <f t="shared" ref="S241:S252" si="98">AVERAGE(P241)</f>
        <v>1.1000000000000003E-2</v>
      </c>
      <c r="T241" s="22">
        <f>S241/$S$253</f>
        <v>1.1000000000000001E-2</v>
      </c>
      <c r="U241" s="15">
        <f>T241*F241</f>
        <v>2.5120799000000003</v>
      </c>
    </row>
    <row r="242" spans="3:21">
      <c r="C242" s="15" t="s">
        <v>36</v>
      </c>
      <c r="D242" s="15" t="s">
        <v>48</v>
      </c>
      <c r="E242" s="15" t="s">
        <v>49</v>
      </c>
      <c r="F242" s="15">
        <v>256.42410000000001</v>
      </c>
      <c r="G242" s="27"/>
      <c r="H242" s="27"/>
      <c r="I242" s="27"/>
      <c r="J242" s="27"/>
      <c r="K242" s="27"/>
      <c r="L242" s="27"/>
      <c r="M242" s="27"/>
      <c r="N242" s="27"/>
      <c r="O242" s="22">
        <v>4.9000000000000004</v>
      </c>
      <c r="P242" s="22">
        <f t="shared" ref="P242:P252" si="99">O242/$O$57</f>
        <v>4.9000000000000009E-2</v>
      </c>
      <c r="Q242" s="27"/>
      <c r="R242" s="27"/>
      <c r="S242" s="22">
        <f t="shared" si="98"/>
        <v>4.9000000000000009E-2</v>
      </c>
      <c r="T242" s="22">
        <f t="shared" ref="T242:T252" si="100">S242/$S$253</f>
        <v>4.8999999999999995E-2</v>
      </c>
      <c r="U242" s="15">
        <f t="shared" ref="U242:U252" si="101">T242*F242</f>
        <v>12.564780899999999</v>
      </c>
    </row>
    <row r="243" spans="3:21">
      <c r="C243" s="15" t="s">
        <v>45</v>
      </c>
      <c r="D243" s="15" t="s">
        <v>53</v>
      </c>
      <c r="E243" s="15" t="s">
        <v>54</v>
      </c>
      <c r="F243" s="15">
        <v>284.47719999999998</v>
      </c>
      <c r="G243" s="27"/>
      <c r="H243" s="27"/>
      <c r="I243" s="27"/>
      <c r="J243" s="27"/>
      <c r="K243" s="27"/>
      <c r="L243" s="27"/>
      <c r="M243" s="27"/>
      <c r="N243" s="27"/>
      <c r="O243" s="22">
        <v>3.3</v>
      </c>
      <c r="P243" s="22">
        <f t="shared" si="99"/>
        <v>3.3000000000000002E-2</v>
      </c>
      <c r="Q243" s="27"/>
      <c r="R243" s="27"/>
      <c r="S243" s="22">
        <f t="shared" si="98"/>
        <v>3.3000000000000002E-2</v>
      </c>
      <c r="T243" s="22">
        <f t="shared" si="100"/>
        <v>3.2999999999999995E-2</v>
      </c>
      <c r="U243" s="15">
        <f t="shared" si="101"/>
        <v>9.3877475999999973</v>
      </c>
    </row>
    <row r="244" spans="3:21">
      <c r="C244" s="15" t="s">
        <v>39</v>
      </c>
      <c r="D244" s="15" t="s">
        <v>55</v>
      </c>
      <c r="E244" s="15" t="s">
        <v>56</v>
      </c>
      <c r="F244" s="15">
        <v>282.46140000000003</v>
      </c>
      <c r="G244" s="27"/>
      <c r="H244" s="27"/>
      <c r="I244" s="27"/>
      <c r="J244" s="27"/>
      <c r="K244" s="27"/>
      <c r="L244" s="27"/>
      <c r="M244" s="27"/>
      <c r="N244" s="27"/>
      <c r="O244" s="22">
        <f>19.2/2</f>
        <v>9.6</v>
      </c>
      <c r="P244" s="22">
        <f t="shared" si="99"/>
        <v>9.6000000000000016E-2</v>
      </c>
      <c r="Q244" s="27"/>
      <c r="R244" s="27"/>
      <c r="S244" s="22">
        <f t="shared" si="98"/>
        <v>9.6000000000000016E-2</v>
      </c>
      <c r="T244" s="22">
        <f t="shared" si="100"/>
        <v>9.5999999999999988E-2</v>
      </c>
      <c r="U244" s="15">
        <f t="shared" si="101"/>
        <v>27.116294399999997</v>
      </c>
    </row>
    <row r="245" spans="3:21">
      <c r="C245" s="15" t="s">
        <v>156</v>
      </c>
      <c r="D245" s="15" t="s">
        <v>55</v>
      </c>
      <c r="E245" s="15" t="s">
        <v>56</v>
      </c>
      <c r="F245" s="15">
        <v>282.46140000000003</v>
      </c>
      <c r="G245" s="27"/>
      <c r="H245" s="27"/>
      <c r="I245" s="27"/>
      <c r="J245" s="27"/>
      <c r="K245" s="27"/>
      <c r="L245" s="27"/>
      <c r="M245" s="27"/>
      <c r="N245" s="27"/>
      <c r="O245" s="22">
        <f>19.2/2</f>
        <v>9.6</v>
      </c>
      <c r="P245" s="22">
        <f t="shared" si="99"/>
        <v>9.6000000000000016E-2</v>
      </c>
      <c r="Q245" s="27"/>
      <c r="R245" s="27"/>
      <c r="S245" s="22">
        <f t="shared" si="98"/>
        <v>9.6000000000000016E-2</v>
      </c>
      <c r="T245" s="22">
        <f t="shared" si="100"/>
        <v>9.5999999999999988E-2</v>
      </c>
      <c r="U245" s="15">
        <f t="shared" si="101"/>
        <v>27.116294399999997</v>
      </c>
    </row>
    <row r="246" spans="3:21">
      <c r="C246" s="15" t="s">
        <v>40</v>
      </c>
      <c r="D246" s="15" t="s">
        <v>57</v>
      </c>
      <c r="E246" s="15" t="s">
        <v>58</v>
      </c>
      <c r="F246" s="15">
        <v>280.44549999999998</v>
      </c>
      <c r="G246" s="27"/>
      <c r="H246" s="27"/>
      <c r="I246" s="27"/>
      <c r="J246" s="27"/>
      <c r="K246" s="27"/>
      <c r="L246" s="27"/>
      <c r="M246" s="27"/>
      <c r="N246" s="27"/>
      <c r="O246" s="22">
        <v>1.9</v>
      </c>
      <c r="P246" s="22">
        <f t="shared" si="99"/>
        <v>1.9000000000000003E-2</v>
      </c>
      <c r="Q246" s="27"/>
      <c r="R246" s="27"/>
      <c r="S246" s="22">
        <f t="shared" si="98"/>
        <v>1.9000000000000003E-2</v>
      </c>
      <c r="T246" s="22">
        <f t="shared" si="100"/>
        <v>1.9E-2</v>
      </c>
      <c r="U246" s="15">
        <f t="shared" si="101"/>
        <v>5.3284644999999999</v>
      </c>
    </row>
    <row r="247" spans="3:21">
      <c r="C247" s="28" t="s">
        <v>158</v>
      </c>
      <c r="D247" s="15" t="s">
        <v>218</v>
      </c>
      <c r="E247" s="15" t="s">
        <v>219</v>
      </c>
      <c r="F247" s="15">
        <v>276.41370000000001</v>
      </c>
      <c r="G247" s="27"/>
      <c r="H247" s="27"/>
      <c r="I247" s="27"/>
      <c r="J247" s="27"/>
      <c r="K247" s="27"/>
      <c r="L247" s="27"/>
      <c r="M247" s="27"/>
      <c r="N247" s="27"/>
      <c r="O247" s="22">
        <v>0.8</v>
      </c>
      <c r="P247" s="22">
        <f t="shared" si="99"/>
        <v>8.0000000000000019E-3</v>
      </c>
      <c r="Q247" s="27"/>
      <c r="R247" s="27"/>
      <c r="S247" s="22">
        <f t="shared" si="98"/>
        <v>8.0000000000000019E-3</v>
      </c>
      <c r="T247" s="22">
        <f t="shared" si="100"/>
        <v>8.0000000000000002E-3</v>
      </c>
      <c r="U247" s="15">
        <f t="shared" si="101"/>
        <v>2.2113095999999999</v>
      </c>
    </row>
    <row r="248" spans="3:21">
      <c r="C248" s="15" t="s">
        <v>42</v>
      </c>
      <c r="D248" s="15" t="s">
        <v>61</v>
      </c>
      <c r="E248" s="15" t="s">
        <v>62</v>
      </c>
      <c r="F248" s="15">
        <v>308.49860000000001</v>
      </c>
      <c r="G248" s="27"/>
      <c r="H248" s="27"/>
      <c r="I248" s="27"/>
      <c r="J248" s="27"/>
      <c r="K248" s="27"/>
      <c r="L248" s="27"/>
      <c r="M248" s="27"/>
      <c r="N248" s="27"/>
      <c r="O248" s="22">
        <v>1.3</v>
      </c>
      <c r="P248" s="22">
        <f t="shared" si="99"/>
        <v>1.3000000000000003E-2</v>
      </c>
      <c r="Q248" s="27"/>
      <c r="R248" s="27"/>
      <c r="S248" s="22">
        <f t="shared" si="98"/>
        <v>1.3000000000000003E-2</v>
      </c>
      <c r="T248" s="22">
        <f t="shared" si="100"/>
        <v>1.2999999999999999E-2</v>
      </c>
      <c r="U248" s="15">
        <f t="shared" si="101"/>
        <v>4.0104818</v>
      </c>
    </row>
    <row r="249" spans="3:21">
      <c r="C249" s="15" t="s">
        <v>43</v>
      </c>
      <c r="D249" s="15" t="s">
        <v>63</v>
      </c>
      <c r="E249" s="15" t="s">
        <v>64</v>
      </c>
      <c r="F249" s="15">
        <v>304.46690000000001</v>
      </c>
      <c r="G249" s="27"/>
      <c r="H249" s="27"/>
      <c r="I249" s="27"/>
      <c r="J249" s="27"/>
      <c r="K249" s="27"/>
      <c r="L249" s="27"/>
      <c r="M249" s="27"/>
      <c r="N249" s="27"/>
      <c r="O249" s="22">
        <v>0.5</v>
      </c>
      <c r="P249" s="22">
        <f t="shared" si="99"/>
        <v>5.000000000000001E-3</v>
      </c>
      <c r="Q249" s="27"/>
      <c r="R249" s="27"/>
      <c r="S249" s="22">
        <f t="shared" si="98"/>
        <v>5.000000000000001E-3</v>
      </c>
      <c r="T249" s="22">
        <f t="shared" si="100"/>
        <v>5.0000000000000001E-3</v>
      </c>
      <c r="U249" s="15">
        <f t="shared" si="101"/>
        <v>1.5223345000000001</v>
      </c>
    </row>
    <row r="250" spans="3:21">
      <c r="C250" s="15" t="s">
        <v>44</v>
      </c>
      <c r="D250" s="15" t="s">
        <v>65</v>
      </c>
      <c r="E250" s="15" t="s">
        <v>66</v>
      </c>
      <c r="F250" s="15">
        <v>302.45100000000002</v>
      </c>
      <c r="G250" s="27"/>
      <c r="H250" s="27"/>
      <c r="I250" s="27"/>
      <c r="J250" s="27"/>
      <c r="K250" s="27"/>
      <c r="L250" s="27"/>
      <c r="M250" s="27"/>
      <c r="N250" s="27"/>
      <c r="O250" s="22">
        <v>3.7</v>
      </c>
      <c r="P250" s="22">
        <f t="shared" si="99"/>
        <v>3.7000000000000005E-2</v>
      </c>
      <c r="Q250" s="27"/>
      <c r="R250" s="27"/>
      <c r="S250" s="22">
        <f t="shared" si="98"/>
        <v>3.7000000000000005E-2</v>
      </c>
      <c r="T250" s="22">
        <f t="shared" si="100"/>
        <v>3.6999999999999998E-2</v>
      </c>
      <c r="U250" s="15">
        <f t="shared" si="101"/>
        <v>11.190687</v>
      </c>
    </row>
    <row r="251" spans="3:21">
      <c r="C251" s="15" t="s">
        <v>211</v>
      </c>
      <c r="D251" s="15" t="s">
        <v>221</v>
      </c>
      <c r="E251" s="15" t="s">
        <v>222</v>
      </c>
      <c r="F251" s="15">
        <v>330.50420000000003</v>
      </c>
      <c r="G251" s="27"/>
      <c r="H251" s="27"/>
      <c r="I251" s="27"/>
      <c r="J251" s="27"/>
      <c r="K251" s="27"/>
      <c r="L251" s="27"/>
      <c r="M251" s="27"/>
      <c r="N251" s="27"/>
      <c r="O251" s="22">
        <v>44.4</v>
      </c>
      <c r="P251" s="22">
        <f t="shared" si="99"/>
        <v>0.44400000000000006</v>
      </c>
      <c r="Q251" s="27"/>
      <c r="R251" s="27"/>
      <c r="S251" s="22">
        <f t="shared" si="98"/>
        <v>0.44400000000000006</v>
      </c>
      <c r="T251" s="22">
        <f t="shared" si="100"/>
        <v>0.44399999999999995</v>
      </c>
      <c r="U251" s="15">
        <f t="shared" si="101"/>
        <v>146.74386479999998</v>
      </c>
    </row>
    <row r="252" spans="3:21">
      <c r="C252" s="15" t="s">
        <v>159</v>
      </c>
      <c r="D252" s="15" t="s">
        <v>223</v>
      </c>
      <c r="E252" s="15" t="s">
        <v>224</v>
      </c>
      <c r="F252" s="15">
        <v>328.48829999999998</v>
      </c>
      <c r="G252" s="27"/>
      <c r="H252" s="27"/>
      <c r="I252" s="27"/>
      <c r="J252" s="27"/>
      <c r="K252" s="27"/>
      <c r="L252" s="27"/>
      <c r="M252" s="27"/>
      <c r="N252" s="27"/>
      <c r="O252" s="22">
        <v>18.899999999999999</v>
      </c>
      <c r="P252" s="22">
        <f t="shared" si="99"/>
        <v>0.189</v>
      </c>
      <c r="Q252" s="27"/>
      <c r="R252" s="27"/>
      <c r="S252" s="22">
        <f t="shared" si="98"/>
        <v>0.189</v>
      </c>
      <c r="T252" s="22">
        <f t="shared" si="100"/>
        <v>0.18899999999999995</v>
      </c>
      <c r="U252" s="15">
        <f t="shared" si="101"/>
        <v>62.084288699999981</v>
      </c>
    </row>
    <row r="253" spans="3:21">
      <c r="C253" s="15" t="s">
        <v>17</v>
      </c>
      <c r="D253" s="15" t="s">
        <v>18</v>
      </c>
      <c r="E253" s="15" t="s">
        <v>18</v>
      </c>
      <c r="F253" s="15">
        <f t="shared" ref="F253:U253" si="102">SUM(F241:F252)</f>
        <v>3465.4632000000001</v>
      </c>
      <c r="G253" s="15">
        <f t="shared" si="102"/>
        <v>0</v>
      </c>
      <c r="H253" s="15">
        <f t="shared" si="102"/>
        <v>0</v>
      </c>
      <c r="I253" s="15">
        <f t="shared" si="102"/>
        <v>0</v>
      </c>
      <c r="J253" s="15">
        <f t="shared" si="102"/>
        <v>0</v>
      </c>
      <c r="K253" s="15">
        <f t="shared" si="102"/>
        <v>0</v>
      </c>
      <c r="L253" s="15">
        <f t="shared" si="102"/>
        <v>0</v>
      </c>
      <c r="M253" s="15">
        <f t="shared" si="102"/>
        <v>0</v>
      </c>
      <c r="O253" s="15">
        <f t="shared" si="102"/>
        <v>100</v>
      </c>
      <c r="P253" s="15">
        <f t="shared" si="102"/>
        <v>1.0000000000000002</v>
      </c>
      <c r="Q253" s="15">
        <f t="shared" si="102"/>
        <v>0</v>
      </c>
      <c r="R253" s="15">
        <f t="shared" si="102"/>
        <v>0</v>
      </c>
      <c r="S253" s="15">
        <f t="shared" si="102"/>
        <v>1.0000000000000002</v>
      </c>
      <c r="T253" s="15">
        <f t="shared" si="102"/>
        <v>0.99999999999999989</v>
      </c>
      <c r="U253" s="15">
        <f t="shared" si="102"/>
        <v>311.78862809999998</v>
      </c>
    </row>
    <row r="256" spans="3:21">
      <c r="S256" s="15">
        <v>0</v>
      </c>
    </row>
    <row r="257" spans="3:21">
      <c r="C257" s="15" t="s">
        <v>198</v>
      </c>
      <c r="G257" s="15" t="s">
        <v>189</v>
      </c>
      <c r="J257" s="15" t="s">
        <v>191</v>
      </c>
      <c r="L257" s="15" t="s">
        <v>195</v>
      </c>
      <c r="O257" s="15" t="s">
        <v>196</v>
      </c>
      <c r="Q257" s="15" t="s">
        <v>204</v>
      </c>
    </row>
    <row r="258" spans="3:21">
      <c r="C258" s="15" t="s">
        <v>13</v>
      </c>
      <c r="D258" s="15" t="s">
        <v>14</v>
      </c>
      <c r="E258" s="15" t="s">
        <v>15</v>
      </c>
      <c r="F258" s="15" t="s">
        <v>16</v>
      </c>
      <c r="G258" s="15" t="s">
        <v>212</v>
      </c>
      <c r="H258" s="15" t="s">
        <v>226</v>
      </c>
      <c r="J258" s="15" t="s">
        <v>210</v>
      </c>
      <c r="L258" s="15" t="s">
        <v>212</v>
      </c>
      <c r="O258" s="15" t="s">
        <v>214</v>
      </c>
      <c r="Q258" s="15" t="s">
        <v>217</v>
      </c>
      <c r="T258" s="15" t="s">
        <v>112</v>
      </c>
      <c r="U258" s="15" t="s">
        <v>271</v>
      </c>
    </row>
    <row r="259" spans="3:21">
      <c r="C259" s="15" t="s">
        <v>35</v>
      </c>
      <c r="D259" s="15" t="s">
        <v>46</v>
      </c>
      <c r="E259" s="15" t="s">
        <v>47</v>
      </c>
      <c r="F259" s="15">
        <v>228.37090000000001</v>
      </c>
      <c r="G259" s="27"/>
      <c r="H259" s="27"/>
      <c r="I259" s="27"/>
      <c r="J259" s="22">
        <f>AVERAGE(9.2,16.5)</f>
        <v>12.85</v>
      </c>
      <c r="K259" s="22">
        <f>J259/$J$275</f>
        <v>0.1255495847581827</v>
      </c>
      <c r="L259" s="22">
        <v>13.65</v>
      </c>
      <c r="M259" s="22">
        <f>L259/F259*$M$30</f>
        <v>2.3460191294074682E-4</v>
      </c>
      <c r="N259" s="22">
        <f>M259/$M$275</f>
        <v>0.16498890852468209</v>
      </c>
      <c r="O259" s="22">
        <v>0</v>
      </c>
      <c r="P259" s="22">
        <f>O259/$O$275</f>
        <v>0</v>
      </c>
      <c r="Q259" s="22">
        <v>0.61936167972730416</v>
      </c>
      <c r="R259" s="22">
        <f>Q259/$Q$275</f>
        <v>0.61936167972730416</v>
      </c>
      <c r="S259" s="22">
        <f>AVERAGE(K259,M259,P259,R259)</f>
        <v>0.1862864665996069</v>
      </c>
      <c r="T259" s="22">
        <f t="shared" ref="T259:T274" si="103">S259/$S$275</f>
        <v>0.23884361195033235</v>
      </c>
      <c r="U259" s="15">
        <f>T259*F259</f>
        <v>54.544930620348154</v>
      </c>
    </row>
    <row r="260" spans="3:21">
      <c r="C260" s="15" t="s">
        <v>215</v>
      </c>
      <c r="D260" s="15" t="s">
        <v>269</v>
      </c>
      <c r="E260" s="15" t="s">
        <v>270</v>
      </c>
      <c r="F260" s="15">
        <v>242.39750000000001</v>
      </c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2">
        <v>1.4312477180498025E-2</v>
      </c>
      <c r="R260" s="22">
        <f>Q260/$Q$275</f>
        <v>1.4312477180498025E-2</v>
      </c>
      <c r="S260" s="22">
        <f t="shared" ref="S260:S274" si="104">AVERAGE(K260,M260,P260,R260)</f>
        <v>1.4312477180498025E-2</v>
      </c>
      <c r="T260" s="22">
        <f t="shared" si="103"/>
        <v>1.8350467471661577E-2</v>
      </c>
      <c r="U260" s="15">
        <f>T260*F260</f>
        <v>4.4481074389620874</v>
      </c>
    </row>
    <row r="261" spans="3:21">
      <c r="C261" s="15" t="s">
        <v>36</v>
      </c>
      <c r="D261" s="15" t="s">
        <v>48</v>
      </c>
      <c r="E261" s="15" t="s">
        <v>49</v>
      </c>
      <c r="F261" s="15">
        <v>256.42410000000001</v>
      </c>
      <c r="G261" s="27"/>
      <c r="H261" s="27"/>
      <c r="I261" s="27"/>
      <c r="J261" s="22">
        <f>AVERAGE(34.3,19.4)</f>
        <v>26.849999999999998</v>
      </c>
      <c r="K261" s="22">
        <f t="shared" ref="K261:K274" si="105">J261/$J$275</f>
        <v>0.26233512457254521</v>
      </c>
      <c r="L261" s="22">
        <v>23.41</v>
      </c>
      <c r="M261" s="22">
        <f t="shared" ref="M261:M269" si="106">L261/F261*$M$30</f>
        <v>3.5832922880493681E-4</v>
      </c>
      <c r="N261" s="22">
        <f t="shared" ref="N261:N269" si="107">M261/$M$275</f>
        <v>0.25200284009597812</v>
      </c>
      <c r="O261" s="22">
        <v>5.8</v>
      </c>
      <c r="P261" s="22">
        <f t="shared" ref="P261:P274" si="108">O261/$O$275</f>
        <v>6.1702127659574467E-2</v>
      </c>
      <c r="Q261" s="22">
        <v>0.14035177805397919</v>
      </c>
      <c r="R261" s="22">
        <f>Q261/$Q$275</f>
        <v>0.14035177805397919</v>
      </c>
      <c r="S261" s="22">
        <f t="shared" si="104"/>
        <v>0.11618683987872594</v>
      </c>
      <c r="T261" s="22">
        <f t="shared" si="103"/>
        <v>0.14896672315641193</v>
      </c>
      <c r="U261" s="15">
        <f t="shared" ref="U261:U274" si="109">T261*F261</f>
        <v>38.198657915332092</v>
      </c>
    </row>
    <row r="262" spans="3:21">
      <c r="C262" s="15" t="s">
        <v>213</v>
      </c>
      <c r="D262" s="15" t="s">
        <v>50</v>
      </c>
      <c r="E262" s="15" t="s">
        <v>51</v>
      </c>
      <c r="F262" s="15">
        <v>254.40819999999999</v>
      </c>
      <c r="G262" s="27"/>
      <c r="H262" s="27"/>
      <c r="I262" s="27"/>
      <c r="J262" s="22">
        <f>AVERAGE(3.2,3.8)</f>
        <v>3.5</v>
      </c>
      <c r="K262" s="22">
        <f t="shared" si="105"/>
        <v>3.4196384953590619E-2</v>
      </c>
      <c r="L262" s="22">
        <v>8.41</v>
      </c>
      <c r="M262" s="22">
        <f t="shared" si="106"/>
        <v>1.2974915902867911E-4</v>
      </c>
      <c r="N262" s="22">
        <f t="shared" si="107"/>
        <v>9.1248924025372102E-2</v>
      </c>
      <c r="O262" s="22">
        <v>1.6</v>
      </c>
      <c r="P262" s="22">
        <f t="shared" si="108"/>
        <v>1.7021276595744681E-2</v>
      </c>
      <c r="Q262" s="22">
        <v>8.1215543394182493E-2</v>
      </c>
      <c r="R262" s="22">
        <f>Q262/$Q$275</f>
        <v>8.1215543394182493E-2</v>
      </c>
      <c r="S262" s="22">
        <f t="shared" si="104"/>
        <v>3.314073852563662E-2</v>
      </c>
      <c r="T262" s="22">
        <f t="shared" si="103"/>
        <v>4.2490760797871535E-2</v>
      </c>
      <c r="U262" s="15">
        <f t="shared" si="109"/>
        <v>10.809997971217062</v>
      </c>
    </row>
    <row r="263" spans="3:21">
      <c r="C263" s="15" t="s">
        <v>45</v>
      </c>
      <c r="D263" s="15" t="s">
        <v>53</v>
      </c>
      <c r="E263" s="15" t="s">
        <v>54</v>
      </c>
      <c r="F263" s="15">
        <v>284.47719999999998</v>
      </c>
      <c r="G263" s="27"/>
      <c r="H263" s="27"/>
      <c r="I263" s="27"/>
      <c r="J263" s="22">
        <f>AVERAGE(2.3,0.9)</f>
        <v>1.5999999999999999</v>
      </c>
      <c r="K263" s="22">
        <f t="shared" si="105"/>
        <v>1.5632633121641426E-2</v>
      </c>
      <c r="L263" s="22">
        <v>2.36</v>
      </c>
      <c r="M263" s="22">
        <f t="shared" si="106"/>
        <v>3.2561484716525613E-5</v>
      </c>
      <c r="N263" s="22">
        <f t="shared" si="107"/>
        <v>2.2899573818392312E-2</v>
      </c>
      <c r="O263" s="22">
        <v>0</v>
      </c>
      <c r="P263" s="22">
        <f t="shared" si="108"/>
        <v>0</v>
      </c>
      <c r="Q263" s="27"/>
      <c r="R263" s="27"/>
      <c r="S263" s="22">
        <f t="shared" si="104"/>
        <v>5.2217315354526504E-3</v>
      </c>
      <c r="T263" s="22">
        <f t="shared" si="103"/>
        <v>6.6949427047917273E-3</v>
      </c>
      <c r="U263" s="15">
        <f t="shared" si="109"/>
        <v>1.9045585548195771</v>
      </c>
    </row>
    <row r="264" spans="3:21">
      <c r="C264" s="15" t="s">
        <v>39</v>
      </c>
      <c r="D264" s="15" t="s">
        <v>55</v>
      </c>
      <c r="E264" s="15" t="s">
        <v>56</v>
      </c>
      <c r="F264" s="15">
        <v>282.46140000000003</v>
      </c>
      <c r="G264" s="27"/>
      <c r="H264" s="27"/>
      <c r="I264" s="27"/>
      <c r="J264" s="22">
        <f>AVERAGE(2.6,1.9)</f>
        <v>2.25</v>
      </c>
      <c r="K264" s="22">
        <f t="shared" si="105"/>
        <v>2.1983390327308259E-2</v>
      </c>
      <c r="L264" s="22">
        <v>6.22</v>
      </c>
      <c r="M264" s="22">
        <f t="shared" si="106"/>
        <v>8.643127875171614E-5</v>
      </c>
      <c r="N264" s="22">
        <f t="shared" si="107"/>
        <v>6.0784680588857255E-2</v>
      </c>
      <c r="O264" s="22">
        <f>0.5/2</f>
        <v>0.25</v>
      </c>
      <c r="P264" s="22">
        <f t="shared" si="108"/>
        <v>2.6595744680851063E-3</v>
      </c>
      <c r="Q264" s="22">
        <f>0.00554376109192503/2</f>
        <v>2.7718805459625148E-3</v>
      </c>
      <c r="R264" s="22">
        <f>Q264/$Q$275</f>
        <v>2.7718805459625148E-3</v>
      </c>
      <c r="S264" s="22">
        <f t="shared" si="104"/>
        <v>6.8753191550268997E-3</v>
      </c>
      <c r="T264" s="22">
        <f t="shared" si="103"/>
        <v>8.8150582824001924E-3</v>
      </c>
      <c r="U264" s="15">
        <f t="shared" si="109"/>
        <v>2.4899137035283538</v>
      </c>
    </row>
    <row r="265" spans="3:21">
      <c r="C265" s="15" t="s">
        <v>156</v>
      </c>
      <c r="E265" s="15" t="s">
        <v>56</v>
      </c>
      <c r="F265" s="15">
        <v>282.46140000000003</v>
      </c>
      <c r="G265" s="27"/>
      <c r="H265" s="27"/>
      <c r="I265" s="27"/>
      <c r="J265" s="22">
        <f>AVERAGE(6.6,4)/2</f>
        <v>2.65</v>
      </c>
      <c r="K265" s="22">
        <f t="shared" si="105"/>
        <v>2.5891548607718612E-2</v>
      </c>
      <c r="L265" s="22">
        <v>1.6</v>
      </c>
      <c r="M265" s="22">
        <f t="shared" si="106"/>
        <v>2.2233126367000941E-5</v>
      </c>
      <c r="N265" s="22">
        <f t="shared" si="107"/>
        <v>1.5635930698098332E-2</v>
      </c>
      <c r="O265" s="22">
        <f>0.5/2</f>
        <v>0.25</v>
      </c>
      <c r="P265" s="22">
        <f t="shared" si="108"/>
        <v>2.6595744680851063E-3</v>
      </c>
      <c r="Q265" s="22">
        <f>0.00554376109192503/2</f>
        <v>2.7718805459625148E-3</v>
      </c>
      <c r="R265" s="22">
        <f>Q265/$Q$275</f>
        <v>2.7718805459625148E-3</v>
      </c>
      <c r="S265" s="22">
        <f t="shared" si="104"/>
        <v>7.8363091870333086E-3</v>
      </c>
      <c r="T265" s="22">
        <f t="shared" si="103"/>
        <v>1.0047173177713585E-2</v>
      </c>
      <c r="U265" s="15">
        <f t="shared" si="109"/>
        <v>2.8379386018194284</v>
      </c>
    </row>
    <row r="266" spans="3:21">
      <c r="C266" s="15" t="s">
        <v>40</v>
      </c>
      <c r="D266" s="15" t="s">
        <v>57</v>
      </c>
      <c r="E266" s="15" t="s">
        <v>58</v>
      </c>
      <c r="F266" s="15">
        <v>280.44549999999998</v>
      </c>
      <c r="G266" s="27"/>
      <c r="H266" s="27"/>
      <c r="I266" s="27"/>
      <c r="J266" s="22">
        <v>0</v>
      </c>
      <c r="K266" s="22">
        <f t="shared" si="105"/>
        <v>0</v>
      </c>
      <c r="L266" s="22">
        <v>1.08</v>
      </c>
      <c r="M266" s="22">
        <f t="shared" si="106"/>
        <v>1.5115236293682731E-5</v>
      </c>
      <c r="N266" s="22">
        <f t="shared" si="107"/>
        <v>1.0630119366576705E-2</v>
      </c>
      <c r="O266" s="22">
        <v>0</v>
      </c>
      <c r="P266" s="22">
        <f t="shared" si="108"/>
        <v>0</v>
      </c>
      <c r="Q266" s="27"/>
      <c r="R266" s="27"/>
      <c r="S266" s="22">
        <f t="shared" si="104"/>
        <v>5.0384120978942432E-6</v>
      </c>
      <c r="T266" s="22">
        <f t="shared" si="103"/>
        <v>6.4599032120879356E-6</v>
      </c>
      <c r="U266" s="15">
        <f t="shared" si="109"/>
        <v>1.811650786265607E-3</v>
      </c>
    </row>
    <row r="267" spans="3:21">
      <c r="C267" s="15" t="s">
        <v>209</v>
      </c>
      <c r="D267" s="15" t="s">
        <v>225</v>
      </c>
      <c r="E267" s="15" t="s">
        <v>60</v>
      </c>
      <c r="F267" s="15">
        <v>278.42959999999999</v>
      </c>
      <c r="G267" s="27"/>
      <c r="H267" s="27"/>
      <c r="I267" s="27"/>
      <c r="J267" s="27"/>
      <c r="K267" s="27"/>
      <c r="L267" s="22">
        <v>1.44</v>
      </c>
      <c r="M267" s="22">
        <f t="shared" si="106"/>
        <v>2.0299565850757245E-5</v>
      </c>
      <c r="N267" s="22">
        <f t="shared" si="107"/>
        <v>1.427611212227094E-2</v>
      </c>
      <c r="O267" s="22">
        <v>0</v>
      </c>
      <c r="P267" s="22">
        <f t="shared" si="108"/>
        <v>0</v>
      </c>
      <c r="Q267" s="27"/>
      <c r="R267" s="27"/>
      <c r="S267" s="22">
        <f t="shared" si="104"/>
        <v>1.0149782925378622E-5</v>
      </c>
      <c r="T267" s="22">
        <f t="shared" si="103"/>
        <v>1.3013349056749764E-5</v>
      </c>
      <c r="U267" s="15">
        <f t="shared" si="109"/>
        <v>3.6233015725312141E-3</v>
      </c>
    </row>
    <row r="268" spans="3:21">
      <c r="C268" s="15" t="s">
        <v>157</v>
      </c>
      <c r="D268" s="15" t="s">
        <v>59</v>
      </c>
      <c r="E268" s="15" t="s">
        <v>60</v>
      </c>
      <c r="F268" s="15">
        <v>278.42959999999999</v>
      </c>
      <c r="G268" s="27"/>
      <c r="H268" s="27"/>
      <c r="I268" s="27"/>
      <c r="J268" s="27"/>
      <c r="K268" s="27"/>
      <c r="L268" s="22">
        <v>1.75</v>
      </c>
      <c r="M268" s="22">
        <f t="shared" si="106"/>
        <v>2.466961127696193E-5</v>
      </c>
      <c r="N268" s="22">
        <f t="shared" si="107"/>
        <v>1.7349441815259825E-2</v>
      </c>
      <c r="O268" s="22">
        <v>0</v>
      </c>
      <c r="P268" s="22">
        <f t="shared" si="108"/>
        <v>0</v>
      </c>
      <c r="Q268" s="27"/>
      <c r="R268" s="27"/>
      <c r="S268" s="22">
        <f t="shared" si="104"/>
        <v>1.2334805638480965E-5</v>
      </c>
      <c r="T268" s="22">
        <f t="shared" si="103"/>
        <v>1.5814833923133393E-5</v>
      </c>
      <c r="U268" s="15">
        <f t="shared" si="109"/>
        <v>4.4033178832844615E-3</v>
      </c>
    </row>
    <row r="269" spans="3:21">
      <c r="C269" s="28" t="s">
        <v>158</v>
      </c>
      <c r="D269" s="15" t="s">
        <v>218</v>
      </c>
      <c r="E269" s="15" t="s">
        <v>219</v>
      </c>
      <c r="F269" s="15">
        <v>276.41370000000001</v>
      </c>
      <c r="G269" s="27"/>
      <c r="H269" s="27"/>
      <c r="I269" s="27"/>
      <c r="J269" s="22">
        <v>0</v>
      </c>
      <c r="K269" s="22">
        <f t="shared" si="105"/>
        <v>0</v>
      </c>
      <c r="L269" s="22">
        <v>2.42</v>
      </c>
      <c r="M269" s="22">
        <f t="shared" si="106"/>
        <v>3.4363347402824094E-5</v>
      </c>
      <c r="N269" s="22">
        <f t="shared" si="107"/>
        <v>2.4166773024900161E-2</v>
      </c>
      <c r="O269" s="22">
        <v>1.1000000000000001</v>
      </c>
      <c r="P269" s="22">
        <f t="shared" si="108"/>
        <v>1.1702127659574469E-2</v>
      </c>
      <c r="Q269" s="27"/>
      <c r="R269" s="27"/>
      <c r="S269" s="22">
        <f t="shared" si="104"/>
        <v>3.9121636689924315E-3</v>
      </c>
      <c r="T269" s="22">
        <f t="shared" si="103"/>
        <v>5.0159054401485359E-3</v>
      </c>
      <c r="U269" s="15">
        <f t="shared" si="109"/>
        <v>1.3864649815615855</v>
      </c>
    </row>
    <row r="270" spans="3:21">
      <c r="C270" s="15" t="s">
        <v>42</v>
      </c>
      <c r="D270" s="15" t="s">
        <v>61</v>
      </c>
      <c r="E270" s="15" t="s">
        <v>62</v>
      </c>
      <c r="F270" s="15">
        <v>308.49860000000001</v>
      </c>
      <c r="G270" s="27"/>
      <c r="H270" s="27"/>
      <c r="I270" s="27"/>
      <c r="J270" s="27"/>
      <c r="K270" s="27"/>
      <c r="L270" s="27"/>
      <c r="M270" s="27"/>
      <c r="N270" s="27"/>
      <c r="O270" s="22">
        <v>0.5</v>
      </c>
      <c r="P270" s="22">
        <f t="shared" si="108"/>
        <v>5.3191489361702126E-3</v>
      </c>
      <c r="Q270" s="27"/>
      <c r="R270" s="27"/>
      <c r="S270" s="22">
        <f t="shared" si="104"/>
        <v>5.3191489361702126E-3</v>
      </c>
      <c r="T270" s="22">
        <f t="shared" si="103"/>
        <v>6.8198445523543058E-3</v>
      </c>
      <c r="U270" s="15">
        <f t="shared" si="109"/>
        <v>2.1039124966189302</v>
      </c>
    </row>
    <row r="271" spans="3:21">
      <c r="C271" s="15" t="s">
        <v>43</v>
      </c>
      <c r="D271" s="15" t="s">
        <v>63</v>
      </c>
      <c r="E271" s="15" t="s">
        <v>64</v>
      </c>
      <c r="F271" s="15">
        <v>304.46690000000001</v>
      </c>
      <c r="G271" s="27"/>
      <c r="H271" s="27"/>
      <c r="I271" s="27"/>
      <c r="J271" s="22">
        <f>AVERAGE(5.1,0)</f>
        <v>2.5499999999999998</v>
      </c>
      <c r="K271" s="22">
        <f t="shared" si="105"/>
        <v>2.4914509037616023E-2</v>
      </c>
      <c r="L271" s="27"/>
      <c r="M271" s="27"/>
      <c r="N271" s="27"/>
      <c r="O271" s="22">
        <v>0</v>
      </c>
      <c r="P271" s="22">
        <f t="shared" si="108"/>
        <v>0</v>
      </c>
      <c r="Q271" s="27"/>
      <c r="R271" s="27"/>
      <c r="S271" s="22">
        <f t="shared" si="104"/>
        <v>1.2457254518808011E-2</v>
      </c>
      <c r="T271" s="22">
        <f t="shared" si="103"/>
        <v>1.5971829401068168E-2</v>
      </c>
      <c r="U271" s="15">
        <f t="shared" si="109"/>
        <v>4.8628933850720824</v>
      </c>
    </row>
    <row r="272" spans="3:21">
      <c r="C272" s="15" t="s">
        <v>44</v>
      </c>
      <c r="D272" s="15" t="s">
        <v>65</v>
      </c>
      <c r="E272" s="15" t="s">
        <v>66</v>
      </c>
      <c r="F272" s="15">
        <v>302.45100000000002</v>
      </c>
      <c r="G272" s="27"/>
      <c r="H272" s="27"/>
      <c r="I272" s="27"/>
      <c r="J272" s="22">
        <f>AVERAGE(31.2,42.8)</f>
        <v>37</v>
      </c>
      <c r="K272" s="22">
        <f t="shared" si="105"/>
        <v>0.36150464093795803</v>
      </c>
      <c r="L272" s="22">
        <v>13.09</v>
      </c>
      <c r="M272" s="22">
        <f>L272/F272*$M$30</f>
        <v>1.6987297115896456E-4</v>
      </c>
      <c r="N272" s="22">
        <f>M272/$M$275</f>
        <v>0.11946686942165366</v>
      </c>
      <c r="O272" s="22">
        <v>5.4</v>
      </c>
      <c r="P272" s="22">
        <f t="shared" si="108"/>
        <v>5.7446808510638304E-2</v>
      </c>
      <c r="Q272" s="22">
        <v>4.6387253955926938E-3</v>
      </c>
      <c r="R272" s="22">
        <f>Q272/$Q$275</f>
        <v>4.6387253955926938E-3</v>
      </c>
      <c r="S272" s="22">
        <f t="shared" si="104"/>
        <v>0.105940011953837</v>
      </c>
      <c r="T272" s="22">
        <f t="shared" si="103"/>
        <v>0.13582894971914836</v>
      </c>
      <c r="U272" s="15">
        <f t="shared" si="109"/>
        <v>41.081601671506142</v>
      </c>
    </row>
    <row r="273" spans="3:21">
      <c r="C273" s="15" t="s">
        <v>211</v>
      </c>
      <c r="D273" s="15" t="s">
        <v>221</v>
      </c>
      <c r="E273" s="15" t="s">
        <v>222</v>
      </c>
      <c r="F273" s="15">
        <v>330.50420000000003</v>
      </c>
      <c r="G273" s="27"/>
      <c r="H273" s="27"/>
      <c r="I273" s="27"/>
      <c r="J273" s="22">
        <f>AVERAGE(2.4,0)</f>
        <v>1.2</v>
      </c>
      <c r="K273" s="22">
        <f t="shared" si="105"/>
        <v>1.172447484123107E-2</v>
      </c>
      <c r="L273" s="27"/>
      <c r="M273" s="27"/>
      <c r="N273" s="27"/>
      <c r="O273" s="22">
        <v>5.4</v>
      </c>
      <c r="P273" s="22">
        <f t="shared" si="108"/>
        <v>5.7446808510638304E-2</v>
      </c>
      <c r="Q273" s="22">
        <v>7.0027377399303134E-3</v>
      </c>
      <c r="R273" s="22">
        <f>Q273/$Q$275</f>
        <v>7.0027377399303134E-3</v>
      </c>
      <c r="S273" s="22">
        <f t="shared" si="104"/>
        <v>2.5391340363933229E-2</v>
      </c>
      <c r="T273" s="22">
        <f t="shared" si="103"/>
        <v>3.2555018920493478E-2</v>
      </c>
      <c r="U273" s="15">
        <f t="shared" si="109"/>
        <v>10.759570484302561</v>
      </c>
    </row>
    <row r="274" spans="3:21">
      <c r="C274" s="15" t="s">
        <v>159</v>
      </c>
      <c r="D274" s="15" t="s">
        <v>223</v>
      </c>
      <c r="E274" s="15" t="s">
        <v>224</v>
      </c>
      <c r="F274" s="15">
        <v>328.48829999999998</v>
      </c>
      <c r="G274" s="27"/>
      <c r="H274" s="27"/>
      <c r="I274" s="27"/>
      <c r="J274" s="22">
        <f>AVERAGE(9.7,14.1)</f>
        <v>11.899999999999999</v>
      </c>
      <c r="K274" s="22">
        <f t="shared" si="105"/>
        <v>0.11626770884220811</v>
      </c>
      <c r="L274" s="22">
        <v>24.58</v>
      </c>
      <c r="M274" s="22">
        <f>L274/F274*$M$30</f>
        <v>2.936984361391258E-4</v>
      </c>
      <c r="N274" s="22">
        <f>M274/$M$275</f>
        <v>0.20654982649795844</v>
      </c>
      <c r="O274" s="22">
        <v>73.7</v>
      </c>
      <c r="P274" s="22">
        <f t="shared" si="108"/>
        <v>0.78404255319148941</v>
      </c>
      <c r="Q274" s="22">
        <v>0.12757329741658813</v>
      </c>
      <c r="R274" s="22">
        <f>Q274/$Q$275</f>
        <v>0.12757329741658813</v>
      </c>
      <c r="S274" s="22">
        <f t="shared" si="104"/>
        <v>0.25704431447160619</v>
      </c>
      <c r="T274" s="22">
        <f t="shared" si="103"/>
        <v>0.32956442633941213</v>
      </c>
      <c r="U274" s="15">
        <f t="shared" si="109"/>
        <v>108.25805814870871</v>
      </c>
    </row>
    <row r="275" spans="3:21">
      <c r="C275" s="15" t="s">
        <v>17</v>
      </c>
      <c r="D275" s="15" t="s">
        <v>18</v>
      </c>
      <c r="E275" s="15" t="s">
        <v>18</v>
      </c>
      <c r="F275" s="15">
        <f>SUM(F259:F274)</f>
        <v>4519.1280999999999</v>
      </c>
      <c r="G275" s="15">
        <f t="shared" ref="G275:U275" si="110">SUM(G259:G274)</f>
        <v>0</v>
      </c>
      <c r="H275" s="15">
        <f t="shared" si="110"/>
        <v>0</v>
      </c>
      <c r="I275" s="15">
        <f t="shared" si="110"/>
        <v>0</v>
      </c>
      <c r="J275" s="15">
        <f t="shared" si="110"/>
        <v>102.35</v>
      </c>
      <c r="K275" s="15">
        <f t="shared" si="110"/>
        <v>1.0000000000000002</v>
      </c>
      <c r="L275" s="15">
        <f t="shared" si="110"/>
        <v>100.00999999999999</v>
      </c>
      <c r="M275" s="15">
        <f t="shared" si="110"/>
        <v>1.4219253587319219E-3</v>
      </c>
      <c r="N275" s="15">
        <f t="shared" si="110"/>
        <v>1</v>
      </c>
      <c r="O275" s="15">
        <f t="shared" si="110"/>
        <v>94</v>
      </c>
      <c r="P275" s="15">
        <f t="shared" si="110"/>
        <v>1</v>
      </c>
      <c r="Q275" s="15">
        <f t="shared" si="110"/>
        <v>1</v>
      </c>
      <c r="R275" s="15">
        <f t="shared" si="110"/>
        <v>1</v>
      </c>
      <c r="S275" s="15">
        <f t="shared" si="110"/>
        <v>0.77995163897598929</v>
      </c>
      <c r="T275" s="15">
        <f t="shared" si="110"/>
        <v>0.99999999999999978</v>
      </c>
      <c r="U275" s="15">
        <f t="shared" si="110"/>
        <v>283.69644424403884</v>
      </c>
    </row>
    <row r="279" spans="3:21">
      <c r="C279" s="15" t="s">
        <v>199</v>
      </c>
      <c r="G279" s="15" t="s">
        <v>189</v>
      </c>
      <c r="J279" s="15" t="s">
        <v>191</v>
      </c>
      <c r="L279" s="15" t="s">
        <v>195</v>
      </c>
      <c r="O279" s="15" t="s">
        <v>196</v>
      </c>
      <c r="Q279" s="15" t="s">
        <v>204</v>
      </c>
    </row>
    <row r="280" spans="3:21">
      <c r="C280" s="15" t="s">
        <v>13</v>
      </c>
      <c r="D280" s="15" t="s">
        <v>14</v>
      </c>
      <c r="E280" s="15" t="s">
        <v>15</v>
      </c>
      <c r="F280" s="15" t="s">
        <v>16</v>
      </c>
      <c r="G280" s="15" t="s">
        <v>212</v>
      </c>
      <c r="H280" s="15" t="s">
        <v>226</v>
      </c>
      <c r="J280" s="15" t="s">
        <v>210</v>
      </c>
      <c r="L280" s="15" t="s">
        <v>212</v>
      </c>
      <c r="O280" s="15" t="s">
        <v>214</v>
      </c>
      <c r="Q280" s="15" t="s">
        <v>217</v>
      </c>
      <c r="T280" s="15" t="s">
        <v>112</v>
      </c>
      <c r="U280" s="15" t="s">
        <v>271</v>
      </c>
    </row>
    <row r="281" spans="3:21">
      <c r="C281" s="15" t="s">
        <v>35</v>
      </c>
      <c r="D281" s="15" t="s">
        <v>46</v>
      </c>
      <c r="E281" s="15" t="s">
        <v>47</v>
      </c>
      <c r="F281" s="15">
        <v>228.37090000000001</v>
      </c>
      <c r="G281" s="27"/>
      <c r="H281" s="27"/>
      <c r="I281" s="27"/>
      <c r="J281" s="22">
        <f>AVERAGE(9.2,16.5)</f>
        <v>12.85</v>
      </c>
      <c r="K281" s="22">
        <f>J281/$J$57</f>
        <v>0.12966700302724521</v>
      </c>
      <c r="L281" s="22">
        <v>13.65</v>
      </c>
      <c r="M281" s="22">
        <f t="shared" ref="M281:M290" si="111">L281/F281*$M$31</f>
        <v>2.3460191294074682E-4</v>
      </c>
      <c r="N281" s="22">
        <f t="shared" ref="N281:N290" si="112">M281/$M$295</f>
        <v>0.16498890852468209</v>
      </c>
      <c r="O281" s="22">
        <v>2.9</v>
      </c>
      <c r="P281" s="22">
        <f>O281/$O$295</f>
        <v>2.8999999999999998E-2</v>
      </c>
      <c r="Q281" s="22">
        <v>8.088611809481891E-2</v>
      </c>
      <c r="R281" s="22">
        <f>Q281/$Q$295</f>
        <v>8.0886118094818923E-2</v>
      </c>
      <c r="S281" s="22">
        <f t="shared" ref="S281:S294" si="113">AVERAGE(K281,M281,P281,R281)</f>
        <v>5.9946930758751224E-2</v>
      </c>
      <c r="T281" s="22">
        <f>S281/$S$295</f>
        <v>7.8043464227321765E-2</v>
      </c>
      <c r="U281" s="15">
        <f>T281*F281</f>
        <v>17.822856164711276</v>
      </c>
    </row>
    <row r="282" spans="3:21">
      <c r="C282" s="15" t="s">
        <v>36</v>
      </c>
      <c r="D282" s="15" t="s">
        <v>48</v>
      </c>
      <c r="E282" s="15" t="s">
        <v>49</v>
      </c>
      <c r="F282" s="15">
        <v>256.42410000000001</v>
      </c>
      <c r="G282" s="27"/>
      <c r="H282" s="27"/>
      <c r="I282" s="27"/>
      <c r="J282" s="22">
        <f>AVERAGE(34.3,19.4)</f>
        <v>26.849999999999998</v>
      </c>
      <c r="K282" s="22">
        <f t="shared" ref="K282:K294" si="114">J282/$J$57</f>
        <v>0.27093844601412714</v>
      </c>
      <c r="L282" s="22">
        <v>23.41</v>
      </c>
      <c r="M282" s="22">
        <f t="shared" si="111"/>
        <v>3.5832922880493681E-4</v>
      </c>
      <c r="N282" s="22">
        <f t="shared" si="112"/>
        <v>0.25200284009597812</v>
      </c>
      <c r="O282" s="22">
        <v>35.5</v>
      </c>
      <c r="P282" s="22">
        <f t="shared" ref="P282:P294" si="115">O282/$O$295</f>
        <v>0.35499999999999998</v>
      </c>
      <c r="Q282" s="22">
        <v>0.1694524334832142</v>
      </c>
      <c r="R282" s="22">
        <f t="shared" ref="R282:R294" si="116">Q282/$Q$295</f>
        <v>0.16945243348321423</v>
      </c>
      <c r="S282" s="22">
        <f t="shared" si="113"/>
        <v>0.19893730218153657</v>
      </c>
      <c r="T282" s="22">
        <f t="shared" ref="T282:T294" si="117">S282/$S$295</f>
        <v>0.25899167863599348</v>
      </c>
      <c r="U282" s="15">
        <f t="shared" ref="U282:U294" si="118">T282*F282</f>
        <v>66.41170810172386</v>
      </c>
    </row>
    <row r="283" spans="3:21">
      <c r="C283" s="15" t="s">
        <v>213</v>
      </c>
      <c r="D283" s="15" t="s">
        <v>50</v>
      </c>
      <c r="E283" s="15" t="s">
        <v>51</v>
      </c>
      <c r="F283" s="15">
        <v>254.40819999999999</v>
      </c>
      <c r="G283" s="27"/>
      <c r="H283" s="27"/>
      <c r="I283" s="27"/>
      <c r="J283" s="22">
        <f>AVERAGE(3.2,3.8)</f>
        <v>3.5</v>
      </c>
      <c r="K283" s="22">
        <f t="shared" si="114"/>
        <v>3.5317860746720484E-2</v>
      </c>
      <c r="L283" s="22">
        <v>8.41</v>
      </c>
      <c r="M283" s="22">
        <f t="shared" si="111"/>
        <v>1.2974915902867911E-4</v>
      </c>
      <c r="N283" s="22">
        <f t="shared" si="112"/>
        <v>9.1248924025372102E-2</v>
      </c>
      <c r="O283" s="22">
        <v>2.1</v>
      </c>
      <c r="P283" s="22">
        <f t="shared" si="115"/>
        <v>2.1000000000000001E-2</v>
      </c>
      <c r="Q283" s="22">
        <v>3.2893109147919312E-2</v>
      </c>
      <c r="R283" s="22">
        <f t="shared" si="116"/>
        <v>3.2893109147919319E-2</v>
      </c>
      <c r="S283" s="22">
        <f t="shared" si="113"/>
        <v>2.2335179763417121E-2</v>
      </c>
      <c r="T283" s="22">
        <f t="shared" si="117"/>
        <v>2.9077632179235133E-2</v>
      </c>
      <c r="U283" s="15">
        <f t="shared" si="118"/>
        <v>7.3975880629812876</v>
      </c>
    </row>
    <row r="284" spans="3:21">
      <c r="C284" s="15" t="s">
        <v>45</v>
      </c>
      <c r="D284" s="15" t="s">
        <v>53</v>
      </c>
      <c r="E284" s="15" t="s">
        <v>54</v>
      </c>
      <c r="F284" s="15">
        <v>284.47719999999998</v>
      </c>
      <c r="G284" s="27"/>
      <c r="H284" s="27"/>
      <c r="I284" s="27"/>
      <c r="J284" s="22">
        <f>AVERAGE(2.3,0.9)</f>
        <v>1.5999999999999999</v>
      </c>
      <c r="K284" s="22">
        <f t="shared" si="114"/>
        <v>1.6145307769929364E-2</v>
      </c>
      <c r="L284" s="22">
        <v>2.36</v>
      </c>
      <c r="M284" s="22">
        <f t="shared" si="111"/>
        <v>3.2561484716525613E-5</v>
      </c>
      <c r="N284" s="22">
        <f t="shared" si="112"/>
        <v>2.2899573818392312E-2</v>
      </c>
      <c r="O284" s="22">
        <v>1.4</v>
      </c>
      <c r="P284" s="22">
        <f t="shared" si="115"/>
        <v>1.3999999999999999E-2</v>
      </c>
      <c r="Q284" s="22">
        <v>2.817245396313867E-3</v>
      </c>
      <c r="R284" s="22">
        <f t="shared" si="116"/>
        <v>2.8172453963138675E-3</v>
      </c>
      <c r="S284" s="22">
        <f t="shared" si="113"/>
        <v>8.2487786627399393E-3</v>
      </c>
      <c r="T284" s="22">
        <f t="shared" si="117"/>
        <v>1.0738886117045468E-2</v>
      </c>
      <c r="U284" s="15">
        <f t="shared" si="118"/>
        <v>3.054968253695967</v>
      </c>
    </row>
    <row r="285" spans="3:21">
      <c r="C285" s="15" t="s">
        <v>39</v>
      </c>
      <c r="D285" s="15" t="s">
        <v>55</v>
      </c>
      <c r="E285" s="15" t="s">
        <v>56</v>
      </c>
      <c r="F285" s="15">
        <v>282.46140000000003</v>
      </c>
      <c r="G285" s="27"/>
      <c r="H285" s="27"/>
      <c r="I285" s="27"/>
      <c r="J285" s="22">
        <f>AVERAGE(2.6,1.9)</f>
        <v>2.25</v>
      </c>
      <c r="K285" s="22">
        <f t="shared" si="114"/>
        <v>2.2704339051463171E-2</v>
      </c>
      <c r="L285" s="22">
        <v>6.22</v>
      </c>
      <c r="M285" s="22">
        <f t="shared" si="111"/>
        <v>8.643127875171614E-5</v>
      </c>
      <c r="N285" s="22">
        <f t="shared" si="112"/>
        <v>6.0784680588857255E-2</v>
      </c>
      <c r="O285" s="22">
        <f>1.7/2</f>
        <v>0.85</v>
      </c>
      <c r="P285" s="22">
        <f t="shared" si="115"/>
        <v>8.5000000000000006E-3</v>
      </c>
      <c r="Q285" s="22">
        <f>0.0232131075187111/2</f>
        <v>1.1606553759355549E-2</v>
      </c>
      <c r="R285" s="22">
        <f t="shared" si="116"/>
        <v>1.1606553759355551E-2</v>
      </c>
      <c r="S285" s="22">
        <f t="shared" si="113"/>
        <v>1.072433102239261E-2</v>
      </c>
      <c r="T285" s="22">
        <f t="shared" si="117"/>
        <v>1.3961748064739283E-2</v>
      </c>
      <c r="U285" s="15">
        <f t="shared" si="118"/>
        <v>3.943654904813549</v>
      </c>
    </row>
    <row r="286" spans="3:21">
      <c r="C286" s="15" t="s">
        <v>156</v>
      </c>
      <c r="E286" s="15" t="s">
        <v>56</v>
      </c>
      <c r="F286" s="15">
        <v>282.46140000000003</v>
      </c>
      <c r="G286" s="27"/>
      <c r="H286" s="27"/>
      <c r="I286" s="27"/>
      <c r="J286" s="22">
        <f>AVERAGE(6.6,4)/2</f>
        <v>2.65</v>
      </c>
      <c r="K286" s="22">
        <f t="shared" si="114"/>
        <v>2.6740665993945509E-2</v>
      </c>
      <c r="L286" s="22">
        <v>1.6</v>
      </c>
      <c r="M286" s="22">
        <f t="shared" si="111"/>
        <v>2.2233126367000941E-5</v>
      </c>
      <c r="N286" s="22">
        <f t="shared" si="112"/>
        <v>1.5635930698098332E-2</v>
      </c>
      <c r="O286" s="22">
        <f>1.7/2</f>
        <v>0.85</v>
      </c>
      <c r="P286" s="22">
        <f t="shared" si="115"/>
        <v>8.5000000000000006E-3</v>
      </c>
      <c r="Q286" s="22">
        <f>0.0232131075187111/2</f>
        <v>1.1606553759355549E-2</v>
      </c>
      <c r="R286" s="22">
        <f t="shared" si="116"/>
        <v>1.1606553759355551E-2</v>
      </c>
      <c r="S286" s="22">
        <f t="shared" si="113"/>
        <v>1.1717363219917015E-2</v>
      </c>
      <c r="T286" s="22">
        <f t="shared" si="117"/>
        <v>1.5254552747200211E-2</v>
      </c>
      <c r="U286" s="15">
        <f t="shared" si="118"/>
        <v>4.308822325348018</v>
      </c>
    </row>
    <row r="287" spans="3:21">
      <c r="C287" s="15" t="s">
        <v>40</v>
      </c>
      <c r="D287" s="15" t="s">
        <v>57</v>
      </c>
      <c r="E287" s="15" t="s">
        <v>58</v>
      </c>
      <c r="F287" s="15">
        <v>280.44549999999998</v>
      </c>
      <c r="G287" s="27"/>
      <c r="H287" s="27"/>
      <c r="I287" s="27"/>
      <c r="J287" s="22">
        <v>0</v>
      </c>
      <c r="K287" s="22">
        <f t="shared" si="114"/>
        <v>0</v>
      </c>
      <c r="L287" s="22">
        <v>1.08</v>
      </c>
      <c r="M287" s="22">
        <f t="shared" si="111"/>
        <v>1.5115236293682731E-5</v>
      </c>
      <c r="N287" s="22">
        <f t="shared" si="112"/>
        <v>1.0630119366576705E-2</v>
      </c>
      <c r="O287" s="22">
        <v>1</v>
      </c>
      <c r="P287" s="22">
        <f t="shared" si="115"/>
        <v>0.01</v>
      </c>
      <c r="Q287" s="22">
        <v>3.7907538190726981E-3</v>
      </c>
      <c r="R287" s="22">
        <f t="shared" si="116"/>
        <v>3.7907538190726986E-3</v>
      </c>
      <c r="S287" s="22">
        <f>AVERAGE(K287,M287,P287,R287)</f>
        <v>3.451467263841595E-3</v>
      </c>
      <c r="T287" s="22">
        <f t="shared" si="117"/>
        <v>4.493382038547003E-3</v>
      </c>
      <c r="U287" s="15">
        <f t="shared" si="118"/>
        <v>1.2601487724913334</v>
      </c>
    </row>
    <row r="288" spans="3:21">
      <c r="C288" s="15" t="s">
        <v>209</v>
      </c>
      <c r="D288" s="15" t="s">
        <v>225</v>
      </c>
      <c r="E288" s="15" t="s">
        <v>60</v>
      </c>
      <c r="F288" s="15">
        <v>278.42959999999999</v>
      </c>
      <c r="G288" s="27"/>
      <c r="H288" s="27"/>
      <c r="I288" s="27"/>
      <c r="J288" s="27"/>
      <c r="K288" s="27"/>
      <c r="L288" s="22">
        <v>1.44</v>
      </c>
      <c r="M288" s="22">
        <f t="shared" si="111"/>
        <v>2.0299565850757245E-5</v>
      </c>
      <c r="N288" s="22">
        <f t="shared" si="112"/>
        <v>1.427611212227094E-2</v>
      </c>
      <c r="O288" s="22">
        <v>0</v>
      </c>
      <c r="P288" s="22">
        <f t="shared" si="115"/>
        <v>0</v>
      </c>
      <c r="Q288" s="22">
        <f>0.0101183673079829/2</f>
        <v>5.0591836539914496E-3</v>
      </c>
      <c r="R288" s="22">
        <f t="shared" si="116"/>
        <v>5.0591836539914505E-3</v>
      </c>
      <c r="S288" s="22">
        <f t="shared" si="113"/>
        <v>1.693161073280736E-3</v>
      </c>
      <c r="T288" s="22">
        <f>S288/$S$295</f>
        <v>2.2042855902908529E-3</v>
      </c>
      <c r="U288" s="15">
        <f t="shared" si="118"/>
        <v>0.61373835519044606</v>
      </c>
    </row>
    <row r="289" spans="3:21">
      <c r="C289" s="15" t="s">
        <v>157</v>
      </c>
      <c r="D289" s="15" t="s">
        <v>59</v>
      </c>
      <c r="E289" s="15" t="s">
        <v>60</v>
      </c>
      <c r="F289" s="15">
        <v>278.42959999999999</v>
      </c>
      <c r="G289" s="27"/>
      <c r="H289" s="27"/>
      <c r="I289" s="27"/>
      <c r="J289" s="27"/>
      <c r="K289" s="27"/>
      <c r="L289" s="22">
        <v>1.75</v>
      </c>
      <c r="M289" s="22">
        <f t="shared" si="111"/>
        <v>2.466961127696193E-5</v>
      </c>
      <c r="N289" s="22">
        <f t="shared" si="112"/>
        <v>1.7349441815259825E-2</v>
      </c>
      <c r="O289" s="22">
        <v>0</v>
      </c>
      <c r="P289" s="22">
        <f t="shared" si="115"/>
        <v>0</v>
      </c>
      <c r="Q289" s="22">
        <f>0.0101183673079829/2</f>
        <v>5.0591836539914496E-3</v>
      </c>
      <c r="R289" s="22">
        <f t="shared" si="116"/>
        <v>5.0591836539914505E-3</v>
      </c>
      <c r="S289" s="22">
        <f t="shared" si="113"/>
        <v>1.6946177550894708E-3</v>
      </c>
      <c r="T289" s="22">
        <f t="shared" si="117"/>
        <v>2.2061820092265962E-3</v>
      </c>
      <c r="U289" s="15">
        <f t="shared" si="118"/>
        <v>0.6142663743561575</v>
      </c>
    </row>
    <row r="290" spans="3:21">
      <c r="C290" s="28" t="s">
        <v>158</v>
      </c>
      <c r="D290" s="15" t="s">
        <v>218</v>
      </c>
      <c r="E290" s="15" t="s">
        <v>219</v>
      </c>
      <c r="F290" s="15">
        <v>276.41370000000001</v>
      </c>
      <c r="G290" s="27"/>
      <c r="H290" s="27"/>
      <c r="I290" s="27"/>
      <c r="J290" s="22">
        <v>0</v>
      </c>
      <c r="K290" s="22">
        <f t="shared" si="114"/>
        <v>0</v>
      </c>
      <c r="L290" s="22">
        <v>2.42</v>
      </c>
      <c r="M290" s="22">
        <f t="shared" si="111"/>
        <v>3.4363347402824094E-5</v>
      </c>
      <c r="N290" s="22">
        <f t="shared" si="112"/>
        <v>2.4166773024900161E-2</v>
      </c>
      <c r="O290" s="22">
        <v>0</v>
      </c>
      <c r="P290" s="22">
        <f t="shared" si="115"/>
        <v>0</v>
      </c>
      <c r="Q290" s="22">
        <v>0.10603094173727542</v>
      </c>
      <c r="R290" s="22">
        <f t="shared" si="116"/>
        <v>0.10603094173727544</v>
      </c>
      <c r="S290" s="22">
        <f t="shared" si="113"/>
        <v>2.6516326271169566E-2</v>
      </c>
      <c r="T290" s="22">
        <f t="shared" si="117"/>
        <v>3.4520966037646782E-2</v>
      </c>
      <c r="U290" s="15">
        <f t="shared" si="118"/>
        <v>9.5420679500402859</v>
      </c>
    </row>
    <row r="291" spans="3:21">
      <c r="C291" s="15" t="s">
        <v>43</v>
      </c>
      <c r="D291" s="15" t="s">
        <v>63</v>
      </c>
      <c r="E291" s="15" t="s">
        <v>64</v>
      </c>
      <c r="F291" s="15">
        <v>304.46690000000001</v>
      </c>
      <c r="G291" s="27"/>
      <c r="H291" s="27"/>
      <c r="I291" s="27"/>
      <c r="J291" s="22">
        <f>AVERAGE(5.1,0)</f>
        <v>2.5499999999999998</v>
      </c>
      <c r="K291" s="22">
        <f t="shared" si="114"/>
        <v>2.5731584258324922E-2</v>
      </c>
      <c r="L291" s="27"/>
      <c r="M291" s="27"/>
      <c r="N291" s="27"/>
      <c r="O291" s="22">
        <v>4.5999999999999996</v>
      </c>
      <c r="P291" s="22">
        <f t="shared" si="115"/>
        <v>4.5999999999999999E-2</v>
      </c>
      <c r="Q291" s="22">
        <v>7.7226567964943198E-3</v>
      </c>
      <c r="R291" s="22">
        <f t="shared" si="116"/>
        <v>7.7226567964943206E-3</v>
      </c>
      <c r="S291" s="22">
        <f t="shared" si="113"/>
        <v>2.648474701827308E-2</v>
      </c>
      <c r="T291" s="22">
        <f t="shared" si="117"/>
        <v>3.4479853769469604E-2</v>
      </c>
      <c r="U291" s="15">
        <f t="shared" si="118"/>
        <v>10.497974189643726</v>
      </c>
    </row>
    <row r="292" spans="3:21">
      <c r="C292" s="15" t="s">
        <v>44</v>
      </c>
      <c r="D292" s="15" t="s">
        <v>65</v>
      </c>
      <c r="E292" s="15" t="s">
        <v>66</v>
      </c>
      <c r="F292" s="15">
        <v>302.45100000000002</v>
      </c>
      <c r="G292" s="27"/>
      <c r="H292" s="27"/>
      <c r="I292" s="27"/>
      <c r="J292" s="22">
        <f>AVERAGE(31.2,42.8)</f>
        <v>37</v>
      </c>
      <c r="K292" s="22">
        <f t="shared" si="114"/>
        <v>0.37336024217961655</v>
      </c>
      <c r="L292" s="22">
        <v>13.09</v>
      </c>
      <c r="M292" s="22">
        <f>L292/F292*$M$31</f>
        <v>1.6987297115896456E-4</v>
      </c>
      <c r="N292" s="22">
        <f>M292/$M$295</f>
        <v>0.11946686942165366</v>
      </c>
      <c r="O292" s="22">
        <v>39.6</v>
      </c>
      <c r="P292" s="22">
        <f t="shared" si="115"/>
        <v>0.39600000000000002</v>
      </c>
      <c r="Q292" s="22">
        <v>0.41468742931411628</v>
      </c>
      <c r="R292" s="22">
        <f t="shared" si="116"/>
        <v>0.41468742931411634</v>
      </c>
      <c r="S292" s="22">
        <f t="shared" si="113"/>
        <v>0.29605438611622298</v>
      </c>
      <c r="T292" s="22">
        <f t="shared" si="117"/>
        <v>0.38542606935435475</v>
      </c>
      <c r="U292" s="15">
        <f t="shared" si="118"/>
        <v>116.57250010229396</v>
      </c>
    </row>
    <row r="293" spans="3:21">
      <c r="C293" s="15" t="s">
        <v>211</v>
      </c>
      <c r="D293" s="15" t="s">
        <v>221</v>
      </c>
      <c r="E293" s="15" t="s">
        <v>222</v>
      </c>
      <c r="F293" s="15">
        <v>330.50420000000003</v>
      </c>
      <c r="G293" s="27"/>
      <c r="H293" s="27"/>
      <c r="I293" s="27"/>
      <c r="J293" s="22">
        <f>AVERAGE(2.4,0)</f>
        <v>1.2</v>
      </c>
      <c r="K293" s="22">
        <f t="shared" si="114"/>
        <v>1.2108980827447024E-2</v>
      </c>
      <c r="L293" s="27"/>
      <c r="M293" s="27"/>
      <c r="N293" s="27"/>
      <c r="O293" s="22">
        <v>0.6</v>
      </c>
      <c r="P293" s="22">
        <f t="shared" si="115"/>
        <v>6.0000000000000001E-3</v>
      </c>
      <c r="Q293" s="22">
        <v>7.0906445520116344E-3</v>
      </c>
      <c r="R293" s="22">
        <f t="shared" si="116"/>
        <v>7.0906445520116353E-3</v>
      </c>
      <c r="S293" s="22">
        <f t="shared" si="113"/>
        <v>8.3998751264862202E-3</v>
      </c>
      <c r="T293" s="22">
        <f t="shared" si="117"/>
        <v>1.0935594961251578E-2</v>
      </c>
      <c r="U293" s="15">
        <f t="shared" si="118"/>
        <v>3.614260064192484</v>
      </c>
    </row>
    <row r="294" spans="3:21">
      <c r="C294" s="15" t="s">
        <v>159</v>
      </c>
      <c r="D294" s="15" t="s">
        <v>223</v>
      </c>
      <c r="E294" s="15" t="s">
        <v>224</v>
      </c>
      <c r="F294" s="15">
        <v>328.48829999999998</v>
      </c>
      <c r="G294" s="27"/>
      <c r="H294" s="27"/>
      <c r="I294" s="27"/>
      <c r="J294" s="22">
        <f>AVERAGE(9.7,14.1)</f>
        <v>11.899999999999999</v>
      </c>
      <c r="K294" s="22">
        <f t="shared" si="114"/>
        <v>0.12008072653884964</v>
      </c>
      <c r="L294" s="22">
        <v>24.58</v>
      </c>
      <c r="M294" s="22">
        <f>L294/F294*$M$31</f>
        <v>2.936984361391258E-4</v>
      </c>
      <c r="N294" s="22">
        <f>M294/$M$295</f>
        <v>0.20654982649795844</v>
      </c>
      <c r="O294" s="22">
        <v>10.6</v>
      </c>
      <c r="P294" s="22">
        <f t="shared" si="115"/>
        <v>0.106</v>
      </c>
      <c r="Q294" s="22">
        <v>0.14129719283206929</v>
      </c>
      <c r="R294" s="22">
        <f t="shared" si="116"/>
        <v>0.14129719283206932</v>
      </c>
      <c r="S294" s="22">
        <f t="shared" si="113"/>
        <v>9.1917904451764523E-2</v>
      </c>
      <c r="T294" s="22">
        <f t="shared" si="117"/>
        <v>0.1196657042676775</v>
      </c>
      <c r="U294" s="15">
        <f t="shared" si="118"/>
        <v>39.308783763192125</v>
      </c>
    </row>
    <row r="295" spans="3:21">
      <c r="C295" s="15" t="s">
        <v>17</v>
      </c>
      <c r="D295" s="15" t="s">
        <v>18</v>
      </c>
      <c r="E295" s="15" t="s">
        <v>18</v>
      </c>
      <c r="F295" s="15">
        <f t="shared" ref="F295:U295" si="119">SUM(F281:F294)</f>
        <v>3968.232</v>
      </c>
      <c r="G295" s="15">
        <f t="shared" si="119"/>
        <v>0</v>
      </c>
      <c r="H295" s="15">
        <f t="shared" si="119"/>
        <v>0</v>
      </c>
      <c r="I295" s="15">
        <f t="shared" si="119"/>
        <v>0</v>
      </c>
      <c r="J295" s="15">
        <f t="shared" si="119"/>
        <v>102.35</v>
      </c>
      <c r="K295" s="15">
        <f t="shared" si="119"/>
        <v>1.0327951564076692</v>
      </c>
      <c r="L295" s="15">
        <f t="shared" si="119"/>
        <v>100.00999999999999</v>
      </c>
      <c r="M295" s="15">
        <f t="shared" si="119"/>
        <v>1.4219253587319219E-3</v>
      </c>
      <c r="N295" s="15">
        <f t="shared" si="119"/>
        <v>1</v>
      </c>
      <c r="O295" s="15">
        <f t="shared" si="119"/>
        <v>100</v>
      </c>
      <c r="P295" s="15">
        <f t="shared" si="119"/>
        <v>1.0000000000000002</v>
      </c>
      <c r="Q295" s="15">
        <f t="shared" si="119"/>
        <v>0.99999999999999989</v>
      </c>
      <c r="R295" s="15">
        <f t="shared" si="119"/>
        <v>1</v>
      </c>
      <c r="S295" s="15">
        <f t="shared" si="119"/>
        <v>0.76812237068488265</v>
      </c>
      <c r="T295" s="15">
        <f t="shared" si="119"/>
        <v>1</v>
      </c>
      <c r="U295" s="15">
        <f t="shared" si="119"/>
        <v>284.9633373846745</v>
      </c>
    </row>
    <row r="299" spans="3:21">
      <c r="C299" s="15" t="s">
        <v>287</v>
      </c>
      <c r="G299" s="15" t="s">
        <v>189</v>
      </c>
      <c r="J299" s="15" t="s">
        <v>191</v>
      </c>
      <c r="L299" s="15" t="s">
        <v>195</v>
      </c>
      <c r="O299" s="15" t="s">
        <v>196</v>
      </c>
      <c r="Q299" s="15" t="s">
        <v>204</v>
      </c>
    </row>
    <row r="300" spans="3:21">
      <c r="C300" s="15" t="s">
        <v>13</v>
      </c>
      <c r="D300" s="15" t="s">
        <v>14</v>
      </c>
      <c r="E300" s="15" t="s">
        <v>15</v>
      </c>
      <c r="F300" s="15" t="s">
        <v>16</v>
      </c>
      <c r="G300" s="15" t="s">
        <v>212</v>
      </c>
      <c r="H300" s="15" t="s">
        <v>226</v>
      </c>
      <c r="J300" s="15" t="s">
        <v>210</v>
      </c>
      <c r="L300" s="15" t="s">
        <v>212</v>
      </c>
      <c r="O300" s="15" t="s">
        <v>214</v>
      </c>
      <c r="Q300" s="15" t="s">
        <v>217</v>
      </c>
      <c r="T300" s="15" t="s">
        <v>112</v>
      </c>
      <c r="U300" s="15" t="s">
        <v>271</v>
      </c>
    </row>
    <row r="301" spans="3:21">
      <c r="C301" s="15" t="s">
        <v>235</v>
      </c>
      <c r="D301" s="15" t="s">
        <v>276</v>
      </c>
      <c r="E301" s="15" t="s">
        <v>277</v>
      </c>
      <c r="F301" s="15">
        <v>269.44</v>
      </c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2">
        <v>0.4034492920750849</v>
      </c>
      <c r="R301" s="22">
        <f>Q301/$Q$311</f>
        <v>0.42534075708336738</v>
      </c>
      <c r="S301" s="22">
        <f>AVERAGE(K301,M301,P301,R301)</f>
        <v>0.42534075708336738</v>
      </c>
      <c r="T301" s="22">
        <f>S301/$S$311</f>
        <v>0.42534075708336738</v>
      </c>
      <c r="U301" s="15">
        <f>T301*F301</f>
        <v>114.60381358854251</v>
      </c>
    </row>
    <row r="302" spans="3:21">
      <c r="C302" s="15" t="s">
        <v>45</v>
      </c>
      <c r="D302" s="15" t="s">
        <v>53</v>
      </c>
      <c r="E302" s="15" t="s">
        <v>54</v>
      </c>
      <c r="F302" s="15">
        <v>284.47719999999998</v>
      </c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2">
        <v>5.7457876865910695E-2</v>
      </c>
      <c r="R302" s="22">
        <f t="shared" ref="R302:R310" si="120">Q302/$Q$311</f>
        <v>6.0575584903990967E-2</v>
      </c>
      <c r="S302" s="22">
        <f t="shared" ref="S302:S310" si="121">AVERAGE(K302,M302,P302,R302)</f>
        <v>6.0575584903990967E-2</v>
      </c>
      <c r="T302" s="22">
        <f>S302/$S$311</f>
        <v>6.0575584903990967E-2</v>
      </c>
      <c r="U302" s="15">
        <f t="shared" ref="U302:U310" si="122">T302*F302</f>
        <v>17.23237278184962</v>
      </c>
    </row>
    <row r="303" spans="3:21">
      <c r="C303" s="15" t="s">
        <v>39</v>
      </c>
      <c r="D303" s="15" t="s">
        <v>55</v>
      </c>
      <c r="E303" s="15" t="s">
        <v>56</v>
      </c>
      <c r="F303" s="15">
        <v>282.46140000000003</v>
      </c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2">
        <f>0.406002306361714/2</f>
        <v>0.20300115318085701</v>
      </c>
      <c r="R303" s="22">
        <f t="shared" si="120"/>
        <v>0.21401614993210341</v>
      </c>
      <c r="S303" s="22">
        <f t="shared" si="121"/>
        <v>0.21401614993210341</v>
      </c>
      <c r="T303" s="22">
        <f t="shared" ref="T303:T310" si="123">S303/$S$311</f>
        <v>0.21401614993210341</v>
      </c>
      <c r="U303" s="15">
        <f t="shared" si="122"/>
        <v>60.451301332431839</v>
      </c>
    </row>
    <row r="304" spans="3:21">
      <c r="C304" s="15" t="s">
        <v>288</v>
      </c>
      <c r="D304" s="15" t="s">
        <v>293</v>
      </c>
      <c r="E304" s="15" t="s">
        <v>294</v>
      </c>
      <c r="F304" s="15">
        <v>294.255</v>
      </c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2">
        <v>4.67339355500032E-2</v>
      </c>
      <c r="R304" s="22">
        <f t="shared" si="120"/>
        <v>4.926975438743425E-2</v>
      </c>
      <c r="S304" s="22">
        <f t="shared" si="121"/>
        <v>4.926975438743425E-2</v>
      </c>
      <c r="T304" s="22">
        <f t="shared" si="123"/>
        <v>4.926975438743425E-2</v>
      </c>
      <c r="U304" s="15">
        <f t="shared" si="122"/>
        <v>14.497871577274465</v>
      </c>
    </row>
    <row r="305" spans="3:21">
      <c r="C305" s="15" t="s">
        <v>284</v>
      </c>
      <c r="D305" s="15" t="s">
        <v>285</v>
      </c>
      <c r="E305" s="15" t="s">
        <v>286</v>
      </c>
      <c r="F305" s="15">
        <v>311.52</v>
      </c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2">
        <v>2.6956243193029659E-2</v>
      </c>
      <c r="R305" s="22">
        <f t="shared" si="120"/>
        <v>2.8418909421986972E-2</v>
      </c>
      <c r="S305" s="22">
        <f t="shared" si="121"/>
        <v>2.8418909421986972E-2</v>
      </c>
      <c r="T305" s="22">
        <f t="shared" si="123"/>
        <v>2.8418909421986972E-2</v>
      </c>
      <c r="U305" s="15">
        <f t="shared" si="122"/>
        <v>8.8530586631373804</v>
      </c>
    </row>
    <row r="306" spans="3:21">
      <c r="C306" s="15" t="s">
        <v>216</v>
      </c>
      <c r="D306" s="15" t="s">
        <v>220</v>
      </c>
      <c r="E306" s="15" t="s">
        <v>295</v>
      </c>
      <c r="F306" s="15">
        <v>339.57</v>
      </c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2">
        <v>1.2666410404253954E-2</v>
      </c>
      <c r="R306" s="22">
        <f t="shared" si="120"/>
        <v>1.3353699452944776E-2</v>
      </c>
      <c r="S306" s="22">
        <f t="shared" si="121"/>
        <v>1.3353699452944776E-2</v>
      </c>
      <c r="T306" s="22">
        <f t="shared" si="123"/>
        <v>1.3353699452944776E-2</v>
      </c>
      <c r="U306" s="15">
        <f t="shared" si="122"/>
        <v>4.5345157232364572</v>
      </c>
    </row>
    <row r="307" spans="3:21">
      <c r="C307" s="15" t="s">
        <v>289</v>
      </c>
      <c r="D307" s="15" t="s">
        <v>296</v>
      </c>
      <c r="E307" s="15" t="s">
        <v>297</v>
      </c>
      <c r="F307" s="15">
        <v>335.54</v>
      </c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2">
        <v>4.67339355500032E-2</v>
      </c>
      <c r="R307" s="22">
        <f t="shared" si="120"/>
        <v>4.926975438743425E-2</v>
      </c>
      <c r="S307" s="22">
        <f t="shared" si="121"/>
        <v>4.926975438743425E-2</v>
      </c>
      <c r="T307" s="22">
        <f t="shared" si="123"/>
        <v>4.926975438743425E-2</v>
      </c>
      <c r="U307" s="15">
        <f t="shared" si="122"/>
        <v>16.531973387159688</v>
      </c>
    </row>
    <row r="308" spans="3:21">
      <c r="C308" s="15" t="s">
        <v>290</v>
      </c>
      <c r="D308" s="15" t="s">
        <v>298</v>
      </c>
      <c r="E308" s="15" t="s">
        <v>299</v>
      </c>
      <c r="F308" s="15">
        <v>367.63</v>
      </c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2">
        <v>7.4234736370042922E-2</v>
      </c>
      <c r="R308" s="22">
        <f t="shared" si="120"/>
        <v>7.8262769546865119E-2</v>
      </c>
      <c r="S308" s="22">
        <f t="shared" si="121"/>
        <v>7.8262769546865119E-2</v>
      </c>
      <c r="T308" s="22">
        <f t="shared" si="123"/>
        <v>7.8262769546865119E-2</v>
      </c>
      <c r="U308" s="15">
        <f t="shared" si="122"/>
        <v>28.771741968514021</v>
      </c>
    </row>
    <row r="309" spans="3:21">
      <c r="C309" s="15" t="s">
        <v>291</v>
      </c>
      <c r="D309" s="15">
        <v>10468</v>
      </c>
      <c r="E309" s="15" t="s">
        <v>300</v>
      </c>
      <c r="F309" s="15">
        <v>382.7</v>
      </c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2">
        <v>1.5822922672816962E-2</v>
      </c>
      <c r="R309" s="22">
        <f t="shared" si="120"/>
        <v>1.6681486474575392E-2</v>
      </c>
      <c r="S309" s="22">
        <f t="shared" si="121"/>
        <v>1.6681486474575392E-2</v>
      </c>
      <c r="T309" s="22">
        <f t="shared" si="123"/>
        <v>1.6681486474575392E-2</v>
      </c>
      <c r="U309" s="15">
        <f t="shared" si="122"/>
        <v>6.3840048738200021</v>
      </c>
    </row>
    <row r="310" spans="3:21">
      <c r="C310" s="15" t="s">
        <v>292</v>
      </c>
      <c r="D310" s="15" t="s">
        <v>301</v>
      </c>
      <c r="E310" s="15" t="s">
        <v>302</v>
      </c>
      <c r="F310" s="15">
        <v>396.68990000000002</v>
      </c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2">
        <v>6.1475430841181358E-2</v>
      </c>
      <c r="R310" s="22">
        <f t="shared" si="120"/>
        <v>6.4811134409297547E-2</v>
      </c>
      <c r="S310" s="22">
        <f t="shared" si="121"/>
        <v>6.4811134409297547E-2</v>
      </c>
      <c r="T310" s="22">
        <f t="shared" si="123"/>
        <v>6.4811134409297547E-2</v>
      </c>
      <c r="U310" s="15">
        <f t="shared" si="122"/>
        <v>25.709922427710804</v>
      </c>
    </row>
    <row r="311" spans="3:21">
      <c r="C311" s="15" t="s">
        <v>17</v>
      </c>
      <c r="D311" s="15" t="s">
        <v>18</v>
      </c>
      <c r="E311" s="15" t="s">
        <v>18</v>
      </c>
      <c r="F311" s="15">
        <f t="shared" ref="F311:P311" si="124">SUM(F301:F307)</f>
        <v>2117.2636000000002</v>
      </c>
      <c r="G311" s="15">
        <f t="shared" si="124"/>
        <v>0</v>
      </c>
      <c r="H311" s="15">
        <f t="shared" si="124"/>
        <v>0</v>
      </c>
      <c r="I311" s="15">
        <f t="shared" si="124"/>
        <v>0</v>
      </c>
      <c r="J311" s="15">
        <f t="shared" si="124"/>
        <v>0</v>
      </c>
      <c r="K311" s="15">
        <f t="shared" si="124"/>
        <v>0</v>
      </c>
      <c r="L311" s="15">
        <f t="shared" si="124"/>
        <v>0</v>
      </c>
      <c r="M311" s="15">
        <f t="shared" si="124"/>
        <v>0</v>
      </c>
      <c r="N311" s="15">
        <f t="shared" si="124"/>
        <v>0</v>
      </c>
      <c r="O311" s="15">
        <f t="shared" si="124"/>
        <v>0</v>
      </c>
      <c r="P311" s="15">
        <f t="shared" si="124"/>
        <v>0</v>
      </c>
      <c r="Q311" s="15">
        <f>SUM(Q301:Q310)</f>
        <v>0.94853193670318381</v>
      </c>
      <c r="R311" s="15">
        <f>SUM(R301:R310)</f>
        <v>1</v>
      </c>
      <c r="S311" s="15">
        <f>SUM(S301:S310)</f>
        <v>1</v>
      </c>
      <c r="T311" s="15">
        <f>SUM(T301:T310)</f>
        <v>1</v>
      </c>
      <c r="U311" s="15">
        <f>SUM(U301:U310)</f>
        <v>297.57057632367679</v>
      </c>
    </row>
  </sheetData>
  <dataConsolidate link="1"/>
  <phoneticPr fontId="5" type="noConversion"/>
  <dataValidations disablePrompts="1" count="3">
    <dataValidation type="custom" allowBlank="1" showInputMessage="1" showErrorMessage="1" sqref="J126:J128" xr:uid="{34D038F5-6410-4F3E-87DC-21AE7DD5AE2A}">
      <formula1>J126=""</formula1>
    </dataValidation>
    <dataValidation type="custom" showInputMessage="1" showErrorMessage="1" errorTitle="Not writable" sqref="L152:N152 G144:N144 G152:I152" xr:uid="{A18F9795-E5AD-450D-9B50-F0BB32818B95}">
      <formula1>""</formula1>
    </dataValidation>
    <dataValidation type="custom" showInputMessage="1" showErrorMessage="1" sqref="J267:K268 Q196:R197 J270:K270 J288:K289 Q263:R263 Q266:R271 L291:N291 Q224:R235 L75:N75 R126:R128 Q127:Q128 Q133:R134 Q123:R123 L193:P193 Q167:R169 R186 Q189:R192 L184:M185 R181:R184 Q181:Q186 Q175:R175 Q216 Q130:R131 O82:R93 O103:R113 J181:K197 L194:N194 L196:N196 N185:P185 N184 L293:N293 Q66:R68 G196:I196 O65:P77 Q72:R73 Q145:R145 G184:I185 G193:I194 Q194:R194" xr:uid="{7D5635F5-5765-497A-AD1E-E8A844174B00}">
      <formula1>""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FB35-A6E9-4B70-A948-46F64A99064E}">
  <dimension ref="C3:AP383"/>
  <sheetViews>
    <sheetView topLeftCell="C1" workbookViewId="0">
      <selection activeCell="AA353" sqref="Z351:AA353"/>
    </sheetView>
  </sheetViews>
  <sheetFormatPr defaultRowHeight="15"/>
  <cols>
    <col min="1" max="2" width="0" style="44" hidden="1" customWidth="1"/>
    <col min="3" max="3" width="48.5703125" style="44" bestFit="1" customWidth="1"/>
    <col min="4" max="11" width="11" style="44" customWidth="1"/>
    <col min="12" max="32" width="12" style="44" customWidth="1"/>
    <col min="33" max="33" width="12" style="44" bestFit="1" customWidth="1"/>
    <col min="34" max="34" width="9.140625" style="44"/>
    <col min="35" max="35" width="12" style="44" bestFit="1" customWidth="1"/>
    <col min="36" max="16384" width="9.140625" style="44"/>
  </cols>
  <sheetData>
    <row r="3" spans="3:35">
      <c r="C3" s="44" t="s">
        <v>315</v>
      </c>
      <c r="D3" s="44" t="s">
        <v>316</v>
      </c>
      <c r="E3" s="44" t="s">
        <v>317</v>
      </c>
      <c r="F3" s="44" t="s">
        <v>318</v>
      </c>
      <c r="G3" s="44" t="s">
        <v>319</v>
      </c>
      <c r="H3" s="44" t="s">
        <v>320</v>
      </c>
      <c r="I3" s="44" t="s">
        <v>321</v>
      </c>
      <c r="J3" s="44" t="s">
        <v>322</v>
      </c>
      <c r="K3" s="44" t="s">
        <v>323</v>
      </c>
      <c r="L3" s="44" t="s">
        <v>324</v>
      </c>
      <c r="M3" s="44" t="s">
        <v>325</v>
      </c>
      <c r="N3" s="44" t="s">
        <v>326</v>
      </c>
      <c r="O3" s="44" t="s">
        <v>327</v>
      </c>
      <c r="P3" s="44" t="s">
        <v>328</v>
      </c>
      <c r="Q3" s="44" t="s">
        <v>329</v>
      </c>
      <c r="R3" s="44" t="s">
        <v>330</v>
      </c>
      <c r="S3" s="44" t="s">
        <v>331</v>
      </c>
      <c r="T3" s="44" t="s">
        <v>332</v>
      </c>
      <c r="U3" s="44" t="s">
        <v>333</v>
      </c>
      <c r="V3" s="44" t="s">
        <v>334</v>
      </c>
      <c r="W3" s="44" t="s">
        <v>335</v>
      </c>
      <c r="X3" s="44" t="s">
        <v>336</v>
      </c>
      <c r="Y3" s="44" t="s">
        <v>337</v>
      </c>
      <c r="Z3" s="44" t="s">
        <v>338</v>
      </c>
      <c r="AA3" s="44" t="s">
        <v>339</v>
      </c>
      <c r="AB3" s="44" t="s">
        <v>340</v>
      </c>
      <c r="AC3" s="44" t="s">
        <v>341</v>
      </c>
      <c r="AD3" s="44" t="s">
        <v>342</v>
      </c>
      <c r="AE3" s="44" t="s">
        <v>343</v>
      </c>
      <c r="AF3" s="44" t="s">
        <v>344</v>
      </c>
      <c r="AG3" s="45" t="s">
        <v>345</v>
      </c>
      <c r="AH3" s="45" t="s">
        <v>346</v>
      </c>
      <c r="AI3" s="45"/>
    </row>
    <row r="4" spans="3:35">
      <c r="C4" s="44" t="s">
        <v>347</v>
      </c>
      <c r="D4" s="44">
        <v>4.8879981526271784E-4</v>
      </c>
      <c r="E4" s="44">
        <f>((LEN($C4)-LEN(SUBSTITUTE($C4,E$3,"")))/4)*$D4</f>
        <v>4.8879981526271784E-4</v>
      </c>
      <c r="F4" s="44">
        <f t="shared" ref="E4:T19" si="0">((LEN($C4)-LEN(SUBSTITUTE($C4,F$3,"")))/4)*$D4</f>
        <v>0</v>
      </c>
      <c r="G4" s="44">
        <f t="shared" si="0"/>
        <v>4.8879981526271784E-4</v>
      </c>
      <c r="H4" s="44">
        <f t="shared" si="0"/>
        <v>0</v>
      </c>
      <c r="I4" s="44">
        <f t="shared" si="0"/>
        <v>0</v>
      </c>
      <c r="J4" s="44">
        <f t="shared" si="0"/>
        <v>0</v>
      </c>
      <c r="K4" s="44">
        <f t="shared" si="0"/>
        <v>0</v>
      </c>
      <c r="L4" s="44">
        <f t="shared" si="0"/>
        <v>0</v>
      </c>
      <c r="M4" s="44">
        <f t="shared" si="0"/>
        <v>0</v>
      </c>
      <c r="N4" s="44">
        <f t="shared" si="0"/>
        <v>0</v>
      </c>
      <c r="O4" s="44">
        <f t="shared" si="0"/>
        <v>0</v>
      </c>
      <c r="P4" s="44">
        <f t="shared" si="0"/>
        <v>0</v>
      </c>
      <c r="Q4" s="44">
        <f t="shared" si="0"/>
        <v>0</v>
      </c>
      <c r="R4" s="44">
        <f t="shared" si="0"/>
        <v>4.8879981526271784E-4</v>
      </c>
      <c r="S4" s="44">
        <f t="shared" si="0"/>
        <v>0</v>
      </c>
      <c r="T4" s="44">
        <f t="shared" si="0"/>
        <v>0</v>
      </c>
      <c r="U4" s="44">
        <f t="shared" ref="O4:AD19" si="1">((LEN($C4)-LEN(SUBSTITUTE($C4,U$3,"")))/4)*$D4</f>
        <v>0</v>
      </c>
      <c r="V4" s="44">
        <f t="shared" si="1"/>
        <v>0</v>
      </c>
      <c r="W4" s="44">
        <f t="shared" si="1"/>
        <v>0</v>
      </c>
      <c r="X4" s="44">
        <f t="shared" si="1"/>
        <v>0</v>
      </c>
      <c r="Y4" s="44">
        <f t="shared" si="1"/>
        <v>0</v>
      </c>
      <c r="Z4" s="44">
        <f t="shared" si="1"/>
        <v>0</v>
      </c>
      <c r="AA4" s="44">
        <f t="shared" si="1"/>
        <v>0</v>
      </c>
      <c r="AB4" s="44">
        <f t="shared" si="1"/>
        <v>0</v>
      </c>
      <c r="AC4" s="44">
        <f t="shared" si="1"/>
        <v>0</v>
      </c>
      <c r="AD4" s="44">
        <f t="shared" si="1"/>
        <v>0</v>
      </c>
      <c r="AE4" s="44">
        <f>SUM(E4:AD4)/IF(ISNUMBER(SEARCH(";", C4)), IF(ISNUMBER(SEARCH(";", C4, SEARCH(";", C4)+1)), 9, 6), 3)</f>
        <v>4.8879981526271784E-4</v>
      </c>
      <c r="AF4" s="44">
        <f t="shared" ref="AF4:AF67" si="2">D4-AE4</f>
        <v>0</v>
      </c>
      <c r="AG4" s="44">
        <f>Table1[[#This Row],[Column2]]/$D$141*0.5</f>
        <v>4.0768488030268693E-4</v>
      </c>
      <c r="AH4" s="44">
        <f>Table1[[#This Row],[Column29]]/$D$141*1.5</f>
        <v>1.2230546409080609E-3</v>
      </c>
    </row>
    <row r="5" spans="3:35">
      <c r="C5" s="44" t="s">
        <v>348</v>
      </c>
      <c r="D5" s="44">
        <v>2.0932193929113749E-4</v>
      </c>
      <c r="E5" s="44">
        <f t="shared" si="0"/>
        <v>2.0932193929113749E-4</v>
      </c>
      <c r="F5" s="44">
        <f t="shared" si="0"/>
        <v>0</v>
      </c>
      <c r="G5" s="44">
        <f t="shared" si="0"/>
        <v>0</v>
      </c>
      <c r="H5" s="44">
        <f t="shared" si="0"/>
        <v>0</v>
      </c>
      <c r="I5" s="44">
        <f t="shared" si="0"/>
        <v>2.0932193929113749E-4</v>
      </c>
      <c r="J5" s="44">
        <f t="shared" si="0"/>
        <v>0</v>
      </c>
      <c r="K5" s="44">
        <f t="shared" si="0"/>
        <v>0</v>
      </c>
      <c r="L5" s="44">
        <f t="shared" si="0"/>
        <v>0</v>
      </c>
      <c r="M5" s="44">
        <f t="shared" si="0"/>
        <v>0</v>
      </c>
      <c r="N5" s="44">
        <f t="shared" si="0"/>
        <v>0</v>
      </c>
      <c r="O5" s="44">
        <f t="shared" si="1"/>
        <v>0</v>
      </c>
      <c r="P5" s="44">
        <f t="shared" si="1"/>
        <v>0</v>
      </c>
      <c r="Q5" s="44">
        <f t="shared" si="1"/>
        <v>0</v>
      </c>
      <c r="R5" s="44">
        <f t="shared" si="1"/>
        <v>2.0932193929113749E-4</v>
      </c>
      <c r="S5" s="44">
        <f t="shared" si="1"/>
        <v>0</v>
      </c>
      <c r="T5" s="44">
        <f t="shared" si="1"/>
        <v>0</v>
      </c>
      <c r="U5" s="44">
        <f t="shared" si="1"/>
        <v>0</v>
      </c>
      <c r="V5" s="44">
        <f t="shared" si="1"/>
        <v>0</v>
      </c>
      <c r="W5" s="44">
        <f t="shared" si="1"/>
        <v>0</v>
      </c>
      <c r="X5" s="44">
        <f t="shared" si="1"/>
        <v>0</v>
      </c>
      <c r="Y5" s="44">
        <f t="shared" si="1"/>
        <v>0</v>
      </c>
      <c r="Z5" s="44">
        <f t="shared" si="1"/>
        <v>0</v>
      </c>
      <c r="AA5" s="44">
        <f t="shared" si="1"/>
        <v>0</v>
      </c>
      <c r="AB5" s="44">
        <f t="shared" si="1"/>
        <v>0</v>
      </c>
      <c r="AC5" s="44">
        <f t="shared" si="1"/>
        <v>0</v>
      </c>
      <c r="AD5" s="44">
        <f t="shared" si="1"/>
        <v>0</v>
      </c>
      <c r="AE5" s="44">
        <f t="shared" ref="AE5:AE68" si="3">SUM(E5:AD5)/IF(ISNUMBER(SEARCH(";", C5)), IF(ISNUMBER(SEARCH(";", C5, SEARCH(";", C5)+1)), 9, 6), 3)</f>
        <v>2.0932193929113752E-4</v>
      </c>
      <c r="AF5" s="44">
        <f t="shared" si="2"/>
        <v>0</v>
      </c>
      <c r="AG5" s="44">
        <f>Table1[[#This Row],[Column2]]/$D$141*0.5</f>
        <v>1.7458556059143956E-4</v>
      </c>
      <c r="AH5" s="44">
        <f>Table1[[#This Row],[Column29]]/$D$141*1.5</f>
        <v>5.2375668177431865E-4</v>
      </c>
    </row>
    <row r="6" spans="3:35">
      <c r="C6" s="44" t="s">
        <v>349</v>
      </c>
      <c r="D6" s="44">
        <v>2.6552689958800514E-4</v>
      </c>
      <c r="E6" s="44">
        <f t="shared" si="0"/>
        <v>2.6552689958800514E-4</v>
      </c>
      <c r="F6" s="44">
        <f t="shared" si="0"/>
        <v>2.6552689958800514E-4</v>
      </c>
      <c r="G6" s="44">
        <f t="shared" si="0"/>
        <v>2.6552689958800514E-4</v>
      </c>
      <c r="H6" s="44">
        <f t="shared" si="0"/>
        <v>0</v>
      </c>
      <c r="I6" s="44">
        <f t="shared" si="0"/>
        <v>2.6552689958800514E-4</v>
      </c>
      <c r="J6" s="44">
        <f t="shared" si="0"/>
        <v>0</v>
      </c>
      <c r="K6" s="44">
        <f t="shared" si="0"/>
        <v>0</v>
      </c>
      <c r="L6" s="44">
        <f t="shared" si="0"/>
        <v>0</v>
      </c>
      <c r="M6" s="44">
        <f t="shared" si="0"/>
        <v>0</v>
      </c>
      <c r="N6" s="44">
        <f t="shared" si="0"/>
        <v>0</v>
      </c>
      <c r="O6" s="44">
        <f t="shared" si="1"/>
        <v>0</v>
      </c>
      <c r="P6" s="44">
        <f t="shared" si="1"/>
        <v>0</v>
      </c>
      <c r="Q6" s="44">
        <f t="shared" si="1"/>
        <v>0</v>
      </c>
      <c r="R6" s="44">
        <f t="shared" si="1"/>
        <v>5.3105379917601028E-4</v>
      </c>
      <c r="S6" s="44">
        <f t="shared" si="1"/>
        <v>0</v>
      </c>
      <c r="T6" s="44">
        <f t="shared" si="1"/>
        <v>0</v>
      </c>
      <c r="U6" s="44">
        <f t="shared" si="1"/>
        <v>0</v>
      </c>
      <c r="V6" s="44">
        <f t="shared" si="1"/>
        <v>0</v>
      </c>
      <c r="W6" s="44">
        <f t="shared" si="1"/>
        <v>0</v>
      </c>
      <c r="X6" s="44">
        <f t="shared" si="1"/>
        <v>0</v>
      </c>
      <c r="Y6" s="44">
        <f t="shared" si="1"/>
        <v>0</v>
      </c>
      <c r="Z6" s="44">
        <f t="shared" si="1"/>
        <v>0</v>
      </c>
      <c r="AA6" s="44">
        <f t="shared" si="1"/>
        <v>0</v>
      </c>
      <c r="AB6" s="44">
        <f t="shared" si="1"/>
        <v>0</v>
      </c>
      <c r="AC6" s="44">
        <f t="shared" si="1"/>
        <v>0</v>
      </c>
      <c r="AD6" s="44">
        <f t="shared" si="1"/>
        <v>0</v>
      </c>
      <c r="AE6" s="44">
        <f t="shared" si="3"/>
        <v>2.6552689958800514E-4</v>
      </c>
      <c r="AF6" s="44">
        <f t="shared" si="2"/>
        <v>0</v>
      </c>
      <c r="AG6" s="44">
        <f>Table1[[#This Row],[Column2]]/$D$141*0.5</f>
        <v>2.2146346806104465E-4</v>
      </c>
      <c r="AH6" s="44">
        <f>Table1[[#This Row],[Column29]]/$D$141*1.5</f>
        <v>6.6439040418313396E-4</v>
      </c>
    </row>
    <row r="7" spans="3:35">
      <c r="C7" s="44" t="s">
        <v>350</v>
      </c>
      <c r="D7" s="44">
        <v>4.532778220067974E-4</v>
      </c>
      <c r="E7" s="44">
        <f t="shared" si="0"/>
        <v>4.532778220067974E-4</v>
      </c>
      <c r="F7" s="44">
        <f t="shared" si="0"/>
        <v>0</v>
      </c>
      <c r="G7" s="44">
        <f t="shared" si="0"/>
        <v>0</v>
      </c>
      <c r="H7" s="44">
        <f t="shared" si="0"/>
        <v>0</v>
      </c>
      <c r="I7" s="44">
        <f t="shared" si="0"/>
        <v>0</v>
      </c>
      <c r="J7" s="44">
        <f t="shared" si="0"/>
        <v>0</v>
      </c>
      <c r="K7" s="44">
        <f t="shared" si="0"/>
        <v>9.0655564401359481E-4</v>
      </c>
      <c r="L7" s="44">
        <f t="shared" si="0"/>
        <v>0</v>
      </c>
      <c r="M7" s="44">
        <f t="shared" si="0"/>
        <v>0</v>
      </c>
      <c r="N7" s="44">
        <f t="shared" si="0"/>
        <v>0</v>
      </c>
      <c r="O7" s="44">
        <f t="shared" si="1"/>
        <v>0</v>
      </c>
      <c r="P7" s="44">
        <f t="shared" si="1"/>
        <v>0</v>
      </c>
      <c r="Q7" s="44">
        <f t="shared" si="1"/>
        <v>0</v>
      </c>
      <c r="R7" s="44">
        <f t="shared" si="1"/>
        <v>0</v>
      </c>
      <c r="S7" s="44">
        <f t="shared" si="1"/>
        <v>0</v>
      </c>
      <c r="T7" s="44">
        <f t="shared" si="1"/>
        <v>0</v>
      </c>
      <c r="U7" s="44">
        <f t="shared" si="1"/>
        <v>0</v>
      </c>
      <c r="V7" s="44">
        <f t="shared" si="1"/>
        <v>0</v>
      </c>
      <c r="W7" s="44">
        <f t="shared" si="1"/>
        <v>0</v>
      </c>
      <c r="X7" s="44">
        <f t="shared" si="1"/>
        <v>0</v>
      </c>
      <c r="Y7" s="44">
        <f t="shared" si="1"/>
        <v>0</v>
      </c>
      <c r="Z7" s="44">
        <f t="shared" si="1"/>
        <v>0</v>
      </c>
      <c r="AA7" s="44">
        <f t="shared" si="1"/>
        <v>0</v>
      </c>
      <c r="AB7" s="44">
        <f t="shared" si="1"/>
        <v>0</v>
      </c>
      <c r="AC7" s="44">
        <f t="shared" si="1"/>
        <v>0</v>
      </c>
      <c r="AD7" s="44">
        <f t="shared" si="1"/>
        <v>0</v>
      </c>
      <c r="AE7" s="44">
        <f t="shared" si="3"/>
        <v>4.532778220067974E-4</v>
      </c>
      <c r="AF7" s="44">
        <f t="shared" si="2"/>
        <v>0</v>
      </c>
      <c r="AG7" s="44">
        <f>Table1[[#This Row],[Column2]]/$D$141*0.5</f>
        <v>3.7805766049518931E-4</v>
      </c>
      <c r="AH7" s="44">
        <f>Table1[[#This Row],[Column29]]/$D$141*1.5</f>
        <v>1.1341729814855679E-3</v>
      </c>
    </row>
    <row r="8" spans="3:35">
      <c r="C8" s="44" t="s">
        <v>351</v>
      </c>
      <c r="D8" s="44">
        <v>2.592704452919624E-3</v>
      </c>
      <c r="E8" s="44">
        <f t="shared" si="0"/>
        <v>2.592704452919624E-3</v>
      </c>
      <c r="F8" s="44">
        <f t="shared" si="0"/>
        <v>0</v>
      </c>
      <c r="G8" s="44">
        <f t="shared" si="0"/>
        <v>5.1854089058392481E-3</v>
      </c>
      <c r="H8" s="44">
        <f t="shared" si="0"/>
        <v>0</v>
      </c>
      <c r="I8" s="44">
        <f t="shared" si="0"/>
        <v>0</v>
      </c>
      <c r="J8" s="44">
        <f t="shared" si="0"/>
        <v>0</v>
      </c>
      <c r="K8" s="44">
        <f t="shared" si="0"/>
        <v>7.7781133587588721E-3</v>
      </c>
      <c r="L8" s="44">
        <f t="shared" si="0"/>
        <v>0</v>
      </c>
      <c r="M8" s="44">
        <f t="shared" si="0"/>
        <v>0</v>
      </c>
      <c r="N8" s="44">
        <f t="shared" si="0"/>
        <v>0</v>
      </c>
      <c r="O8" s="44">
        <f t="shared" si="1"/>
        <v>0</v>
      </c>
      <c r="P8" s="44">
        <f t="shared" si="1"/>
        <v>0</v>
      </c>
      <c r="Q8" s="44">
        <f t="shared" si="1"/>
        <v>0</v>
      </c>
      <c r="R8" s="44">
        <f t="shared" si="1"/>
        <v>0</v>
      </c>
      <c r="S8" s="44">
        <f t="shared" si="1"/>
        <v>0</v>
      </c>
      <c r="T8" s="44">
        <f t="shared" si="1"/>
        <v>0</v>
      </c>
      <c r="U8" s="44">
        <f t="shared" si="1"/>
        <v>0</v>
      </c>
      <c r="V8" s="44">
        <f t="shared" si="1"/>
        <v>0</v>
      </c>
      <c r="W8" s="44">
        <f t="shared" si="1"/>
        <v>0</v>
      </c>
      <c r="X8" s="44">
        <f t="shared" si="1"/>
        <v>0</v>
      </c>
      <c r="Y8" s="44">
        <f t="shared" si="1"/>
        <v>0</v>
      </c>
      <c r="Z8" s="44">
        <f t="shared" si="1"/>
        <v>0</v>
      </c>
      <c r="AA8" s="44">
        <f t="shared" si="1"/>
        <v>0</v>
      </c>
      <c r="AB8" s="44">
        <f t="shared" si="1"/>
        <v>0</v>
      </c>
      <c r="AC8" s="44">
        <f t="shared" si="1"/>
        <v>0</v>
      </c>
      <c r="AD8" s="44">
        <f t="shared" si="1"/>
        <v>0</v>
      </c>
      <c r="AE8" s="44">
        <f t="shared" si="3"/>
        <v>2.592704452919624E-3</v>
      </c>
      <c r="AF8" s="44">
        <f t="shared" si="2"/>
        <v>0</v>
      </c>
      <c r="AG8" s="44">
        <f>Table1[[#This Row],[Column2]]/$D$141*0.5</f>
        <v>2.1624525450785318E-3</v>
      </c>
      <c r="AH8" s="44">
        <f>Table1[[#This Row],[Column29]]/$D$141*1.5</f>
        <v>6.4873576352355959E-3</v>
      </c>
    </row>
    <row r="9" spans="3:35">
      <c r="C9" s="44" t="s">
        <v>352</v>
      </c>
      <c r="D9" s="44">
        <v>8.6547617761924809E-4</v>
      </c>
      <c r="E9" s="44">
        <f t="shared" si="0"/>
        <v>8.6547617761924809E-4</v>
      </c>
      <c r="F9" s="44">
        <f t="shared" si="0"/>
        <v>0</v>
      </c>
      <c r="G9" s="44">
        <f t="shared" si="0"/>
        <v>0</v>
      </c>
      <c r="H9" s="44">
        <f t="shared" si="0"/>
        <v>0</v>
      </c>
      <c r="I9" s="44">
        <f t="shared" si="0"/>
        <v>0</v>
      </c>
      <c r="J9" s="44">
        <f t="shared" si="0"/>
        <v>0</v>
      </c>
      <c r="K9" s="44">
        <f t="shared" si="0"/>
        <v>8.6547617761924809E-4</v>
      </c>
      <c r="L9" s="44">
        <f t="shared" si="0"/>
        <v>8.6547617761924809E-4</v>
      </c>
      <c r="M9" s="44">
        <f t="shared" si="0"/>
        <v>0</v>
      </c>
      <c r="N9" s="44">
        <f t="shared" si="0"/>
        <v>0</v>
      </c>
      <c r="O9" s="44">
        <f t="shared" si="1"/>
        <v>0</v>
      </c>
      <c r="P9" s="44">
        <f t="shared" si="1"/>
        <v>0</v>
      </c>
      <c r="Q9" s="44">
        <f t="shared" si="1"/>
        <v>0</v>
      </c>
      <c r="R9" s="44">
        <f t="shared" si="1"/>
        <v>0</v>
      </c>
      <c r="S9" s="44">
        <f t="shared" si="1"/>
        <v>0</v>
      </c>
      <c r="T9" s="44">
        <f t="shared" si="1"/>
        <v>0</v>
      </c>
      <c r="U9" s="44">
        <f t="shared" si="1"/>
        <v>0</v>
      </c>
      <c r="V9" s="44">
        <f t="shared" si="1"/>
        <v>0</v>
      </c>
      <c r="W9" s="44">
        <f t="shared" si="1"/>
        <v>0</v>
      </c>
      <c r="X9" s="44">
        <f t="shared" si="1"/>
        <v>0</v>
      </c>
      <c r="Y9" s="44">
        <f t="shared" si="1"/>
        <v>0</v>
      </c>
      <c r="Z9" s="44">
        <f t="shared" si="1"/>
        <v>0</v>
      </c>
      <c r="AA9" s="44">
        <f t="shared" si="1"/>
        <v>0</v>
      </c>
      <c r="AB9" s="44">
        <f t="shared" si="1"/>
        <v>0</v>
      </c>
      <c r="AC9" s="44">
        <f t="shared" si="1"/>
        <v>0</v>
      </c>
      <c r="AD9" s="44">
        <f t="shared" si="1"/>
        <v>0</v>
      </c>
      <c r="AE9" s="44">
        <f t="shared" si="3"/>
        <v>8.654761776192482E-4</v>
      </c>
      <c r="AF9" s="44">
        <f t="shared" si="2"/>
        <v>0</v>
      </c>
      <c r="AG9" s="44">
        <f>Table1[[#This Row],[Column2]]/$D$141*0.5</f>
        <v>7.2185287485815948E-4</v>
      </c>
      <c r="AH9" s="44">
        <f>Table1[[#This Row],[Column29]]/$D$141*1.5</f>
        <v>2.1655586245744787E-3</v>
      </c>
    </row>
    <row r="10" spans="3:35">
      <c r="C10" s="44" t="s">
        <v>353</v>
      </c>
      <c r="D10" s="44">
        <v>2.3443083210469735E-3</v>
      </c>
      <c r="E10" s="44">
        <f t="shared" si="0"/>
        <v>2.3443083210469735E-3</v>
      </c>
      <c r="F10" s="44">
        <f t="shared" si="0"/>
        <v>0</v>
      </c>
      <c r="G10" s="44">
        <f t="shared" si="0"/>
        <v>4.6886166420939471E-3</v>
      </c>
      <c r="H10" s="44">
        <f t="shared" si="0"/>
        <v>0</v>
      </c>
      <c r="I10" s="44">
        <f t="shared" si="0"/>
        <v>0</v>
      </c>
      <c r="J10" s="44">
        <f t="shared" si="0"/>
        <v>0</v>
      </c>
      <c r="K10" s="44">
        <f t="shared" si="0"/>
        <v>2.3443083210469735E-3</v>
      </c>
      <c r="L10" s="44">
        <f t="shared" si="0"/>
        <v>4.6886166420939471E-3</v>
      </c>
      <c r="M10" s="44">
        <f t="shared" si="0"/>
        <v>0</v>
      </c>
      <c r="N10" s="44">
        <f t="shared" si="0"/>
        <v>0</v>
      </c>
      <c r="O10" s="44">
        <f t="shared" si="1"/>
        <v>0</v>
      </c>
      <c r="P10" s="44">
        <f t="shared" si="1"/>
        <v>0</v>
      </c>
      <c r="Q10" s="44">
        <f t="shared" si="1"/>
        <v>0</v>
      </c>
      <c r="R10" s="44">
        <f t="shared" si="1"/>
        <v>0</v>
      </c>
      <c r="S10" s="44">
        <f t="shared" si="1"/>
        <v>0</v>
      </c>
      <c r="T10" s="44">
        <f t="shared" si="1"/>
        <v>0</v>
      </c>
      <c r="U10" s="44">
        <f t="shared" si="1"/>
        <v>0</v>
      </c>
      <c r="V10" s="44">
        <f t="shared" si="1"/>
        <v>0</v>
      </c>
      <c r="W10" s="44">
        <f t="shared" si="1"/>
        <v>0</v>
      </c>
      <c r="X10" s="44">
        <f t="shared" si="1"/>
        <v>0</v>
      </c>
      <c r="Y10" s="44">
        <f t="shared" si="1"/>
        <v>0</v>
      </c>
      <c r="Z10" s="44">
        <f t="shared" si="1"/>
        <v>0</v>
      </c>
      <c r="AA10" s="44">
        <f t="shared" si="1"/>
        <v>0</v>
      </c>
      <c r="AB10" s="44">
        <f t="shared" si="1"/>
        <v>0</v>
      </c>
      <c r="AC10" s="44">
        <f t="shared" si="1"/>
        <v>0</v>
      </c>
      <c r="AD10" s="44">
        <f t="shared" si="1"/>
        <v>0</v>
      </c>
      <c r="AE10" s="44">
        <f t="shared" si="3"/>
        <v>2.3443083210469735E-3</v>
      </c>
      <c r="AF10" s="44">
        <f t="shared" si="2"/>
        <v>0</v>
      </c>
      <c r="AG10" s="44">
        <f>Table1[[#This Row],[Column2]]/$D$141*0.5</f>
        <v>1.9552770426988441E-3</v>
      </c>
      <c r="AH10" s="44">
        <f>Table1[[#This Row],[Column29]]/$D$141*1.5</f>
        <v>5.8658311280965318E-3</v>
      </c>
    </row>
    <row r="11" spans="3:35">
      <c r="C11" s="44" t="s">
        <v>354</v>
      </c>
      <c r="D11" s="44">
        <v>9.2692349659823949E-4</v>
      </c>
      <c r="E11" s="44">
        <f t="shared" si="0"/>
        <v>9.2692349659823949E-4</v>
      </c>
      <c r="F11" s="44">
        <f t="shared" si="0"/>
        <v>0</v>
      </c>
      <c r="G11" s="44">
        <f t="shared" si="0"/>
        <v>9.2692349659823949E-4</v>
      </c>
      <c r="H11" s="44">
        <f t="shared" si="0"/>
        <v>9.2692349659823949E-4</v>
      </c>
      <c r="I11" s="44">
        <f t="shared" si="0"/>
        <v>0</v>
      </c>
      <c r="J11" s="44">
        <f t="shared" si="0"/>
        <v>0</v>
      </c>
      <c r="K11" s="44">
        <f t="shared" si="0"/>
        <v>1.853846993196479E-3</v>
      </c>
      <c r="L11" s="44">
        <f t="shared" si="0"/>
        <v>9.2692349659823949E-4</v>
      </c>
      <c r="M11" s="44">
        <f t="shared" si="0"/>
        <v>0</v>
      </c>
      <c r="N11" s="44">
        <f t="shared" si="0"/>
        <v>0</v>
      </c>
      <c r="O11" s="44">
        <f t="shared" si="1"/>
        <v>0</v>
      </c>
      <c r="P11" s="44">
        <f t="shared" si="1"/>
        <v>0</v>
      </c>
      <c r="Q11" s="44">
        <f t="shared" si="1"/>
        <v>0</v>
      </c>
      <c r="R11" s="44">
        <f t="shared" si="1"/>
        <v>0</v>
      </c>
      <c r="S11" s="44">
        <f t="shared" si="1"/>
        <v>0</v>
      </c>
      <c r="T11" s="44">
        <f t="shared" si="1"/>
        <v>0</v>
      </c>
      <c r="U11" s="44">
        <f t="shared" si="1"/>
        <v>0</v>
      </c>
      <c r="V11" s="44">
        <f t="shared" si="1"/>
        <v>0</v>
      </c>
      <c r="W11" s="44">
        <f t="shared" si="1"/>
        <v>0</v>
      </c>
      <c r="X11" s="44">
        <f t="shared" si="1"/>
        <v>0</v>
      </c>
      <c r="Y11" s="44">
        <f t="shared" si="1"/>
        <v>0</v>
      </c>
      <c r="Z11" s="44">
        <f t="shared" si="1"/>
        <v>0</v>
      </c>
      <c r="AA11" s="44">
        <f t="shared" si="1"/>
        <v>0</v>
      </c>
      <c r="AB11" s="44">
        <f t="shared" si="1"/>
        <v>0</v>
      </c>
      <c r="AC11" s="44">
        <f t="shared" si="1"/>
        <v>0</v>
      </c>
      <c r="AD11" s="44">
        <f t="shared" si="1"/>
        <v>0</v>
      </c>
      <c r="AE11" s="44">
        <f t="shared" si="3"/>
        <v>9.2692349659823949E-4</v>
      </c>
      <c r="AF11" s="44">
        <f t="shared" si="2"/>
        <v>0</v>
      </c>
      <c r="AG11" s="44">
        <f>Table1[[#This Row],[Column2]]/$D$141*0.5</f>
        <v>7.7310318654129047E-4</v>
      </c>
      <c r="AH11" s="44">
        <f>Table1[[#This Row],[Column29]]/$D$141*1.5</f>
        <v>2.3193095596238714E-3</v>
      </c>
    </row>
    <row r="12" spans="3:35">
      <c r="C12" s="44" t="s">
        <v>355</v>
      </c>
      <c r="D12" s="44">
        <v>9.6465129104827756E-4</v>
      </c>
      <c r="E12" s="44">
        <f t="shared" si="0"/>
        <v>9.6465129104827756E-4</v>
      </c>
      <c r="F12" s="44">
        <f t="shared" si="0"/>
        <v>0</v>
      </c>
      <c r="G12" s="44">
        <f t="shared" si="0"/>
        <v>0</v>
      </c>
      <c r="H12" s="44">
        <f t="shared" si="0"/>
        <v>0</v>
      </c>
      <c r="I12" s="44">
        <f t="shared" si="0"/>
        <v>0</v>
      </c>
      <c r="J12" s="44">
        <f t="shared" si="0"/>
        <v>0</v>
      </c>
      <c r="K12" s="44">
        <f t="shared" si="0"/>
        <v>9.6465129104827756E-4</v>
      </c>
      <c r="L12" s="44">
        <f t="shared" si="0"/>
        <v>0</v>
      </c>
      <c r="M12" s="44">
        <f t="shared" si="0"/>
        <v>0</v>
      </c>
      <c r="N12" s="44">
        <f t="shared" si="0"/>
        <v>0</v>
      </c>
      <c r="O12" s="44">
        <f t="shared" si="1"/>
        <v>0</v>
      </c>
      <c r="P12" s="44">
        <f t="shared" si="1"/>
        <v>0</v>
      </c>
      <c r="Q12" s="44">
        <f t="shared" si="1"/>
        <v>0</v>
      </c>
      <c r="R12" s="44">
        <f t="shared" si="1"/>
        <v>9.6465129104827756E-4</v>
      </c>
      <c r="S12" s="44">
        <f t="shared" si="1"/>
        <v>0</v>
      </c>
      <c r="T12" s="44">
        <f t="shared" si="1"/>
        <v>0</v>
      </c>
      <c r="U12" s="44">
        <f t="shared" si="1"/>
        <v>0</v>
      </c>
      <c r="V12" s="44">
        <f t="shared" si="1"/>
        <v>0</v>
      </c>
      <c r="W12" s="44">
        <f t="shared" si="1"/>
        <v>0</v>
      </c>
      <c r="X12" s="44">
        <f t="shared" si="1"/>
        <v>0</v>
      </c>
      <c r="Y12" s="44">
        <f t="shared" si="1"/>
        <v>0</v>
      </c>
      <c r="Z12" s="44">
        <f t="shared" si="1"/>
        <v>0</v>
      </c>
      <c r="AA12" s="44">
        <f t="shared" si="1"/>
        <v>0</v>
      </c>
      <c r="AB12" s="44">
        <f t="shared" si="1"/>
        <v>0</v>
      </c>
      <c r="AC12" s="44">
        <f t="shared" si="1"/>
        <v>0</v>
      </c>
      <c r="AD12" s="44">
        <f t="shared" si="1"/>
        <v>0</v>
      </c>
      <c r="AE12" s="44">
        <f t="shared" si="3"/>
        <v>9.6465129104827756E-4</v>
      </c>
      <c r="AF12" s="44">
        <f t="shared" si="2"/>
        <v>0</v>
      </c>
      <c r="AG12" s="44">
        <f>Table1[[#This Row],[Column2]]/$D$141*0.5</f>
        <v>8.0457016112715698E-4</v>
      </c>
      <c r="AH12" s="44">
        <f>Table1[[#This Row],[Column29]]/$D$141*1.5</f>
        <v>2.413710483381471E-3</v>
      </c>
    </row>
    <row r="13" spans="3:35">
      <c r="C13" s="44" t="s">
        <v>356</v>
      </c>
      <c r="D13" s="44">
        <v>2.0822190337095418E-3</v>
      </c>
      <c r="E13" s="44">
        <f t="shared" si="0"/>
        <v>2.0822190337095418E-3</v>
      </c>
      <c r="F13" s="44">
        <f t="shared" si="0"/>
        <v>0</v>
      </c>
      <c r="G13" s="44">
        <f t="shared" si="0"/>
        <v>4.1644380674190837E-3</v>
      </c>
      <c r="H13" s="44">
        <f t="shared" si="0"/>
        <v>0</v>
      </c>
      <c r="I13" s="44">
        <f t="shared" si="0"/>
        <v>0</v>
      </c>
      <c r="J13" s="44">
        <f t="shared" si="0"/>
        <v>0</v>
      </c>
      <c r="K13" s="44">
        <f t="shared" si="0"/>
        <v>2.0822190337095418E-3</v>
      </c>
      <c r="L13" s="44">
        <f t="shared" si="0"/>
        <v>0</v>
      </c>
      <c r="M13" s="44">
        <f t="shared" si="0"/>
        <v>0</v>
      </c>
      <c r="N13" s="44">
        <f t="shared" si="0"/>
        <v>0</v>
      </c>
      <c r="O13" s="44">
        <f t="shared" si="1"/>
        <v>0</v>
      </c>
      <c r="P13" s="44">
        <f t="shared" si="1"/>
        <v>0</v>
      </c>
      <c r="Q13" s="44">
        <f t="shared" si="1"/>
        <v>0</v>
      </c>
      <c r="R13" s="44">
        <f t="shared" si="1"/>
        <v>4.1644380674190837E-3</v>
      </c>
      <c r="S13" s="44">
        <f t="shared" si="1"/>
        <v>0</v>
      </c>
      <c r="T13" s="44">
        <f t="shared" si="1"/>
        <v>0</v>
      </c>
      <c r="U13" s="44">
        <f t="shared" si="1"/>
        <v>0</v>
      </c>
      <c r="V13" s="44">
        <f t="shared" si="1"/>
        <v>0</v>
      </c>
      <c r="W13" s="44">
        <f t="shared" si="1"/>
        <v>0</v>
      </c>
      <c r="X13" s="44">
        <f t="shared" si="1"/>
        <v>0</v>
      </c>
      <c r="Y13" s="44">
        <f t="shared" si="1"/>
        <v>0</v>
      </c>
      <c r="Z13" s="44">
        <f t="shared" si="1"/>
        <v>0</v>
      </c>
      <c r="AA13" s="44">
        <f t="shared" si="1"/>
        <v>0</v>
      </c>
      <c r="AB13" s="44">
        <f t="shared" si="1"/>
        <v>0</v>
      </c>
      <c r="AC13" s="44">
        <f t="shared" si="1"/>
        <v>0</v>
      </c>
      <c r="AD13" s="44">
        <f t="shared" si="1"/>
        <v>0</v>
      </c>
      <c r="AE13" s="44">
        <f t="shared" si="3"/>
        <v>2.0822190337095418E-3</v>
      </c>
      <c r="AF13" s="44">
        <f t="shared" si="2"/>
        <v>0</v>
      </c>
      <c r="AG13" s="44">
        <f>Table1[[#This Row],[Column2]]/$D$141*0.5</f>
        <v>1.7366807249417514E-3</v>
      </c>
      <c r="AH13" s="44">
        <f>Table1[[#This Row],[Column29]]/$D$141*1.5</f>
        <v>5.2100421748252539E-3</v>
      </c>
    </row>
    <row r="14" spans="3:35">
      <c r="C14" s="44" t="s">
        <v>357</v>
      </c>
      <c r="D14" s="44">
        <v>1.4403595329900634E-4</v>
      </c>
      <c r="E14" s="44">
        <f t="shared" si="0"/>
        <v>1.4403595329900634E-4</v>
      </c>
      <c r="F14" s="44">
        <f t="shared" si="0"/>
        <v>0</v>
      </c>
      <c r="G14" s="44">
        <f t="shared" si="0"/>
        <v>0</v>
      </c>
      <c r="H14" s="44">
        <f t="shared" si="0"/>
        <v>0</v>
      </c>
      <c r="I14" s="44">
        <f t="shared" si="0"/>
        <v>0</v>
      </c>
      <c r="J14" s="44">
        <f t="shared" si="0"/>
        <v>0</v>
      </c>
      <c r="K14" s="44">
        <f t="shared" si="0"/>
        <v>1.4403595329900634E-4</v>
      </c>
      <c r="L14" s="44">
        <f t="shared" si="0"/>
        <v>0</v>
      </c>
      <c r="M14" s="44">
        <f t="shared" si="0"/>
        <v>0</v>
      </c>
      <c r="N14" s="44">
        <f t="shared" si="0"/>
        <v>0</v>
      </c>
      <c r="O14" s="44">
        <f t="shared" si="1"/>
        <v>0</v>
      </c>
      <c r="P14" s="44">
        <f t="shared" si="1"/>
        <v>0</v>
      </c>
      <c r="Q14" s="44">
        <f t="shared" si="1"/>
        <v>0</v>
      </c>
      <c r="R14" s="44">
        <f t="shared" si="1"/>
        <v>0</v>
      </c>
      <c r="S14" s="44">
        <f t="shared" si="1"/>
        <v>0</v>
      </c>
      <c r="T14" s="44">
        <f t="shared" si="1"/>
        <v>0</v>
      </c>
      <c r="U14" s="44">
        <f t="shared" si="1"/>
        <v>0</v>
      </c>
      <c r="V14" s="44">
        <f t="shared" si="1"/>
        <v>0</v>
      </c>
      <c r="W14" s="44">
        <f t="shared" si="1"/>
        <v>0</v>
      </c>
      <c r="X14" s="44">
        <f t="shared" si="1"/>
        <v>1.4403595329900634E-4</v>
      </c>
      <c r="Y14" s="44">
        <f t="shared" si="1"/>
        <v>0</v>
      </c>
      <c r="Z14" s="44">
        <f t="shared" si="1"/>
        <v>0</v>
      </c>
      <c r="AA14" s="44">
        <f t="shared" si="1"/>
        <v>0</v>
      </c>
      <c r="AB14" s="44">
        <f t="shared" si="1"/>
        <v>0</v>
      </c>
      <c r="AC14" s="44">
        <f t="shared" si="1"/>
        <v>0</v>
      </c>
      <c r="AD14" s="44">
        <f t="shared" si="1"/>
        <v>0</v>
      </c>
      <c r="AE14" s="44">
        <f t="shared" si="3"/>
        <v>1.4403595329900634E-4</v>
      </c>
      <c r="AF14" s="44">
        <f t="shared" si="2"/>
        <v>0</v>
      </c>
      <c r="AG14" s="44">
        <f>Table1[[#This Row],[Column2]]/$D$141*0.5</f>
        <v>1.2013359773556289E-4</v>
      </c>
      <c r="AH14" s="44">
        <f>Table1[[#This Row],[Column29]]/$D$141*1.5</f>
        <v>3.6040079320668868E-4</v>
      </c>
    </row>
    <row r="15" spans="3:35">
      <c r="C15" s="44" t="s">
        <v>358</v>
      </c>
      <c r="D15" s="44">
        <v>2.4544551469090817E-4</v>
      </c>
      <c r="E15" s="44">
        <f t="shared" si="0"/>
        <v>4.9089102938181634E-4</v>
      </c>
      <c r="F15" s="44">
        <f t="shared" si="0"/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2.4544551469090817E-4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1"/>
        <v>0</v>
      </c>
      <c r="P15" s="44">
        <f t="shared" si="1"/>
        <v>0</v>
      </c>
      <c r="Q15" s="44">
        <f t="shared" si="1"/>
        <v>0</v>
      </c>
      <c r="R15" s="44">
        <f t="shared" si="1"/>
        <v>4.9089102938181634E-4</v>
      </c>
      <c r="S15" s="44">
        <f t="shared" si="1"/>
        <v>0</v>
      </c>
      <c r="T15" s="44">
        <f t="shared" si="1"/>
        <v>0</v>
      </c>
      <c r="U15" s="44">
        <f t="shared" si="1"/>
        <v>0</v>
      </c>
      <c r="V15" s="44">
        <f t="shared" si="1"/>
        <v>0</v>
      </c>
      <c r="W15" s="44">
        <f t="shared" si="1"/>
        <v>0</v>
      </c>
      <c r="X15" s="44">
        <f t="shared" si="1"/>
        <v>2.4544551469090817E-4</v>
      </c>
      <c r="Y15" s="44">
        <f t="shared" si="1"/>
        <v>0</v>
      </c>
      <c r="Z15" s="44">
        <f t="shared" si="1"/>
        <v>0</v>
      </c>
      <c r="AA15" s="44">
        <f t="shared" si="1"/>
        <v>0</v>
      </c>
      <c r="AB15" s="44">
        <f t="shared" si="1"/>
        <v>0</v>
      </c>
      <c r="AC15" s="44">
        <f t="shared" si="1"/>
        <v>0</v>
      </c>
      <c r="AD15" s="44">
        <f t="shared" si="1"/>
        <v>0</v>
      </c>
      <c r="AE15" s="44">
        <f t="shared" si="3"/>
        <v>2.4544551469090817E-4</v>
      </c>
      <c r="AF15" s="44">
        <f t="shared" si="2"/>
        <v>0</v>
      </c>
      <c r="AG15" s="44">
        <f>Table1[[#This Row],[Column2]]/$D$141*0.5</f>
        <v>2.0471453170212866E-4</v>
      </c>
      <c r="AH15" s="44">
        <f>Table1[[#This Row],[Column29]]/$D$141*1.5</f>
        <v>6.1414359510638598E-4</v>
      </c>
      <c r="AI15" s="46"/>
    </row>
    <row r="16" spans="3:35">
      <c r="C16" s="44" t="s">
        <v>359</v>
      </c>
      <c r="D16" s="44">
        <v>2.6707382510076294E-4</v>
      </c>
      <c r="E16" s="44">
        <f t="shared" si="0"/>
        <v>2.6707382510076294E-4</v>
      </c>
      <c r="F16" s="44">
        <f t="shared" si="0"/>
        <v>0</v>
      </c>
      <c r="G16" s="44">
        <f t="shared" si="0"/>
        <v>0</v>
      </c>
      <c r="H16" s="44">
        <f t="shared" si="0"/>
        <v>0</v>
      </c>
      <c r="I16" s="44">
        <f t="shared" si="0"/>
        <v>0</v>
      </c>
      <c r="J16" s="44">
        <f t="shared" si="0"/>
        <v>0</v>
      </c>
      <c r="K16" s="44">
        <f t="shared" si="0"/>
        <v>0</v>
      </c>
      <c r="L16" s="44">
        <f t="shared" si="0"/>
        <v>2.6707382510076294E-4</v>
      </c>
      <c r="M16" s="44">
        <f t="shared" si="0"/>
        <v>0</v>
      </c>
      <c r="N16" s="44">
        <f t="shared" si="0"/>
        <v>0</v>
      </c>
      <c r="O16" s="44">
        <f t="shared" si="1"/>
        <v>0</v>
      </c>
      <c r="P16" s="44">
        <f t="shared" si="1"/>
        <v>0</v>
      </c>
      <c r="Q16" s="44">
        <f t="shared" si="1"/>
        <v>0</v>
      </c>
      <c r="R16" s="44">
        <f t="shared" si="1"/>
        <v>2.6707382510076294E-4</v>
      </c>
      <c r="S16" s="44">
        <f t="shared" si="1"/>
        <v>0</v>
      </c>
      <c r="T16" s="44">
        <f t="shared" si="1"/>
        <v>0</v>
      </c>
      <c r="U16" s="44">
        <f t="shared" si="1"/>
        <v>0</v>
      </c>
      <c r="V16" s="44">
        <f t="shared" si="1"/>
        <v>0</v>
      </c>
      <c r="W16" s="44">
        <f t="shared" si="1"/>
        <v>0</v>
      </c>
      <c r="X16" s="44">
        <f t="shared" si="1"/>
        <v>0</v>
      </c>
      <c r="Y16" s="44">
        <f t="shared" si="1"/>
        <v>0</v>
      </c>
      <c r="Z16" s="44">
        <f t="shared" si="1"/>
        <v>0</v>
      </c>
      <c r="AA16" s="44">
        <f t="shared" si="1"/>
        <v>0</v>
      </c>
      <c r="AB16" s="44">
        <f t="shared" si="1"/>
        <v>0</v>
      </c>
      <c r="AC16" s="44">
        <f t="shared" si="1"/>
        <v>0</v>
      </c>
      <c r="AD16" s="44">
        <f t="shared" si="1"/>
        <v>0</v>
      </c>
      <c r="AE16" s="44">
        <f t="shared" si="3"/>
        <v>2.6707382510076294E-4</v>
      </c>
      <c r="AF16" s="44">
        <f t="shared" si="2"/>
        <v>0</v>
      </c>
      <c r="AG16" s="44">
        <f>Table1[[#This Row],[Column2]]/$D$141*0.5</f>
        <v>2.2275368569782275E-4</v>
      </c>
      <c r="AH16" s="44">
        <f>Table1[[#This Row],[Column29]]/$D$141*1.5</f>
        <v>6.6826105709346826E-4</v>
      </c>
    </row>
    <row r="17" spans="3:34">
      <c r="C17" s="44" t="s">
        <v>360</v>
      </c>
      <c r="D17" s="44">
        <v>6.4512236768064692E-3</v>
      </c>
      <c r="E17" s="44">
        <f t="shared" si="0"/>
        <v>6.4512236768064692E-3</v>
      </c>
      <c r="F17" s="44">
        <f t="shared" si="0"/>
        <v>0</v>
      </c>
      <c r="G17" s="44">
        <f t="shared" si="0"/>
        <v>6.4512236768064692E-3</v>
      </c>
      <c r="H17" s="44">
        <f t="shared" si="0"/>
        <v>0</v>
      </c>
      <c r="I17" s="44">
        <f t="shared" si="0"/>
        <v>0</v>
      </c>
      <c r="J17" s="44">
        <f t="shared" si="0"/>
        <v>0</v>
      </c>
      <c r="K17" s="44">
        <f t="shared" si="0"/>
        <v>0</v>
      </c>
      <c r="L17" s="44">
        <f t="shared" si="0"/>
        <v>1.9353671030419406E-2</v>
      </c>
      <c r="M17" s="44">
        <f t="shared" si="0"/>
        <v>0</v>
      </c>
      <c r="N17" s="44">
        <f t="shared" si="0"/>
        <v>0</v>
      </c>
      <c r="O17" s="44">
        <f t="shared" si="1"/>
        <v>0</v>
      </c>
      <c r="P17" s="44">
        <f t="shared" si="1"/>
        <v>0</v>
      </c>
      <c r="Q17" s="44">
        <f t="shared" si="1"/>
        <v>0</v>
      </c>
      <c r="R17" s="44">
        <f t="shared" si="1"/>
        <v>6.4512236768064692E-3</v>
      </c>
      <c r="S17" s="44">
        <f t="shared" si="1"/>
        <v>0</v>
      </c>
      <c r="T17" s="44">
        <f t="shared" si="1"/>
        <v>0</v>
      </c>
      <c r="U17" s="44">
        <f t="shared" si="1"/>
        <v>0</v>
      </c>
      <c r="V17" s="44">
        <f t="shared" si="1"/>
        <v>0</v>
      </c>
      <c r="W17" s="44">
        <f t="shared" si="1"/>
        <v>0</v>
      </c>
      <c r="X17" s="44">
        <f t="shared" si="1"/>
        <v>0</v>
      </c>
      <c r="Y17" s="44">
        <f t="shared" si="1"/>
        <v>0</v>
      </c>
      <c r="Z17" s="44">
        <f t="shared" si="1"/>
        <v>0</v>
      </c>
      <c r="AA17" s="44">
        <f t="shared" si="1"/>
        <v>0</v>
      </c>
      <c r="AB17" s="44">
        <f t="shared" si="1"/>
        <v>0</v>
      </c>
      <c r="AC17" s="44">
        <f t="shared" si="1"/>
        <v>0</v>
      </c>
      <c r="AD17" s="44">
        <f t="shared" si="1"/>
        <v>0</v>
      </c>
      <c r="AE17" s="44">
        <f t="shared" si="3"/>
        <v>6.4512236768064701E-3</v>
      </c>
      <c r="AF17" s="44">
        <f t="shared" si="2"/>
        <v>0</v>
      </c>
      <c r="AG17" s="44">
        <f>Table1[[#This Row],[Column2]]/$D$141*0.5</f>
        <v>5.3806615108295602E-3</v>
      </c>
      <c r="AH17" s="44">
        <f>Table1[[#This Row],[Column29]]/$D$141*1.5</f>
        <v>1.6141984532488683E-2</v>
      </c>
    </row>
    <row r="18" spans="3:34">
      <c r="C18" s="44" t="s">
        <v>361</v>
      </c>
      <c r="D18" s="44">
        <v>2.7761583600252002E-4</v>
      </c>
      <c r="E18" s="44">
        <f t="shared" si="0"/>
        <v>0</v>
      </c>
      <c r="F18" s="44">
        <f t="shared" si="0"/>
        <v>2.7761583600252002E-4</v>
      </c>
      <c r="G18" s="44">
        <f t="shared" si="0"/>
        <v>2.7761583600252002E-4</v>
      </c>
      <c r="H18" s="44">
        <f t="shared" si="0"/>
        <v>0</v>
      </c>
      <c r="I18" s="44">
        <f t="shared" si="0"/>
        <v>0</v>
      </c>
      <c r="J18" s="44">
        <f t="shared" si="0"/>
        <v>0</v>
      </c>
      <c r="K18" s="44">
        <f t="shared" si="0"/>
        <v>0</v>
      </c>
      <c r="L18" s="44">
        <f t="shared" si="0"/>
        <v>0</v>
      </c>
      <c r="M18" s="44">
        <f t="shared" si="0"/>
        <v>0</v>
      </c>
      <c r="N18" s="44">
        <f t="shared" si="0"/>
        <v>0</v>
      </c>
      <c r="O18" s="44">
        <f t="shared" si="1"/>
        <v>0</v>
      </c>
      <c r="P18" s="44">
        <f t="shared" si="1"/>
        <v>0</v>
      </c>
      <c r="Q18" s="44">
        <f t="shared" si="1"/>
        <v>0</v>
      </c>
      <c r="R18" s="44">
        <f t="shared" si="1"/>
        <v>2.7761583600252002E-4</v>
      </c>
      <c r="S18" s="44">
        <f t="shared" si="1"/>
        <v>0</v>
      </c>
      <c r="T18" s="44">
        <f t="shared" si="1"/>
        <v>0</v>
      </c>
      <c r="U18" s="44">
        <f t="shared" si="1"/>
        <v>0</v>
      </c>
      <c r="V18" s="44">
        <f t="shared" si="1"/>
        <v>0</v>
      </c>
      <c r="W18" s="44">
        <f t="shared" si="1"/>
        <v>0</v>
      </c>
      <c r="X18" s="44">
        <f t="shared" si="1"/>
        <v>0</v>
      </c>
      <c r="Y18" s="44">
        <f t="shared" si="1"/>
        <v>0</v>
      </c>
      <c r="Z18" s="44">
        <f t="shared" si="1"/>
        <v>0</v>
      </c>
      <c r="AA18" s="44">
        <f t="shared" si="1"/>
        <v>0</v>
      </c>
      <c r="AB18" s="44">
        <f t="shared" si="1"/>
        <v>0</v>
      </c>
      <c r="AC18" s="44">
        <f t="shared" si="1"/>
        <v>0</v>
      </c>
      <c r="AD18" s="44">
        <f t="shared" si="1"/>
        <v>0</v>
      </c>
      <c r="AE18" s="44">
        <f t="shared" si="3"/>
        <v>2.7761583600252002E-4</v>
      </c>
      <c r="AF18" s="44">
        <f t="shared" si="2"/>
        <v>0</v>
      </c>
      <c r="AG18" s="44">
        <f>Table1[[#This Row],[Column2]]/$D$141*0.5</f>
        <v>2.3154627996327371E-4</v>
      </c>
      <c r="AH18" s="44">
        <f>Table1[[#This Row],[Column29]]/$D$141*1.5</f>
        <v>6.9463883988982113E-4</v>
      </c>
    </row>
    <row r="19" spans="3:34">
      <c r="C19" s="44" t="s">
        <v>362</v>
      </c>
      <c r="D19" s="44">
        <v>2.1232125597976242E-3</v>
      </c>
      <c r="E19" s="44">
        <f t="shared" si="0"/>
        <v>0</v>
      </c>
      <c r="F19" s="44">
        <f t="shared" si="0"/>
        <v>2.1232125597976242E-3</v>
      </c>
      <c r="G19" s="44">
        <f t="shared" si="0"/>
        <v>2.1232125597976242E-3</v>
      </c>
      <c r="H19" s="44">
        <f t="shared" si="0"/>
        <v>0</v>
      </c>
      <c r="I19" s="44">
        <f t="shared" si="0"/>
        <v>2.1232125597976242E-3</v>
      </c>
      <c r="J19" s="44">
        <f t="shared" si="0"/>
        <v>0</v>
      </c>
      <c r="K19" s="44">
        <f t="shared" si="0"/>
        <v>2.1232125597976242E-3</v>
      </c>
      <c r="L19" s="44">
        <f t="shared" si="0"/>
        <v>4.2464251195952485E-3</v>
      </c>
      <c r="M19" s="44">
        <f t="shared" si="0"/>
        <v>0</v>
      </c>
      <c r="N19" s="44">
        <f t="shared" si="0"/>
        <v>0</v>
      </c>
      <c r="O19" s="44">
        <f t="shared" si="1"/>
        <v>0</v>
      </c>
      <c r="P19" s="44">
        <f t="shared" si="1"/>
        <v>0</v>
      </c>
      <c r="Q19" s="44">
        <f t="shared" si="1"/>
        <v>0</v>
      </c>
      <c r="R19" s="44">
        <f t="shared" si="1"/>
        <v>0</v>
      </c>
      <c r="S19" s="44">
        <f t="shared" si="1"/>
        <v>0</v>
      </c>
      <c r="T19" s="44">
        <f t="shared" si="1"/>
        <v>0</v>
      </c>
      <c r="U19" s="44">
        <f t="shared" si="1"/>
        <v>0</v>
      </c>
      <c r="V19" s="44">
        <f t="shared" si="1"/>
        <v>0</v>
      </c>
      <c r="W19" s="44">
        <f t="shared" si="1"/>
        <v>0</v>
      </c>
      <c r="X19" s="44">
        <f t="shared" si="1"/>
        <v>0</v>
      </c>
      <c r="Y19" s="44">
        <f t="shared" si="1"/>
        <v>0</v>
      </c>
      <c r="Z19" s="44">
        <f t="shared" si="1"/>
        <v>0</v>
      </c>
      <c r="AA19" s="44">
        <f t="shared" si="1"/>
        <v>0</v>
      </c>
      <c r="AB19" s="44">
        <f t="shared" si="1"/>
        <v>0</v>
      </c>
      <c r="AC19" s="44">
        <f t="shared" si="1"/>
        <v>0</v>
      </c>
      <c r="AD19" s="44">
        <f t="shared" si="1"/>
        <v>0</v>
      </c>
      <c r="AE19" s="44">
        <f t="shared" si="3"/>
        <v>2.1232125597976242E-3</v>
      </c>
      <c r="AF19" s="44">
        <f t="shared" si="2"/>
        <v>0</v>
      </c>
      <c r="AG19" s="44">
        <f>Table1[[#This Row],[Column2]]/$D$141*0.5</f>
        <v>1.7708714923163717E-3</v>
      </c>
      <c r="AH19" s="44">
        <f>Table1[[#This Row],[Column29]]/$D$141*1.5</f>
        <v>5.312614476949115E-3</v>
      </c>
    </row>
    <row r="20" spans="3:34">
      <c r="C20" s="44" t="s">
        <v>363</v>
      </c>
      <c r="D20" s="44">
        <v>1.5684678828614153E-3</v>
      </c>
      <c r="E20" s="44">
        <f t="shared" ref="E20:T35" si="4">((LEN($C20)-LEN(SUBSTITUTE($C20,E$3,"")))/4)*$D20</f>
        <v>0</v>
      </c>
      <c r="F20" s="44">
        <f t="shared" si="4"/>
        <v>1.5684678828614153E-3</v>
      </c>
      <c r="G20" s="44">
        <f t="shared" si="4"/>
        <v>1.5684678828614153E-3</v>
      </c>
      <c r="H20" s="44">
        <f t="shared" si="4"/>
        <v>0</v>
      </c>
      <c r="I20" s="44">
        <f t="shared" si="4"/>
        <v>1.5684678828614153E-3</v>
      </c>
      <c r="J20" s="44">
        <f t="shared" si="4"/>
        <v>0</v>
      </c>
      <c r="K20" s="44">
        <f t="shared" si="4"/>
        <v>1.5684678828614153E-3</v>
      </c>
      <c r="L20" s="44">
        <f t="shared" si="4"/>
        <v>0</v>
      </c>
      <c r="M20" s="44">
        <f t="shared" si="4"/>
        <v>0</v>
      </c>
      <c r="N20" s="44">
        <f t="shared" si="4"/>
        <v>0</v>
      </c>
      <c r="O20" s="44">
        <f t="shared" si="4"/>
        <v>0</v>
      </c>
      <c r="P20" s="44">
        <f t="shared" si="4"/>
        <v>0</v>
      </c>
      <c r="Q20" s="44">
        <f t="shared" si="4"/>
        <v>0</v>
      </c>
      <c r="R20" s="44">
        <f t="shared" si="4"/>
        <v>3.1369357657228306E-3</v>
      </c>
      <c r="S20" s="44">
        <f t="shared" si="4"/>
        <v>0</v>
      </c>
      <c r="T20" s="44">
        <f t="shared" si="4"/>
        <v>0</v>
      </c>
      <c r="U20" s="44">
        <f t="shared" ref="O20:AD35" si="5">((LEN($C20)-LEN(SUBSTITUTE($C20,U$3,"")))/4)*$D20</f>
        <v>0</v>
      </c>
      <c r="V20" s="44">
        <f t="shared" si="5"/>
        <v>0</v>
      </c>
      <c r="W20" s="44">
        <f t="shared" si="5"/>
        <v>0</v>
      </c>
      <c r="X20" s="44">
        <f t="shared" si="5"/>
        <v>0</v>
      </c>
      <c r="Y20" s="44">
        <f t="shared" si="5"/>
        <v>0</v>
      </c>
      <c r="Z20" s="44">
        <f t="shared" si="5"/>
        <v>0</v>
      </c>
      <c r="AA20" s="44">
        <f t="shared" si="5"/>
        <v>0</v>
      </c>
      <c r="AB20" s="44">
        <f t="shared" si="5"/>
        <v>0</v>
      </c>
      <c r="AC20" s="44">
        <f t="shared" si="5"/>
        <v>0</v>
      </c>
      <c r="AD20" s="44">
        <f t="shared" si="5"/>
        <v>0</v>
      </c>
      <c r="AE20" s="44">
        <f t="shared" si="3"/>
        <v>1.5684678828614153E-3</v>
      </c>
      <c r="AF20" s="44">
        <f t="shared" si="2"/>
        <v>0</v>
      </c>
      <c r="AG20" s="44">
        <f>Table1[[#This Row],[Column2]]/$D$141*0.5</f>
        <v>1.3081851120162174E-3</v>
      </c>
      <c r="AH20" s="44">
        <f>Table1[[#This Row],[Column29]]/$D$141*1.5</f>
        <v>3.9245553360486522E-3</v>
      </c>
    </row>
    <row r="21" spans="3:34">
      <c r="C21" s="44" t="s">
        <v>364</v>
      </c>
      <c r="D21" s="44">
        <v>2.6100930415537721E-3</v>
      </c>
      <c r="E21" s="44">
        <f t="shared" si="4"/>
        <v>0</v>
      </c>
      <c r="F21" s="44">
        <f t="shared" si="4"/>
        <v>0</v>
      </c>
      <c r="G21" s="44">
        <f t="shared" si="4"/>
        <v>5.2201860831075442E-3</v>
      </c>
      <c r="H21" s="44">
        <f t="shared" si="4"/>
        <v>0</v>
      </c>
      <c r="I21" s="44">
        <f t="shared" si="4"/>
        <v>0</v>
      </c>
      <c r="J21" s="44">
        <f t="shared" si="4"/>
        <v>0</v>
      </c>
      <c r="K21" s="44">
        <f t="shared" si="4"/>
        <v>2.6100930415537721E-3</v>
      </c>
      <c r="L21" s="44">
        <f t="shared" si="4"/>
        <v>0</v>
      </c>
      <c r="M21" s="44">
        <f t="shared" si="4"/>
        <v>0</v>
      </c>
      <c r="N21" s="44">
        <f t="shared" si="4"/>
        <v>0</v>
      </c>
      <c r="O21" s="44">
        <f t="shared" si="5"/>
        <v>0</v>
      </c>
      <c r="P21" s="44">
        <f t="shared" si="5"/>
        <v>0</v>
      </c>
      <c r="Q21" s="44">
        <f t="shared" si="5"/>
        <v>0</v>
      </c>
      <c r="R21" s="44">
        <f t="shared" si="5"/>
        <v>0</v>
      </c>
      <c r="S21" s="44">
        <f t="shared" si="5"/>
        <v>0</v>
      </c>
      <c r="T21" s="44">
        <f t="shared" si="5"/>
        <v>0</v>
      </c>
      <c r="U21" s="44">
        <f t="shared" si="5"/>
        <v>0</v>
      </c>
      <c r="V21" s="44">
        <f t="shared" si="5"/>
        <v>0</v>
      </c>
      <c r="W21" s="44">
        <f t="shared" si="5"/>
        <v>0</v>
      </c>
      <c r="X21" s="44">
        <f t="shared" si="5"/>
        <v>0</v>
      </c>
      <c r="Y21" s="44">
        <f t="shared" si="5"/>
        <v>0</v>
      </c>
      <c r="Z21" s="44">
        <f t="shared" si="5"/>
        <v>0</v>
      </c>
      <c r="AA21" s="44">
        <f t="shared" si="5"/>
        <v>0</v>
      </c>
      <c r="AB21" s="44">
        <f t="shared" si="5"/>
        <v>0</v>
      </c>
      <c r="AC21" s="44">
        <f t="shared" si="5"/>
        <v>0</v>
      </c>
      <c r="AD21" s="44">
        <f t="shared" si="5"/>
        <v>0</v>
      </c>
      <c r="AE21" s="44">
        <f t="shared" si="3"/>
        <v>2.6100930415537721E-3</v>
      </c>
      <c r="AF21" s="44">
        <f t="shared" si="2"/>
        <v>0</v>
      </c>
      <c r="AG21" s="44">
        <f>Table1[[#This Row],[Column2]]/$D$141*0.5</f>
        <v>2.1769555470326856E-3</v>
      </c>
      <c r="AH21" s="44">
        <f>Table1[[#This Row],[Column29]]/$D$141*1.5</f>
        <v>6.5308666410980563E-3</v>
      </c>
    </row>
    <row r="22" spans="3:34">
      <c r="C22" s="44" t="s">
        <v>365</v>
      </c>
      <c r="D22" s="44">
        <v>2.6626885089875382E-3</v>
      </c>
      <c r="E22" s="44">
        <f t="shared" si="4"/>
        <v>0</v>
      </c>
      <c r="F22" s="44">
        <f t="shared" si="4"/>
        <v>0</v>
      </c>
      <c r="G22" s="44">
        <f t="shared" si="4"/>
        <v>7.988065526962615E-3</v>
      </c>
      <c r="H22" s="44">
        <f t="shared" si="4"/>
        <v>0</v>
      </c>
      <c r="I22" s="44">
        <f t="shared" si="4"/>
        <v>5.3253770179750764E-3</v>
      </c>
      <c r="J22" s="44">
        <f t="shared" si="4"/>
        <v>0</v>
      </c>
      <c r="K22" s="44">
        <f t="shared" si="4"/>
        <v>2.6626885089875382E-3</v>
      </c>
      <c r="L22" s="44">
        <f t="shared" si="4"/>
        <v>0</v>
      </c>
      <c r="M22" s="44">
        <f t="shared" si="4"/>
        <v>0</v>
      </c>
      <c r="N22" s="44">
        <f t="shared" si="4"/>
        <v>0</v>
      </c>
      <c r="O22" s="44">
        <f t="shared" si="5"/>
        <v>0</v>
      </c>
      <c r="P22" s="44">
        <f t="shared" si="5"/>
        <v>0</v>
      </c>
      <c r="Q22" s="44">
        <f t="shared" si="5"/>
        <v>0</v>
      </c>
      <c r="R22" s="44">
        <f t="shared" si="5"/>
        <v>0</v>
      </c>
      <c r="S22" s="44">
        <f t="shared" si="5"/>
        <v>0</v>
      </c>
      <c r="T22" s="44">
        <f t="shared" si="5"/>
        <v>0</v>
      </c>
      <c r="U22" s="44">
        <f t="shared" si="5"/>
        <v>0</v>
      </c>
      <c r="V22" s="44">
        <f t="shared" si="5"/>
        <v>0</v>
      </c>
      <c r="W22" s="44">
        <f t="shared" si="5"/>
        <v>0</v>
      </c>
      <c r="X22" s="44">
        <f t="shared" si="5"/>
        <v>0</v>
      </c>
      <c r="Y22" s="44">
        <f t="shared" si="5"/>
        <v>0</v>
      </c>
      <c r="Z22" s="44">
        <f t="shared" si="5"/>
        <v>0</v>
      </c>
      <c r="AA22" s="44">
        <f t="shared" si="5"/>
        <v>0</v>
      </c>
      <c r="AB22" s="44">
        <f t="shared" si="5"/>
        <v>0</v>
      </c>
      <c r="AC22" s="44">
        <f t="shared" si="5"/>
        <v>0</v>
      </c>
      <c r="AD22" s="44">
        <f t="shared" si="5"/>
        <v>0</v>
      </c>
      <c r="AE22" s="44">
        <f t="shared" si="3"/>
        <v>2.6626885089875382E-3</v>
      </c>
      <c r="AF22" s="44">
        <f t="shared" si="2"/>
        <v>0</v>
      </c>
      <c r="AG22" s="44">
        <f>Table1[[#This Row],[Column2]]/$D$141*0.5</f>
        <v>2.2208229466831419E-3</v>
      </c>
      <c r="AH22" s="44">
        <f>Table1[[#This Row],[Column29]]/$D$141*1.5</f>
        <v>6.6624688400494254E-3</v>
      </c>
    </row>
    <row r="23" spans="3:34">
      <c r="C23" s="44" t="s">
        <v>366</v>
      </c>
      <c r="D23" s="44">
        <v>2.1125846085896026E-3</v>
      </c>
      <c r="E23" s="44">
        <f t="shared" si="4"/>
        <v>0</v>
      </c>
      <c r="F23" s="44">
        <f t="shared" si="4"/>
        <v>0</v>
      </c>
      <c r="G23" s="44">
        <f t="shared" si="4"/>
        <v>4.2251692171792051E-3</v>
      </c>
      <c r="H23" s="44">
        <f t="shared" si="4"/>
        <v>0</v>
      </c>
      <c r="I23" s="44">
        <f t="shared" si="4"/>
        <v>0</v>
      </c>
      <c r="J23" s="44">
        <f t="shared" si="4"/>
        <v>0</v>
      </c>
      <c r="K23" s="44">
        <f t="shared" si="4"/>
        <v>0</v>
      </c>
      <c r="L23" s="44">
        <f t="shared" si="4"/>
        <v>0</v>
      </c>
      <c r="M23" s="44">
        <f t="shared" si="4"/>
        <v>0</v>
      </c>
      <c r="N23" s="44">
        <f t="shared" si="4"/>
        <v>0</v>
      </c>
      <c r="O23" s="44">
        <f t="shared" si="5"/>
        <v>0</v>
      </c>
      <c r="P23" s="44">
        <f t="shared" si="5"/>
        <v>0</v>
      </c>
      <c r="Q23" s="44">
        <f t="shared" si="5"/>
        <v>0</v>
      </c>
      <c r="R23" s="44">
        <f t="shared" si="5"/>
        <v>2.1125846085896026E-3</v>
      </c>
      <c r="S23" s="44">
        <f t="shared" si="5"/>
        <v>0</v>
      </c>
      <c r="T23" s="44">
        <f t="shared" si="5"/>
        <v>0</v>
      </c>
      <c r="U23" s="44">
        <f t="shared" si="5"/>
        <v>0</v>
      </c>
      <c r="V23" s="44">
        <f t="shared" si="5"/>
        <v>0</v>
      </c>
      <c r="W23" s="44">
        <f t="shared" si="5"/>
        <v>0</v>
      </c>
      <c r="X23" s="44">
        <f t="shared" si="5"/>
        <v>0</v>
      </c>
      <c r="Y23" s="44">
        <f t="shared" si="5"/>
        <v>0</v>
      </c>
      <c r="Z23" s="44">
        <f t="shared" si="5"/>
        <v>0</v>
      </c>
      <c r="AA23" s="44">
        <f t="shared" si="5"/>
        <v>0</v>
      </c>
      <c r="AB23" s="44">
        <f t="shared" si="5"/>
        <v>0</v>
      </c>
      <c r="AC23" s="44">
        <f t="shared" si="5"/>
        <v>0</v>
      </c>
      <c r="AD23" s="44">
        <f t="shared" si="5"/>
        <v>0</v>
      </c>
      <c r="AE23" s="44">
        <f t="shared" si="3"/>
        <v>2.1125846085896026E-3</v>
      </c>
      <c r="AF23" s="44">
        <f t="shared" si="2"/>
        <v>0</v>
      </c>
      <c r="AG23" s="44">
        <f>Table1[[#This Row],[Column2]]/$D$141*0.5</f>
        <v>1.7620072192933217E-3</v>
      </c>
      <c r="AH23" s="44">
        <f>Table1[[#This Row],[Column29]]/$D$141*1.5</f>
        <v>5.286021657879965E-3</v>
      </c>
    </row>
    <row r="24" spans="3:34">
      <c r="C24" s="44" t="s">
        <v>367</v>
      </c>
      <c r="D24" s="44">
        <v>9.5720313117203624E-4</v>
      </c>
      <c r="E24" s="44">
        <f t="shared" si="4"/>
        <v>0</v>
      </c>
      <c r="F24" s="44">
        <f t="shared" si="4"/>
        <v>0</v>
      </c>
      <c r="G24" s="44">
        <f t="shared" si="4"/>
        <v>9.5720313117203624E-4</v>
      </c>
      <c r="H24" s="44">
        <f t="shared" si="4"/>
        <v>9.5720313117203624E-4</v>
      </c>
      <c r="I24" s="44">
        <f t="shared" si="4"/>
        <v>0</v>
      </c>
      <c r="J24" s="44">
        <f t="shared" si="4"/>
        <v>0</v>
      </c>
      <c r="K24" s="44">
        <f t="shared" si="4"/>
        <v>9.5720313117203624E-4</v>
      </c>
      <c r="L24" s="44">
        <f t="shared" si="4"/>
        <v>0</v>
      </c>
      <c r="M24" s="44">
        <f t="shared" si="4"/>
        <v>0</v>
      </c>
      <c r="N24" s="44">
        <f t="shared" si="4"/>
        <v>0</v>
      </c>
      <c r="O24" s="44">
        <f t="shared" si="5"/>
        <v>0</v>
      </c>
      <c r="P24" s="44">
        <f t="shared" si="5"/>
        <v>0</v>
      </c>
      <c r="Q24" s="44">
        <f t="shared" si="5"/>
        <v>0</v>
      </c>
      <c r="R24" s="44">
        <f t="shared" si="5"/>
        <v>0</v>
      </c>
      <c r="S24" s="44">
        <f t="shared" si="5"/>
        <v>0</v>
      </c>
      <c r="T24" s="44">
        <f t="shared" si="5"/>
        <v>0</v>
      </c>
      <c r="U24" s="44">
        <f t="shared" si="5"/>
        <v>0</v>
      </c>
      <c r="V24" s="44">
        <f t="shared" si="5"/>
        <v>0</v>
      </c>
      <c r="W24" s="44">
        <f t="shared" si="5"/>
        <v>0</v>
      </c>
      <c r="X24" s="44">
        <f t="shared" si="5"/>
        <v>0</v>
      </c>
      <c r="Y24" s="44">
        <f t="shared" si="5"/>
        <v>0</v>
      </c>
      <c r="Z24" s="44">
        <f t="shared" si="5"/>
        <v>0</v>
      </c>
      <c r="AA24" s="44">
        <f t="shared" si="5"/>
        <v>0</v>
      </c>
      <c r="AB24" s="44">
        <f t="shared" si="5"/>
        <v>0</v>
      </c>
      <c r="AC24" s="44">
        <f t="shared" si="5"/>
        <v>0</v>
      </c>
      <c r="AD24" s="44">
        <f t="shared" si="5"/>
        <v>0</v>
      </c>
      <c r="AE24" s="44">
        <f t="shared" si="3"/>
        <v>9.5720313117203624E-4</v>
      </c>
      <c r="AF24" s="44">
        <f t="shared" si="2"/>
        <v>0</v>
      </c>
      <c r="AG24" s="44">
        <f>Table1[[#This Row],[Column2]]/$D$141*0.5</f>
        <v>7.9835800213526233E-4</v>
      </c>
      <c r="AH24" s="44">
        <f>Table1[[#This Row],[Column29]]/$D$141*1.5</f>
        <v>2.395074006405787E-3</v>
      </c>
    </row>
    <row r="25" spans="3:34">
      <c r="C25" s="44" t="s">
        <v>368</v>
      </c>
      <c r="D25" s="44">
        <v>1.7443303962469761E-3</v>
      </c>
      <c r="E25" s="44">
        <f t="shared" si="4"/>
        <v>0</v>
      </c>
      <c r="F25" s="44">
        <f t="shared" si="4"/>
        <v>0</v>
      </c>
      <c r="G25" s="44">
        <f t="shared" si="4"/>
        <v>1.7443303962469761E-3</v>
      </c>
      <c r="H25" s="44">
        <f t="shared" si="4"/>
        <v>0</v>
      </c>
      <c r="I25" s="44">
        <f t="shared" si="4"/>
        <v>1.7443303962469761E-3</v>
      </c>
      <c r="J25" s="44">
        <f t="shared" si="4"/>
        <v>0</v>
      </c>
      <c r="K25" s="44">
        <f t="shared" si="4"/>
        <v>0</v>
      </c>
      <c r="L25" s="44">
        <f t="shared" si="4"/>
        <v>1.7443303962469761E-3</v>
      </c>
      <c r="M25" s="44">
        <f t="shared" si="4"/>
        <v>0</v>
      </c>
      <c r="N25" s="44">
        <f t="shared" si="4"/>
        <v>0</v>
      </c>
      <c r="O25" s="44">
        <f t="shared" si="5"/>
        <v>0</v>
      </c>
      <c r="P25" s="44">
        <f t="shared" si="5"/>
        <v>0</v>
      </c>
      <c r="Q25" s="44">
        <f t="shared" si="5"/>
        <v>0</v>
      </c>
      <c r="R25" s="44">
        <f t="shared" si="5"/>
        <v>0</v>
      </c>
      <c r="S25" s="44">
        <f t="shared" si="5"/>
        <v>0</v>
      </c>
      <c r="T25" s="44">
        <f t="shared" si="5"/>
        <v>0</v>
      </c>
      <c r="U25" s="44">
        <f t="shared" si="5"/>
        <v>0</v>
      </c>
      <c r="V25" s="44">
        <f t="shared" si="5"/>
        <v>0</v>
      </c>
      <c r="W25" s="44">
        <f t="shared" si="5"/>
        <v>0</v>
      </c>
      <c r="X25" s="44">
        <f t="shared" si="5"/>
        <v>0</v>
      </c>
      <c r="Y25" s="44">
        <f t="shared" si="5"/>
        <v>0</v>
      </c>
      <c r="Z25" s="44">
        <f t="shared" si="5"/>
        <v>0</v>
      </c>
      <c r="AA25" s="44">
        <f t="shared" si="5"/>
        <v>0</v>
      </c>
      <c r="AB25" s="44">
        <f t="shared" si="5"/>
        <v>0</v>
      </c>
      <c r="AC25" s="44">
        <f t="shared" si="5"/>
        <v>0</v>
      </c>
      <c r="AD25" s="44">
        <f t="shared" si="5"/>
        <v>0</v>
      </c>
      <c r="AE25" s="44">
        <f t="shared" si="3"/>
        <v>1.7443303962469761E-3</v>
      </c>
      <c r="AF25" s="44">
        <f t="shared" si="2"/>
        <v>0</v>
      </c>
      <c r="AG25" s="44">
        <f>Table1[[#This Row],[Column2]]/$D$141*0.5</f>
        <v>1.4548637429825299E-3</v>
      </c>
      <c r="AH25" s="44">
        <f>Table1[[#This Row],[Column29]]/$D$141*1.5</f>
        <v>4.3645912289475893E-3</v>
      </c>
    </row>
    <row r="26" spans="3:34">
      <c r="C26" s="44" t="s">
        <v>369</v>
      </c>
      <c r="D26" s="44">
        <v>9.4575301770075289E-3</v>
      </c>
      <c r="E26" s="44">
        <f t="shared" si="4"/>
        <v>0</v>
      </c>
      <c r="F26" s="44">
        <f t="shared" si="4"/>
        <v>0</v>
      </c>
      <c r="G26" s="44">
        <f t="shared" si="4"/>
        <v>1.8915060354015058E-2</v>
      </c>
      <c r="H26" s="44">
        <f t="shared" si="4"/>
        <v>0</v>
      </c>
      <c r="I26" s="44">
        <f t="shared" si="4"/>
        <v>9.4575301770075289E-3</v>
      </c>
      <c r="J26" s="44">
        <f t="shared" si="4"/>
        <v>0</v>
      </c>
      <c r="K26" s="44">
        <f t="shared" si="4"/>
        <v>9.4575301770075289E-3</v>
      </c>
      <c r="L26" s="44">
        <f t="shared" si="4"/>
        <v>9.4575301770075289E-3</v>
      </c>
      <c r="M26" s="44">
        <f t="shared" si="4"/>
        <v>0</v>
      </c>
      <c r="N26" s="44">
        <f t="shared" si="4"/>
        <v>0</v>
      </c>
      <c r="O26" s="44">
        <f t="shared" si="5"/>
        <v>0</v>
      </c>
      <c r="P26" s="44">
        <f t="shared" si="5"/>
        <v>9.4575301770075289E-3</v>
      </c>
      <c r="Q26" s="44">
        <f t="shared" si="5"/>
        <v>0</v>
      </c>
      <c r="R26" s="44">
        <f t="shared" si="5"/>
        <v>0</v>
      </c>
      <c r="S26" s="44">
        <f t="shared" si="5"/>
        <v>0</v>
      </c>
      <c r="T26" s="44">
        <f t="shared" si="5"/>
        <v>0</v>
      </c>
      <c r="U26" s="44">
        <f t="shared" si="5"/>
        <v>0</v>
      </c>
      <c r="V26" s="44">
        <f t="shared" si="5"/>
        <v>0</v>
      </c>
      <c r="W26" s="44">
        <f t="shared" si="5"/>
        <v>0</v>
      </c>
      <c r="X26" s="44">
        <f t="shared" si="5"/>
        <v>0</v>
      </c>
      <c r="Y26" s="44">
        <f t="shared" si="5"/>
        <v>0</v>
      </c>
      <c r="Z26" s="44">
        <f t="shared" si="5"/>
        <v>0</v>
      </c>
      <c r="AA26" s="44">
        <f t="shared" si="5"/>
        <v>0</v>
      </c>
      <c r="AB26" s="44">
        <f t="shared" si="5"/>
        <v>0</v>
      </c>
      <c r="AC26" s="44">
        <f t="shared" si="5"/>
        <v>0</v>
      </c>
      <c r="AD26" s="44">
        <f t="shared" si="5"/>
        <v>0</v>
      </c>
      <c r="AE26" s="44">
        <f t="shared" si="3"/>
        <v>9.4575301770075271E-3</v>
      </c>
      <c r="AF26" s="44">
        <f t="shared" si="2"/>
        <v>0</v>
      </c>
      <c r="AG26" s="44">
        <f>Table1[[#This Row],[Column2]]/$D$141*0.5</f>
        <v>7.8880800233118425E-3</v>
      </c>
      <c r="AH26" s="44">
        <f>Table1[[#This Row],[Column29]]/$D$141*1.5</f>
        <v>2.3664240069935522E-2</v>
      </c>
    </row>
    <row r="27" spans="3:34">
      <c r="C27" s="44" t="s">
        <v>370</v>
      </c>
      <c r="D27" s="44">
        <v>2.6094914594099218E-3</v>
      </c>
      <c r="E27" s="44">
        <f t="shared" si="4"/>
        <v>0</v>
      </c>
      <c r="F27" s="44">
        <f t="shared" si="4"/>
        <v>0</v>
      </c>
      <c r="G27" s="44">
        <f t="shared" si="4"/>
        <v>2.6094914594099218E-3</v>
      </c>
      <c r="H27" s="44">
        <f t="shared" si="4"/>
        <v>0</v>
      </c>
      <c r="I27" s="44">
        <f t="shared" si="4"/>
        <v>2.6094914594099218E-3</v>
      </c>
      <c r="J27" s="44">
        <f t="shared" si="4"/>
        <v>0</v>
      </c>
      <c r="K27" s="44">
        <f t="shared" si="4"/>
        <v>0</v>
      </c>
      <c r="L27" s="44">
        <f t="shared" si="4"/>
        <v>0</v>
      </c>
      <c r="M27" s="44">
        <f t="shared" si="4"/>
        <v>0</v>
      </c>
      <c r="N27" s="44">
        <f t="shared" si="4"/>
        <v>0</v>
      </c>
      <c r="O27" s="44">
        <f t="shared" si="5"/>
        <v>0</v>
      </c>
      <c r="P27" s="44">
        <f t="shared" si="5"/>
        <v>0</v>
      </c>
      <c r="Q27" s="44">
        <f t="shared" si="5"/>
        <v>0</v>
      </c>
      <c r="R27" s="44">
        <f t="shared" si="5"/>
        <v>2.6094914594099218E-3</v>
      </c>
      <c r="S27" s="44">
        <f t="shared" si="5"/>
        <v>0</v>
      </c>
      <c r="T27" s="44">
        <f t="shared" si="5"/>
        <v>0</v>
      </c>
      <c r="U27" s="44">
        <f t="shared" si="5"/>
        <v>0</v>
      </c>
      <c r="V27" s="44">
        <f t="shared" si="5"/>
        <v>0</v>
      </c>
      <c r="W27" s="44">
        <f t="shared" si="5"/>
        <v>0</v>
      </c>
      <c r="X27" s="44">
        <f t="shared" si="5"/>
        <v>0</v>
      </c>
      <c r="Y27" s="44">
        <f t="shared" si="5"/>
        <v>0</v>
      </c>
      <c r="Z27" s="44">
        <f t="shared" si="5"/>
        <v>0</v>
      </c>
      <c r="AA27" s="44">
        <f t="shared" si="5"/>
        <v>0</v>
      </c>
      <c r="AB27" s="44">
        <f t="shared" si="5"/>
        <v>0</v>
      </c>
      <c r="AC27" s="44">
        <f t="shared" si="5"/>
        <v>0</v>
      </c>
      <c r="AD27" s="44">
        <f t="shared" si="5"/>
        <v>0</v>
      </c>
      <c r="AE27" s="44">
        <f t="shared" si="3"/>
        <v>2.6094914594099218E-3</v>
      </c>
      <c r="AF27" s="44">
        <f t="shared" si="2"/>
        <v>0</v>
      </c>
      <c r="AG27" s="44">
        <f>Table1[[#This Row],[Column2]]/$D$141*0.5</f>
        <v>2.1764537957294941E-3</v>
      </c>
      <c r="AH27" s="44">
        <f>Table1[[#This Row],[Column29]]/$D$141*1.5</f>
        <v>6.5293613871884818E-3</v>
      </c>
    </row>
    <row r="28" spans="3:34">
      <c r="C28" s="44" t="s">
        <v>371</v>
      </c>
      <c r="D28" s="44">
        <v>7.7000795606708659E-3</v>
      </c>
      <c r="E28" s="44">
        <f t="shared" si="4"/>
        <v>0</v>
      </c>
      <c r="F28" s="44">
        <f t="shared" si="4"/>
        <v>0</v>
      </c>
      <c r="G28" s="44">
        <f t="shared" si="4"/>
        <v>7.7000795606708659E-3</v>
      </c>
      <c r="H28" s="44">
        <f t="shared" si="4"/>
        <v>0</v>
      </c>
      <c r="I28" s="44">
        <f t="shared" si="4"/>
        <v>0</v>
      </c>
      <c r="J28" s="44">
        <f t="shared" si="4"/>
        <v>0</v>
      </c>
      <c r="K28" s="44">
        <f t="shared" si="4"/>
        <v>1.5400159121341732E-2</v>
      </c>
      <c r="L28" s="44">
        <f t="shared" si="4"/>
        <v>0</v>
      </c>
      <c r="M28" s="44">
        <f t="shared" si="4"/>
        <v>0</v>
      </c>
      <c r="N28" s="44">
        <f t="shared" si="4"/>
        <v>0</v>
      </c>
      <c r="O28" s="44">
        <f t="shared" si="5"/>
        <v>0</v>
      </c>
      <c r="P28" s="44">
        <f t="shared" si="5"/>
        <v>0</v>
      </c>
      <c r="Q28" s="44">
        <f t="shared" si="5"/>
        <v>0</v>
      </c>
      <c r="R28" s="44">
        <f t="shared" si="5"/>
        <v>0</v>
      </c>
      <c r="S28" s="44">
        <f t="shared" si="5"/>
        <v>0</v>
      </c>
      <c r="T28" s="44">
        <f t="shared" si="5"/>
        <v>0</v>
      </c>
      <c r="U28" s="44">
        <f t="shared" si="5"/>
        <v>0</v>
      </c>
      <c r="V28" s="44">
        <f t="shared" si="5"/>
        <v>0</v>
      </c>
      <c r="W28" s="44">
        <f t="shared" si="5"/>
        <v>0</v>
      </c>
      <c r="X28" s="44">
        <f t="shared" si="5"/>
        <v>0</v>
      </c>
      <c r="Y28" s="44">
        <f t="shared" si="5"/>
        <v>0</v>
      </c>
      <c r="Z28" s="44">
        <f t="shared" si="5"/>
        <v>0</v>
      </c>
      <c r="AA28" s="44">
        <f t="shared" si="5"/>
        <v>0</v>
      </c>
      <c r="AB28" s="44">
        <f t="shared" si="5"/>
        <v>0</v>
      </c>
      <c r="AC28" s="44">
        <f t="shared" si="5"/>
        <v>0</v>
      </c>
      <c r="AD28" s="44">
        <f t="shared" si="5"/>
        <v>0</v>
      </c>
      <c r="AE28" s="44">
        <f t="shared" si="3"/>
        <v>7.7000795606708659E-3</v>
      </c>
      <c r="AF28" s="44">
        <f t="shared" si="2"/>
        <v>0</v>
      </c>
      <c r="AG28" s="44">
        <f>Table1[[#This Row],[Column2]]/$D$141*0.5</f>
        <v>6.422273323335898E-3</v>
      </c>
      <c r="AH28" s="44">
        <f>Table1[[#This Row],[Column29]]/$D$141*1.5</f>
        <v>1.9266819970007693E-2</v>
      </c>
    </row>
    <row r="29" spans="3:34">
      <c r="C29" s="44" t="s">
        <v>372</v>
      </c>
      <c r="D29" s="44">
        <v>9.5361655572393841E-3</v>
      </c>
      <c r="E29" s="44">
        <f t="shared" si="4"/>
        <v>0</v>
      </c>
      <c r="F29" s="44">
        <f t="shared" si="4"/>
        <v>0</v>
      </c>
      <c r="G29" s="44">
        <f t="shared" si="4"/>
        <v>9.5361655572393841E-3</v>
      </c>
      <c r="H29" s="44">
        <f t="shared" si="4"/>
        <v>0</v>
      </c>
      <c r="I29" s="44">
        <f t="shared" si="4"/>
        <v>0</v>
      </c>
      <c r="J29" s="44">
        <f t="shared" si="4"/>
        <v>0</v>
      </c>
      <c r="K29" s="44">
        <f t="shared" si="4"/>
        <v>9.5361655572393841E-3</v>
      </c>
      <c r="L29" s="44">
        <f t="shared" si="4"/>
        <v>9.5361655572393841E-3</v>
      </c>
      <c r="M29" s="44">
        <f t="shared" si="4"/>
        <v>0</v>
      </c>
      <c r="N29" s="44">
        <f t="shared" si="4"/>
        <v>0</v>
      </c>
      <c r="O29" s="44">
        <f t="shared" si="5"/>
        <v>0</v>
      </c>
      <c r="P29" s="44">
        <f t="shared" si="5"/>
        <v>0</v>
      </c>
      <c r="Q29" s="44">
        <f t="shared" si="5"/>
        <v>0</v>
      </c>
      <c r="R29" s="44">
        <f t="shared" si="5"/>
        <v>0</v>
      </c>
      <c r="S29" s="44">
        <f t="shared" si="5"/>
        <v>0</v>
      </c>
      <c r="T29" s="44">
        <f t="shared" si="5"/>
        <v>0</v>
      </c>
      <c r="U29" s="44">
        <f t="shared" si="5"/>
        <v>0</v>
      </c>
      <c r="V29" s="44">
        <f t="shared" si="5"/>
        <v>0</v>
      </c>
      <c r="W29" s="44">
        <f t="shared" si="5"/>
        <v>0</v>
      </c>
      <c r="X29" s="44">
        <f t="shared" si="5"/>
        <v>0</v>
      </c>
      <c r="Y29" s="44">
        <f t="shared" si="5"/>
        <v>0</v>
      </c>
      <c r="Z29" s="44">
        <f t="shared" si="5"/>
        <v>0</v>
      </c>
      <c r="AA29" s="44">
        <f t="shared" si="5"/>
        <v>0</v>
      </c>
      <c r="AB29" s="44">
        <f t="shared" si="5"/>
        <v>0</v>
      </c>
      <c r="AC29" s="44">
        <f t="shared" si="5"/>
        <v>0</v>
      </c>
      <c r="AD29" s="44">
        <f t="shared" si="5"/>
        <v>0</v>
      </c>
      <c r="AE29" s="44">
        <f t="shared" si="3"/>
        <v>9.5361655572393841E-3</v>
      </c>
      <c r="AF29" s="44">
        <f t="shared" si="2"/>
        <v>0</v>
      </c>
      <c r="AG29" s="44">
        <f>Table1[[#This Row],[Column2]]/$D$141*0.5</f>
        <v>7.9536660865147293E-3</v>
      </c>
      <c r="AH29" s="44">
        <f>Table1[[#This Row],[Column29]]/$D$141*1.5</f>
        <v>2.3860998259544186E-2</v>
      </c>
    </row>
    <row r="30" spans="3:34">
      <c r="C30" s="44" t="s">
        <v>373</v>
      </c>
      <c r="D30" s="44">
        <v>9.5134200228480931E-3</v>
      </c>
      <c r="E30" s="44">
        <f t="shared" si="4"/>
        <v>0</v>
      </c>
      <c r="F30" s="44">
        <f t="shared" si="4"/>
        <v>0</v>
      </c>
      <c r="G30" s="44">
        <f t="shared" si="4"/>
        <v>9.5134200228480931E-3</v>
      </c>
      <c r="H30" s="44">
        <f t="shared" si="4"/>
        <v>0</v>
      </c>
      <c r="I30" s="44">
        <f t="shared" si="4"/>
        <v>1.9026840045696186E-2</v>
      </c>
      <c r="J30" s="44">
        <f t="shared" si="4"/>
        <v>0</v>
      </c>
      <c r="K30" s="44">
        <f t="shared" si="4"/>
        <v>9.5134200228480931E-3</v>
      </c>
      <c r="L30" s="44">
        <f t="shared" si="4"/>
        <v>1.9026840045696186E-2</v>
      </c>
      <c r="M30" s="44">
        <f t="shared" si="4"/>
        <v>0</v>
      </c>
      <c r="N30" s="44">
        <f t="shared" si="4"/>
        <v>0</v>
      </c>
      <c r="O30" s="44">
        <f t="shared" si="5"/>
        <v>0</v>
      </c>
      <c r="P30" s="44">
        <f t="shared" si="5"/>
        <v>0</v>
      </c>
      <c r="Q30" s="44">
        <f t="shared" si="5"/>
        <v>0</v>
      </c>
      <c r="R30" s="44">
        <f t="shared" si="5"/>
        <v>0</v>
      </c>
      <c r="S30" s="44">
        <f t="shared" si="5"/>
        <v>0</v>
      </c>
      <c r="T30" s="44">
        <f t="shared" si="5"/>
        <v>0</v>
      </c>
      <c r="U30" s="44">
        <f t="shared" si="5"/>
        <v>0</v>
      </c>
      <c r="V30" s="44">
        <f t="shared" si="5"/>
        <v>0</v>
      </c>
      <c r="W30" s="44">
        <f t="shared" si="5"/>
        <v>0</v>
      </c>
      <c r="X30" s="44">
        <f t="shared" si="5"/>
        <v>0</v>
      </c>
      <c r="Y30" s="44">
        <f t="shared" si="5"/>
        <v>0</v>
      </c>
      <c r="Z30" s="44">
        <f t="shared" si="5"/>
        <v>0</v>
      </c>
      <c r="AA30" s="44">
        <f t="shared" si="5"/>
        <v>0</v>
      </c>
      <c r="AB30" s="44">
        <f t="shared" si="5"/>
        <v>0</v>
      </c>
      <c r="AC30" s="44">
        <f t="shared" si="5"/>
        <v>0</v>
      </c>
      <c r="AD30" s="44">
        <f t="shared" si="5"/>
        <v>0</v>
      </c>
      <c r="AE30" s="44">
        <f t="shared" si="3"/>
        <v>9.5134200228480931E-3</v>
      </c>
      <c r="AF30" s="44">
        <f t="shared" si="2"/>
        <v>0</v>
      </c>
      <c r="AG30" s="44">
        <f>Table1[[#This Row],[Column2]]/$D$141*0.5</f>
        <v>7.9346951086702519E-3</v>
      </c>
      <c r="AH30" s="44">
        <f>Table1[[#This Row],[Column29]]/$D$141*1.5</f>
        <v>2.3804085326010756E-2</v>
      </c>
    </row>
    <row r="31" spans="3:34">
      <c r="C31" s="44" t="s">
        <v>374</v>
      </c>
      <c r="D31" s="44">
        <v>1.2205242295659237E-3</v>
      </c>
      <c r="E31" s="44">
        <f t="shared" si="4"/>
        <v>0</v>
      </c>
      <c r="F31" s="44">
        <f t="shared" si="4"/>
        <v>0</v>
      </c>
      <c r="G31" s="44">
        <f t="shared" si="4"/>
        <v>1.2205242295659237E-3</v>
      </c>
      <c r="H31" s="44">
        <f t="shared" si="4"/>
        <v>0</v>
      </c>
      <c r="I31" s="44">
        <f t="shared" si="4"/>
        <v>0</v>
      </c>
      <c r="J31" s="44">
        <f t="shared" si="4"/>
        <v>0</v>
      </c>
      <c r="K31" s="44">
        <f t="shared" si="4"/>
        <v>1.2205242295659237E-3</v>
      </c>
      <c r="L31" s="44">
        <f t="shared" si="4"/>
        <v>0</v>
      </c>
      <c r="M31" s="44">
        <f t="shared" si="4"/>
        <v>0</v>
      </c>
      <c r="N31" s="44">
        <f t="shared" si="4"/>
        <v>0</v>
      </c>
      <c r="O31" s="44">
        <f t="shared" si="5"/>
        <v>0</v>
      </c>
      <c r="P31" s="44">
        <f t="shared" si="5"/>
        <v>0</v>
      </c>
      <c r="Q31" s="44">
        <f t="shared" si="5"/>
        <v>1.2205242295659237E-3</v>
      </c>
      <c r="R31" s="44">
        <f t="shared" si="5"/>
        <v>0</v>
      </c>
      <c r="S31" s="44">
        <f t="shared" si="5"/>
        <v>0</v>
      </c>
      <c r="T31" s="44">
        <f t="shared" si="5"/>
        <v>0</v>
      </c>
      <c r="U31" s="44">
        <f t="shared" si="5"/>
        <v>0</v>
      </c>
      <c r="V31" s="44">
        <f t="shared" si="5"/>
        <v>0</v>
      </c>
      <c r="W31" s="44">
        <f t="shared" si="5"/>
        <v>0</v>
      </c>
      <c r="X31" s="44">
        <f t="shared" si="5"/>
        <v>0</v>
      </c>
      <c r="Y31" s="44">
        <f t="shared" si="5"/>
        <v>0</v>
      </c>
      <c r="Z31" s="44">
        <f t="shared" si="5"/>
        <v>0</v>
      </c>
      <c r="AA31" s="44">
        <f t="shared" si="5"/>
        <v>0</v>
      </c>
      <c r="AB31" s="44">
        <f t="shared" si="5"/>
        <v>0</v>
      </c>
      <c r="AC31" s="44">
        <f t="shared" si="5"/>
        <v>0</v>
      </c>
      <c r="AD31" s="44">
        <f t="shared" si="5"/>
        <v>0</v>
      </c>
      <c r="AE31" s="44">
        <f t="shared" si="3"/>
        <v>1.2205242295659237E-3</v>
      </c>
      <c r="AF31" s="44">
        <f t="shared" si="2"/>
        <v>0</v>
      </c>
      <c r="AG31" s="44">
        <f>Table1[[#This Row],[Column2]]/$D$141*0.5</f>
        <v>1.0179817154179383E-3</v>
      </c>
      <c r="AH31" s="44">
        <f>Table1[[#This Row],[Column29]]/$D$141*1.5</f>
        <v>3.0539451462538148E-3</v>
      </c>
    </row>
    <row r="32" spans="3:34">
      <c r="C32" s="44" t="s">
        <v>375</v>
      </c>
      <c r="D32" s="44">
        <v>1.2969108384505301E-2</v>
      </c>
      <c r="E32" s="44">
        <f t="shared" si="4"/>
        <v>0</v>
      </c>
      <c r="F32" s="44">
        <f t="shared" si="4"/>
        <v>0</v>
      </c>
      <c r="G32" s="44">
        <f t="shared" si="4"/>
        <v>1.2969108384505301E-2</v>
      </c>
      <c r="H32" s="44">
        <f t="shared" si="4"/>
        <v>0</v>
      </c>
      <c r="I32" s="44">
        <f t="shared" si="4"/>
        <v>1.2969108384505301E-2</v>
      </c>
      <c r="J32" s="44">
        <f t="shared" si="4"/>
        <v>0</v>
      </c>
      <c r="K32" s="44">
        <f t="shared" si="4"/>
        <v>6.4845541922526506E-2</v>
      </c>
      <c r="L32" s="44">
        <f t="shared" si="4"/>
        <v>0</v>
      </c>
      <c r="M32" s="44">
        <f t="shared" si="4"/>
        <v>0</v>
      </c>
      <c r="N32" s="44">
        <f t="shared" si="4"/>
        <v>0</v>
      </c>
      <c r="O32" s="44">
        <f t="shared" si="5"/>
        <v>1.2969108384505301E-2</v>
      </c>
      <c r="P32" s="44">
        <f t="shared" si="5"/>
        <v>0</v>
      </c>
      <c r="Q32" s="44">
        <f t="shared" si="5"/>
        <v>1.2969108384505301E-2</v>
      </c>
      <c r="R32" s="44">
        <f t="shared" si="5"/>
        <v>0</v>
      </c>
      <c r="S32" s="44">
        <f t="shared" si="5"/>
        <v>0</v>
      </c>
      <c r="T32" s="44">
        <f t="shared" si="5"/>
        <v>0</v>
      </c>
      <c r="U32" s="44">
        <f t="shared" si="5"/>
        <v>0</v>
      </c>
      <c r="V32" s="44">
        <f t="shared" si="5"/>
        <v>0</v>
      </c>
      <c r="W32" s="44">
        <f t="shared" si="5"/>
        <v>0</v>
      </c>
      <c r="X32" s="44">
        <f t="shared" si="5"/>
        <v>0</v>
      </c>
      <c r="Y32" s="44">
        <f t="shared" si="5"/>
        <v>0</v>
      </c>
      <c r="Z32" s="44">
        <f t="shared" si="5"/>
        <v>0</v>
      </c>
      <c r="AA32" s="44">
        <f t="shared" si="5"/>
        <v>0</v>
      </c>
      <c r="AB32" s="44">
        <f t="shared" si="5"/>
        <v>0</v>
      </c>
      <c r="AC32" s="44">
        <f t="shared" si="5"/>
        <v>0</v>
      </c>
      <c r="AD32" s="44">
        <f t="shared" si="5"/>
        <v>0</v>
      </c>
      <c r="AE32" s="44">
        <f t="shared" si="3"/>
        <v>1.2969108384505301E-2</v>
      </c>
      <c r="AF32" s="44">
        <f t="shared" si="2"/>
        <v>0</v>
      </c>
      <c r="AG32" s="44">
        <f>Table1[[#This Row],[Column2]]/$D$141*0.5</f>
        <v>1.081692184463658E-2</v>
      </c>
      <c r="AH32" s="44">
        <f>Table1[[#This Row],[Column29]]/$D$141*1.5</f>
        <v>3.2450765533909742E-2</v>
      </c>
    </row>
    <row r="33" spans="3:34">
      <c r="C33" s="44" t="s">
        <v>376</v>
      </c>
      <c r="D33" s="44">
        <v>6.2244845021124295E-3</v>
      </c>
      <c r="E33" s="44">
        <f t="shared" si="4"/>
        <v>0</v>
      </c>
      <c r="F33" s="44">
        <f t="shared" si="4"/>
        <v>0</v>
      </c>
      <c r="G33" s="44">
        <f t="shared" si="4"/>
        <v>6.2244845021124295E-3</v>
      </c>
      <c r="H33" s="44">
        <f t="shared" si="4"/>
        <v>0</v>
      </c>
      <c r="I33" s="44">
        <f t="shared" si="4"/>
        <v>0</v>
      </c>
      <c r="J33" s="44">
        <f t="shared" si="4"/>
        <v>0</v>
      </c>
      <c r="K33" s="44">
        <f t="shared" si="4"/>
        <v>6.2244845021124295E-3</v>
      </c>
      <c r="L33" s="44">
        <f t="shared" si="4"/>
        <v>0</v>
      </c>
      <c r="M33" s="44">
        <f t="shared" si="4"/>
        <v>0</v>
      </c>
      <c r="N33" s="44">
        <f t="shared" si="4"/>
        <v>0</v>
      </c>
      <c r="O33" s="44">
        <f t="shared" si="5"/>
        <v>0</v>
      </c>
      <c r="P33" s="44">
        <f t="shared" si="5"/>
        <v>0</v>
      </c>
      <c r="Q33" s="44">
        <f t="shared" si="5"/>
        <v>0</v>
      </c>
      <c r="R33" s="44">
        <f t="shared" si="5"/>
        <v>6.2244845021124295E-3</v>
      </c>
      <c r="S33" s="44">
        <f t="shared" si="5"/>
        <v>0</v>
      </c>
      <c r="T33" s="44">
        <f t="shared" si="5"/>
        <v>0</v>
      </c>
      <c r="U33" s="44">
        <f t="shared" si="5"/>
        <v>0</v>
      </c>
      <c r="V33" s="44">
        <f t="shared" si="5"/>
        <v>0</v>
      </c>
      <c r="W33" s="44">
        <f t="shared" si="5"/>
        <v>0</v>
      </c>
      <c r="X33" s="44">
        <f t="shared" si="5"/>
        <v>0</v>
      </c>
      <c r="Y33" s="44">
        <f t="shared" si="5"/>
        <v>0</v>
      </c>
      <c r="Z33" s="44">
        <f t="shared" si="5"/>
        <v>0</v>
      </c>
      <c r="AA33" s="44">
        <f t="shared" si="5"/>
        <v>0</v>
      </c>
      <c r="AB33" s="44">
        <f t="shared" si="5"/>
        <v>0</v>
      </c>
      <c r="AC33" s="44">
        <f t="shared" si="5"/>
        <v>0</v>
      </c>
      <c r="AD33" s="44">
        <f t="shared" si="5"/>
        <v>0</v>
      </c>
      <c r="AE33" s="44">
        <f t="shared" si="3"/>
        <v>6.2244845021124295E-3</v>
      </c>
      <c r="AF33" s="44">
        <f t="shared" si="2"/>
        <v>0</v>
      </c>
      <c r="AG33" s="44">
        <f>Table1[[#This Row],[Column2]]/$D$141*0.5</f>
        <v>5.1915490553647676E-3</v>
      </c>
      <c r="AH33" s="44">
        <f>Table1[[#This Row],[Column29]]/$D$141*1.5</f>
        <v>1.5574647166094302E-2</v>
      </c>
    </row>
    <row r="34" spans="3:34">
      <c r="C34" s="44" t="s">
        <v>377</v>
      </c>
      <c r="D34" s="44">
        <v>2.3575889630416874E-2</v>
      </c>
      <c r="E34" s="44">
        <f t="shared" si="4"/>
        <v>0</v>
      </c>
      <c r="F34" s="44">
        <f t="shared" si="4"/>
        <v>0</v>
      </c>
      <c r="G34" s="44">
        <f t="shared" si="4"/>
        <v>2.3575889630416874E-2</v>
      </c>
      <c r="H34" s="44">
        <f t="shared" si="4"/>
        <v>0</v>
      </c>
      <c r="I34" s="44">
        <f t="shared" si="4"/>
        <v>2.3575889630416874E-2</v>
      </c>
      <c r="J34" s="44">
        <f t="shared" si="4"/>
        <v>0</v>
      </c>
      <c r="K34" s="44">
        <f t="shared" si="4"/>
        <v>9.4303558521667497E-2</v>
      </c>
      <c r="L34" s="44">
        <f t="shared" si="4"/>
        <v>2.3575889630416874E-2</v>
      </c>
      <c r="M34" s="44">
        <f t="shared" si="4"/>
        <v>0</v>
      </c>
      <c r="N34" s="44">
        <f t="shared" si="4"/>
        <v>0</v>
      </c>
      <c r="O34" s="44">
        <f t="shared" si="5"/>
        <v>0</v>
      </c>
      <c r="P34" s="44">
        <f t="shared" si="5"/>
        <v>2.3575889630416874E-2</v>
      </c>
      <c r="Q34" s="44">
        <f t="shared" si="5"/>
        <v>0</v>
      </c>
      <c r="R34" s="44">
        <f t="shared" si="5"/>
        <v>2.3575889630416874E-2</v>
      </c>
      <c r="S34" s="44">
        <f t="shared" si="5"/>
        <v>0</v>
      </c>
      <c r="T34" s="44">
        <f t="shared" si="5"/>
        <v>0</v>
      </c>
      <c r="U34" s="44">
        <f t="shared" si="5"/>
        <v>0</v>
      </c>
      <c r="V34" s="44">
        <f t="shared" si="5"/>
        <v>0</v>
      </c>
      <c r="W34" s="44">
        <f t="shared" si="5"/>
        <v>0</v>
      </c>
      <c r="X34" s="44">
        <f t="shared" si="5"/>
        <v>0</v>
      </c>
      <c r="Y34" s="44">
        <f t="shared" si="5"/>
        <v>0</v>
      </c>
      <c r="Z34" s="44">
        <f t="shared" si="5"/>
        <v>0</v>
      </c>
      <c r="AA34" s="44">
        <f t="shared" si="5"/>
        <v>0</v>
      </c>
      <c r="AB34" s="44">
        <f t="shared" si="5"/>
        <v>0</v>
      </c>
      <c r="AC34" s="44">
        <f t="shared" si="5"/>
        <v>0</v>
      </c>
      <c r="AD34" s="44">
        <f t="shared" si="5"/>
        <v>0</v>
      </c>
      <c r="AE34" s="44">
        <f t="shared" si="3"/>
        <v>2.3575889630416874E-2</v>
      </c>
      <c r="AF34" s="44">
        <f t="shared" si="2"/>
        <v>0</v>
      </c>
      <c r="AG34" s="44">
        <f>Table1[[#This Row],[Column2]]/$D$141*0.5</f>
        <v>1.9663538000397766E-2</v>
      </c>
      <c r="AH34" s="44">
        <f>Table1[[#This Row],[Column29]]/$D$141*1.5</f>
        <v>5.8990614001193299E-2</v>
      </c>
    </row>
    <row r="35" spans="3:34">
      <c r="C35" s="44" t="s">
        <v>378</v>
      </c>
      <c r="D35" s="44">
        <v>1.5436311343510257E-3</v>
      </c>
      <c r="E35" s="44">
        <f t="shared" si="4"/>
        <v>0</v>
      </c>
      <c r="F35" s="44">
        <f t="shared" si="4"/>
        <v>0</v>
      </c>
      <c r="G35" s="44">
        <f t="shared" si="4"/>
        <v>1.5436311343510257E-3</v>
      </c>
      <c r="H35" s="44">
        <f t="shared" si="4"/>
        <v>0</v>
      </c>
      <c r="I35" s="44">
        <f t="shared" si="4"/>
        <v>0</v>
      </c>
      <c r="J35" s="44">
        <f t="shared" si="4"/>
        <v>0</v>
      </c>
      <c r="K35" s="44">
        <f t="shared" si="4"/>
        <v>1.5436311343510257E-3</v>
      </c>
      <c r="L35" s="44">
        <f t="shared" si="4"/>
        <v>0</v>
      </c>
      <c r="M35" s="44">
        <f t="shared" si="4"/>
        <v>0</v>
      </c>
      <c r="N35" s="44">
        <f t="shared" si="4"/>
        <v>0</v>
      </c>
      <c r="O35" s="44">
        <f t="shared" si="5"/>
        <v>0</v>
      </c>
      <c r="P35" s="44">
        <f t="shared" si="5"/>
        <v>0</v>
      </c>
      <c r="Q35" s="44">
        <f t="shared" si="5"/>
        <v>0</v>
      </c>
      <c r="R35" s="44">
        <f t="shared" si="5"/>
        <v>0</v>
      </c>
      <c r="S35" s="44">
        <f t="shared" si="5"/>
        <v>1.5436311343510257E-3</v>
      </c>
      <c r="T35" s="44">
        <f t="shared" si="5"/>
        <v>0</v>
      </c>
      <c r="U35" s="44">
        <f t="shared" si="5"/>
        <v>0</v>
      </c>
      <c r="V35" s="44">
        <f t="shared" si="5"/>
        <v>0</v>
      </c>
      <c r="W35" s="44">
        <f t="shared" si="5"/>
        <v>0</v>
      </c>
      <c r="X35" s="44">
        <f t="shared" si="5"/>
        <v>0</v>
      </c>
      <c r="Y35" s="44">
        <f t="shared" si="5"/>
        <v>0</v>
      </c>
      <c r="Z35" s="44">
        <f t="shared" si="5"/>
        <v>0</v>
      </c>
      <c r="AA35" s="44">
        <f t="shared" si="5"/>
        <v>0</v>
      </c>
      <c r="AB35" s="44">
        <f t="shared" si="5"/>
        <v>0</v>
      </c>
      <c r="AC35" s="44">
        <f t="shared" si="5"/>
        <v>0</v>
      </c>
      <c r="AD35" s="44">
        <f t="shared" si="5"/>
        <v>0</v>
      </c>
      <c r="AE35" s="44">
        <f t="shared" si="3"/>
        <v>1.5436311343510259E-3</v>
      </c>
      <c r="AF35" s="44">
        <f t="shared" si="2"/>
        <v>0</v>
      </c>
      <c r="AG35" s="44">
        <f>Table1[[#This Row],[Column2]]/$D$141*0.5</f>
        <v>1.2874699510701684E-3</v>
      </c>
      <c r="AH35" s="44">
        <f>Table1[[#This Row],[Column29]]/$D$141*1.5</f>
        <v>3.862409853210506E-3</v>
      </c>
    </row>
    <row r="36" spans="3:34">
      <c r="C36" s="44" t="s">
        <v>379</v>
      </c>
      <c r="D36" s="44">
        <v>1.4777464308919198E-2</v>
      </c>
      <c r="E36" s="44">
        <f t="shared" ref="E36:T51" si="6">((LEN($C36)-LEN(SUBSTITUTE($C36,E$3,"")))/4)*$D36</f>
        <v>0</v>
      </c>
      <c r="F36" s="44">
        <f t="shared" si="6"/>
        <v>0</v>
      </c>
      <c r="G36" s="44">
        <f t="shared" si="6"/>
        <v>1.4777464308919198E-2</v>
      </c>
      <c r="H36" s="44">
        <f t="shared" si="6"/>
        <v>0</v>
      </c>
      <c r="I36" s="44">
        <f t="shared" si="6"/>
        <v>0</v>
      </c>
      <c r="J36" s="44">
        <f t="shared" si="6"/>
        <v>0</v>
      </c>
      <c r="K36" s="44">
        <f t="shared" si="6"/>
        <v>2.9554928617838396E-2</v>
      </c>
      <c r="L36" s="44">
        <f t="shared" si="6"/>
        <v>2.9554928617838396E-2</v>
      </c>
      <c r="M36" s="44">
        <f t="shared" si="6"/>
        <v>0</v>
      </c>
      <c r="N36" s="44">
        <f t="shared" si="6"/>
        <v>0</v>
      </c>
      <c r="O36" s="44">
        <f t="shared" si="6"/>
        <v>0</v>
      </c>
      <c r="P36" s="44">
        <f t="shared" si="6"/>
        <v>0</v>
      </c>
      <c r="Q36" s="44">
        <f t="shared" si="6"/>
        <v>0</v>
      </c>
      <c r="R36" s="44">
        <f t="shared" si="6"/>
        <v>0</v>
      </c>
      <c r="S36" s="44">
        <f t="shared" si="6"/>
        <v>1.4777464308919198E-2</v>
      </c>
      <c r="T36" s="44">
        <f t="shared" si="6"/>
        <v>0</v>
      </c>
      <c r="U36" s="44">
        <f t="shared" ref="O36:AD51" si="7">((LEN($C36)-LEN(SUBSTITUTE($C36,U$3,"")))/4)*$D36</f>
        <v>0</v>
      </c>
      <c r="V36" s="44">
        <f t="shared" si="7"/>
        <v>0</v>
      </c>
      <c r="W36" s="44">
        <f t="shared" si="7"/>
        <v>0</v>
      </c>
      <c r="X36" s="44">
        <f t="shared" si="7"/>
        <v>0</v>
      </c>
      <c r="Y36" s="44">
        <f t="shared" si="7"/>
        <v>0</v>
      </c>
      <c r="Z36" s="44">
        <f t="shared" si="7"/>
        <v>0</v>
      </c>
      <c r="AA36" s="44">
        <f t="shared" si="7"/>
        <v>0</v>
      </c>
      <c r="AB36" s="44">
        <f t="shared" si="7"/>
        <v>0</v>
      </c>
      <c r="AC36" s="44">
        <f t="shared" si="7"/>
        <v>0</v>
      </c>
      <c r="AD36" s="44">
        <f t="shared" si="7"/>
        <v>0</v>
      </c>
      <c r="AE36" s="44">
        <f t="shared" si="3"/>
        <v>1.4777464308919198E-2</v>
      </c>
      <c r="AF36" s="44">
        <f t="shared" si="2"/>
        <v>0</v>
      </c>
      <c r="AG36" s="44">
        <f>Table1[[#This Row],[Column2]]/$D$141*0.5</f>
        <v>1.2325186262030203E-2</v>
      </c>
      <c r="AH36" s="44">
        <f>Table1[[#This Row],[Column29]]/$D$141*1.5</f>
        <v>3.6975558786090608E-2</v>
      </c>
    </row>
    <row r="37" spans="3:34">
      <c r="C37" s="44" t="s">
        <v>380</v>
      </c>
      <c r="D37" s="44">
        <v>6.4512236768064692E-3</v>
      </c>
      <c r="E37" s="44">
        <f t="shared" si="6"/>
        <v>0</v>
      </c>
      <c r="F37" s="44">
        <f t="shared" si="6"/>
        <v>0</v>
      </c>
      <c r="G37" s="44">
        <f t="shared" si="6"/>
        <v>6.4512236768064692E-3</v>
      </c>
      <c r="H37" s="44">
        <f t="shared" si="6"/>
        <v>0</v>
      </c>
      <c r="I37" s="44">
        <f t="shared" si="6"/>
        <v>0</v>
      </c>
      <c r="J37" s="44">
        <f t="shared" si="6"/>
        <v>0</v>
      </c>
      <c r="K37" s="44">
        <f t="shared" si="6"/>
        <v>0</v>
      </c>
      <c r="L37" s="44">
        <f t="shared" si="6"/>
        <v>1.2902447353612938E-2</v>
      </c>
      <c r="M37" s="44">
        <f t="shared" si="6"/>
        <v>0</v>
      </c>
      <c r="N37" s="44">
        <f t="shared" si="6"/>
        <v>0</v>
      </c>
      <c r="O37" s="44">
        <f t="shared" si="7"/>
        <v>0</v>
      </c>
      <c r="P37" s="44">
        <f t="shared" si="7"/>
        <v>0</v>
      </c>
      <c r="Q37" s="44">
        <f t="shared" si="7"/>
        <v>0</v>
      </c>
      <c r="R37" s="44">
        <f t="shared" si="7"/>
        <v>0</v>
      </c>
      <c r="S37" s="44">
        <f t="shared" si="7"/>
        <v>0</v>
      </c>
      <c r="T37" s="44">
        <f t="shared" si="7"/>
        <v>0</v>
      </c>
      <c r="U37" s="44">
        <f t="shared" si="7"/>
        <v>0</v>
      </c>
      <c r="V37" s="44">
        <f t="shared" si="7"/>
        <v>0</v>
      </c>
      <c r="W37" s="44">
        <f t="shared" si="7"/>
        <v>0</v>
      </c>
      <c r="X37" s="44">
        <f t="shared" si="7"/>
        <v>0</v>
      </c>
      <c r="Y37" s="44">
        <f t="shared" si="7"/>
        <v>0</v>
      </c>
      <c r="Z37" s="44">
        <f t="shared" si="7"/>
        <v>0</v>
      </c>
      <c r="AA37" s="44">
        <f t="shared" si="7"/>
        <v>0</v>
      </c>
      <c r="AB37" s="44">
        <f t="shared" si="7"/>
        <v>0</v>
      </c>
      <c r="AC37" s="44">
        <f t="shared" si="7"/>
        <v>0</v>
      </c>
      <c r="AD37" s="44">
        <f t="shared" si="7"/>
        <v>0</v>
      </c>
      <c r="AE37" s="44">
        <f t="shared" si="3"/>
        <v>6.4512236768064684E-3</v>
      </c>
      <c r="AF37" s="44">
        <f t="shared" si="2"/>
        <v>0</v>
      </c>
      <c r="AG37" s="44">
        <f>Table1[[#This Row],[Column2]]/$D$141*0.5</f>
        <v>5.3806615108295602E-3</v>
      </c>
      <c r="AH37" s="44">
        <f>Table1[[#This Row],[Column29]]/$D$141*1.5</f>
        <v>1.6141984532488676E-2</v>
      </c>
    </row>
    <row r="38" spans="3:34">
      <c r="C38" s="44" t="s">
        <v>381</v>
      </c>
      <c r="D38" s="44">
        <v>8.4275928999671197E-4</v>
      </c>
      <c r="E38" s="44">
        <f t="shared" si="6"/>
        <v>0</v>
      </c>
      <c r="F38" s="44">
        <f t="shared" si="6"/>
        <v>0</v>
      </c>
      <c r="G38" s="44">
        <f t="shared" si="6"/>
        <v>8.4275928999671197E-4</v>
      </c>
      <c r="H38" s="44">
        <f t="shared" si="6"/>
        <v>0</v>
      </c>
      <c r="I38" s="44">
        <f t="shared" si="6"/>
        <v>0</v>
      </c>
      <c r="J38" s="44">
        <f t="shared" si="6"/>
        <v>0</v>
      </c>
      <c r="K38" s="44">
        <f t="shared" si="6"/>
        <v>0</v>
      </c>
      <c r="L38" s="44">
        <f t="shared" si="6"/>
        <v>8.4275928999671197E-4</v>
      </c>
      <c r="M38" s="44">
        <f t="shared" si="6"/>
        <v>0</v>
      </c>
      <c r="N38" s="44">
        <f t="shared" si="6"/>
        <v>0</v>
      </c>
      <c r="O38" s="44">
        <f t="shared" si="7"/>
        <v>0</v>
      </c>
      <c r="P38" s="44">
        <f t="shared" si="7"/>
        <v>0</v>
      </c>
      <c r="Q38" s="44">
        <f t="shared" si="7"/>
        <v>8.4275928999671197E-4</v>
      </c>
      <c r="R38" s="44">
        <f t="shared" si="7"/>
        <v>0</v>
      </c>
      <c r="S38" s="44">
        <f t="shared" si="7"/>
        <v>0</v>
      </c>
      <c r="T38" s="44">
        <f t="shared" si="7"/>
        <v>0</v>
      </c>
      <c r="U38" s="44">
        <f t="shared" si="7"/>
        <v>0</v>
      </c>
      <c r="V38" s="44">
        <f t="shared" si="7"/>
        <v>0</v>
      </c>
      <c r="W38" s="44">
        <f t="shared" si="7"/>
        <v>0</v>
      </c>
      <c r="X38" s="44">
        <f t="shared" si="7"/>
        <v>0</v>
      </c>
      <c r="Y38" s="44">
        <f t="shared" si="7"/>
        <v>0</v>
      </c>
      <c r="Z38" s="44">
        <f t="shared" si="7"/>
        <v>0</v>
      </c>
      <c r="AA38" s="44">
        <f t="shared" si="7"/>
        <v>0</v>
      </c>
      <c r="AB38" s="44">
        <f t="shared" si="7"/>
        <v>0</v>
      </c>
      <c r="AC38" s="44">
        <f t="shared" si="7"/>
        <v>0</v>
      </c>
      <c r="AD38" s="44">
        <f t="shared" si="7"/>
        <v>0</v>
      </c>
      <c r="AE38" s="44">
        <f t="shared" si="3"/>
        <v>8.4275928999671208E-4</v>
      </c>
      <c r="AF38" s="44">
        <f t="shared" si="2"/>
        <v>0</v>
      </c>
      <c r="AG38" s="44">
        <f>Table1[[#This Row],[Column2]]/$D$141*0.5</f>
        <v>7.0290578993288091E-4</v>
      </c>
      <c r="AH38" s="44">
        <f>Table1[[#This Row],[Column29]]/$D$141*1.5</f>
        <v>2.1087173697986431E-3</v>
      </c>
    </row>
    <row r="39" spans="3:34">
      <c r="C39" s="44" t="s">
        <v>382</v>
      </c>
      <c r="D39" s="44">
        <v>3.8432218493717964E-3</v>
      </c>
      <c r="E39" s="44">
        <f t="shared" si="6"/>
        <v>0</v>
      </c>
      <c r="F39" s="44">
        <f t="shared" si="6"/>
        <v>0</v>
      </c>
      <c r="G39" s="44">
        <f t="shared" si="6"/>
        <v>3.8432218493717964E-3</v>
      </c>
      <c r="H39" s="44">
        <f t="shared" si="6"/>
        <v>0</v>
      </c>
      <c r="I39" s="44">
        <f t="shared" si="6"/>
        <v>0</v>
      </c>
      <c r="J39" s="44">
        <f t="shared" si="6"/>
        <v>0</v>
      </c>
      <c r="K39" s="44">
        <f t="shared" si="6"/>
        <v>0</v>
      </c>
      <c r="L39" s="44">
        <f t="shared" si="6"/>
        <v>3.8432218493717964E-3</v>
      </c>
      <c r="M39" s="44">
        <f t="shared" si="6"/>
        <v>0</v>
      </c>
      <c r="N39" s="44">
        <f t="shared" si="6"/>
        <v>0</v>
      </c>
      <c r="O39" s="44">
        <f t="shared" si="7"/>
        <v>0</v>
      </c>
      <c r="P39" s="44">
        <f t="shared" si="7"/>
        <v>0</v>
      </c>
      <c r="Q39" s="44">
        <f t="shared" si="7"/>
        <v>0</v>
      </c>
      <c r="R39" s="44">
        <f t="shared" si="7"/>
        <v>3.8432218493717964E-3</v>
      </c>
      <c r="S39" s="44">
        <f t="shared" si="7"/>
        <v>0</v>
      </c>
      <c r="T39" s="44">
        <f t="shared" si="7"/>
        <v>0</v>
      </c>
      <c r="U39" s="44">
        <f t="shared" si="7"/>
        <v>0</v>
      </c>
      <c r="V39" s="44">
        <f t="shared" si="7"/>
        <v>0</v>
      </c>
      <c r="W39" s="44">
        <f t="shared" si="7"/>
        <v>0</v>
      </c>
      <c r="X39" s="44">
        <f t="shared" si="7"/>
        <v>0</v>
      </c>
      <c r="Y39" s="44">
        <f t="shared" si="7"/>
        <v>0</v>
      </c>
      <c r="Z39" s="44">
        <f t="shared" si="7"/>
        <v>0</v>
      </c>
      <c r="AA39" s="44">
        <f t="shared" si="7"/>
        <v>0</v>
      </c>
      <c r="AB39" s="44">
        <f t="shared" si="7"/>
        <v>0</v>
      </c>
      <c r="AC39" s="44">
        <f t="shared" si="7"/>
        <v>0</v>
      </c>
      <c r="AD39" s="44">
        <f t="shared" si="7"/>
        <v>0</v>
      </c>
      <c r="AE39" s="44">
        <f t="shared" si="3"/>
        <v>3.8432218493717964E-3</v>
      </c>
      <c r="AF39" s="44">
        <f t="shared" si="2"/>
        <v>0</v>
      </c>
      <c r="AG39" s="44">
        <f>Table1[[#This Row],[Column2]]/$D$141*0.5</f>
        <v>3.2054501468984451E-3</v>
      </c>
      <c r="AH39" s="44">
        <f>Table1[[#This Row],[Column29]]/$D$141*1.5</f>
        <v>9.6163504406953353E-3</v>
      </c>
    </row>
    <row r="40" spans="3:34">
      <c r="C40" s="44" t="s">
        <v>383</v>
      </c>
      <c r="D40" s="44">
        <v>3.9749110453374953E-3</v>
      </c>
      <c r="E40" s="44">
        <f t="shared" si="6"/>
        <v>0</v>
      </c>
      <c r="F40" s="44">
        <f t="shared" si="6"/>
        <v>0</v>
      </c>
      <c r="G40" s="44">
        <f t="shared" si="6"/>
        <v>3.9749110453374953E-3</v>
      </c>
      <c r="H40" s="44">
        <f t="shared" si="6"/>
        <v>3.9749110453374953E-3</v>
      </c>
      <c r="I40" s="44">
        <f t="shared" si="6"/>
        <v>0</v>
      </c>
      <c r="J40" s="44">
        <f t="shared" si="6"/>
        <v>0</v>
      </c>
      <c r="K40" s="44">
        <f t="shared" si="6"/>
        <v>3.9749110453374953E-3</v>
      </c>
      <c r="L40" s="44">
        <f t="shared" si="6"/>
        <v>3.9749110453374953E-3</v>
      </c>
      <c r="M40" s="44">
        <f t="shared" si="6"/>
        <v>0</v>
      </c>
      <c r="N40" s="44">
        <f t="shared" si="6"/>
        <v>0</v>
      </c>
      <c r="O40" s="44">
        <f t="shared" si="7"/>
        <v>0</v>
      </c>
      <c r="P40" s="44">
        <f t="shared" si="7"/>
        <v>0</v>
      </c>
      <c r="Q40" s="44">
        <f t="shared" si="7"/>
        <v>0</v>
      </c>
      <c r="R40" s="44">
        <f t="shared" si="7"/>
        <v>7.9498220906749906E-3</v>
      </c>
      <c r="S40" s="44">
        <f t="shared" si="7"/>
        <v>0</v>
      </c>
      <c r="T40" s="44">
        <f t="shared" si="7"/>
        <v>0</v>
      </c>
      <c r="U40" s="44">
        <f t="shared" si="7"/>
        <v>0</v>
      </c>
      <c r="V40" s="44">
        <f t="shared" si="7"/>
        <v>0</v>
      </c>
      <c r="W40" s="44">
        <f t="shared" si="7"/>
        <v>0</v>
      </c>
      <c r="X40" s="44">
        <f t="shared" si="7"/>
        <v>0</v>
      </c>
      <c r="Y40" s="44">
        <f t="shared" si="7"/>
        <v>0</v>
      </c>
      <c r="Z40" s="44">
        <f t="shared" si="7"/>
        <v>0</v>
      </c>
      <c r="AA40" s="44">
        <f t="shared" si="7"/>
        <v>0</v>
      </c>
      <c r="AB40" s="44">
        <f t="shared" si="7"/>
        <v>0</v>
      </c>
      <c r="AC40" s="44">
        <f t="shared" si="7"/>
        <v>0</v>
      </c>
      <c r="AD40" s="44">
        <f t="shared" si="7"/>
        <v>0</v>
      </c>
      <c r="AE40" s="44">
        <f t="shared" si="3"/>
        <v>3.9749110453374953E-3</v>
      </c>
      <c r="AF40" s="44">
        <f t="shared" si="2"/>
        <v>0</v>
      </c>
      <c r="AG40" s="44">
        <f>Table1[[#This Row],[Column2]]/$D$141*0.5</f>
        <v>3.3152858964589833E-3</v>
      </c>
      <c r="AH40" s="44">
        <f>Table1[[#This Row],[Column29]]/$D$141*1.5</f>
        <v>9.9458576893769503E-3</v>
      </c>
    </row>
    <row r="41" spans="3:34">
      <c r="C41" s="44" t="s">
        <v>384</v>
      </c>
      <c r="D41" s="44">
        <v>4.5145674691705641E-2</v>
      </c>
      <c r="E41" s="44">
        <f t="shared" si="6"/>
        <v>0</v>
      </c>
      <c r="F41" s="44">
        <f t="shared" si="6"/>
        <v>0</v>
      </c>
      <c r="G41" s="44">
        <f t="shared" si="6"/>
        <v>4.5145674691705641E-2</v>
      </c>
      <c r="H41" s="44">
        <f t="shared" si="6"/>
        <v>0</v>
      </c>
      <c r="I41" s="44">
        <f t="shared" si="6"/>
        <v>0</v>
      </c>
      <c r="J41" s="44">
        <f t="shared" si="6"/>
        <v>0</v>
      </c>
      <c r="K41" s="44">
        <f t="shared" si="6"/>
        <v>4.5145674691705641E-2</v>
      </c>
      <c r="L41" s="44">
        <f t="shared" si="6"/>
        <v>0.13543702407511693</v>
      </c>
      <c r="M41" s="44">
        <f t="shared" si="6"/>
        <v>0</v>
      </c>
      <c r="N41" s="44">
        <f t="shared" si="6"/>
        <v>0</v>
      </c>
      <c r="O41" s="44">
        <f t="shared" si="7"/>
        <v>0</v>
      </c>
      <c r="P41" s="44">
        <f t="shared" si="7"/>
        <v>0</v>
      </c>
      <c r="Q41" s="44">
        <f t="shared" si="7"/>
        <v>0</v>
      </c>
      <c r="R41" s="44">
        <f t="shared" si="7"/>
        <v>4.5145674691705641E-2</v>
      </c>
      <c r="S41" s="44">
        <f t="shared" si="7"/>
        <v>0</v>
      </c>
      <c r="T41" s="44">
        <f t="shared" si="7"/>
        <v>0</v>
      </c>
      <c r="U41" s="44">
        <f t="shared" si="7"/>
        <v>0</v>
      </c>
      <c r="V41" s="44">
        <f t="shared" si="7"/>
        <v>0</v>
      </c>
      <c r="W41" s="44">
        <f t="shared" si="7"/>
        <v>0</v>
      </c>
      <c r="X41" s="44">
        <f t="shared" si="7"/>
        <v>0</v>
      </c>
      <c r="Y41" s="44">
        <f t="shared" si="7"/>
        <v>0</v>
      </c>
      <c r="Z41" s="44">
        <f t="shared" si="7"/>
        <v>0</v>
      </c>
      <c r="AA41" s="44">
        <f t="shared" si="7"/>
        <v>0</v>
      </c>
      <c r="AB41" s="44">
        <f t="shared" si="7"/>
        <v>0</v>
      </c>
      <c r="AC41" s="44">
        <f t="shared" si="7"/>
        <v>0</v>
      </c>
      <c r="AD41" s="44">
        <f t="shared" si="7"/>
        <v>0</v>
      </c>
      <c r="AE41" s="44">
        <f t="shared" si="3"/>
        <v>4.5145674691705641E-2</v>
      </c>
      <c r="AF41" s="44">
        <f t="shared" si="2"/>
        <v>0</v>
      </c>
      <c r="AG41" s="44">
        <f>Table1[[#This Row],[Column2]]/$D$141*0.5</f>
        <v>3.7653878762167109E-2</v>
      </c>
      <c r="AH41" s="44">
        <f>Table1[[#This Row],[Column29]]/$D$141*1.5</f>
        <v>0.11296163628650133</v>
      </c>
    </row>
    <row r="42" spans="3:34">
      <c r="C42" s="44" t="s">
        <v>385</v>
      </c>
      <c r="D42" s="44">
        <v>8.2015698944919494E-4</v>
      </c>
      <c r="E42" s="44">
        <f t="shared" si="6"/>
        <v>0</v>
      </c>
      <c r="F42" s="44">
        <f t="shared" si="6"/>
        <v>0</v>
      </c>
      <c r="G42" s="44">
        <f t="shared" si="6"/>
        <v>8.2015698944919494E-4</v>
      </c>
      <c r="H42" s="44">
        <f t="shared" si="6"/>
        <v>0</v>
      </c>
      <c r="I42" s="44">
        <f t="shared" si="6"/>
        <v>0</v>
      </c>
      <c r="J42" s="44">
        <f t="shared" si="6"/>
        <v>0</v>
      </c>
      <c r="K42" s="44">
        <f t="shared" si="6"/>
        <v>0</v>
      </c>
      <c r="L42" s="44">
        <f t="shared" si="6"/>
        <v>8.2015698944919494E-4</v>
      </c>
      <c r="M42" s="44">
        <f t="shared" si="6"/>
        <v>0</v>
      </c>
      <c r="N42" s="44">
        <f t="shared" si="6"/>
        <v>0</v>
      </c>
      <c r="O42" s="44">
        <f t="shared" si="7"/>
        <v>0</v>
      </c>
      <c r="P42" s="44">
        <f t="shared" si="7"/>
        <v>0</v>
      </c>
      <c r="Q42" s="44">
        <f t="shared" si="7"/>
        <v>0</v>
      </c>
      <c r="R42" s="44">
        <f t="shared" si="7"/>
        <v>0</v>
      </c>
      <c r="S42" s="44">
        <f t="shared" si="7"/>
        <v>0</v>
      </c>
      <c r="T42" s="44">
        <f t="shared" si="7"/>
        <v>0</v>
      </c>
      <c r="U42" s="44">
        <f t="shared" si="7"/>
        <v>0</v>
      </c>
      <c r="V42" s="44">
        <f t="shared" si="7"/>
        <v>0</v>
      </c>
      <c r="W42" s="44">
        <f t="shared" si="7"/>
        <v>8.2015698944919494E-4</v>
      </c>
      <c r="X42" s="44">
        <f t="shared" si="7"/>
        <v>0</v>
      </c>
      <c r="Y42" s="44">
        <f t="shared" si="7"/>
        <v>0</v>
      </c>
      <c r="Z42" s="44">
        <f t="shared" si="7"/>
        <v>0</v>
      </c>
      <c r="AA42" s="44">
        <f t="shared" si="7"/>
        <v>0</v>
      </c>
      <c r="AB42" s="44">
        <f t="shared" si="7"/>
        <v>0</v>
      </c>
      <c r="AC42" s="44">
        <f t="shared" si="7"/>
        <v>0</v>
      </c>
      <c r="AD42" s="44">
        <f t="shared" si="7"/>
        <v>0</v>
      </c>
      <c r="AE42" s="44">
        <f t="shared" si="3"/>
        <v>8.2015698944919483E-4</v>
      </c>
      <c r="AF42" s="44">
        <f t="shared" si="2"/>
        <v>0</v>
      </c>
      <c r="AG42" s="44">
        <f>Table1[[#This Row],[Column2]]/$D$141*0.5</f>
        <v>6.8405427668440056E-4</v>
      </c>
      <c r="AH42" s="44">
        <f>Table1[[#This Row],[Column29]]/$D$141*1.5</f>
        <v>2.0521628300532017E-3</v>
      </c>
    </row>
    <row r="43" spans="3:34">
      <c r="C43" s="44" t="s">
        <v>386</v>
      </c>
      <c r="D43" s="44">
        <v>8.2015698944919494E-4</v>
      </c>
      <c r="E43" s="44">
        <f t="shared" si="6"/>
        <v>0</v>
      </c>
      <c r="F43" s="44">
        <f t="shared" si="6"/>
        <v>0</v>
      </c>
      <c r="G43" s="44">
        <f t="shared" si="6"/>
        <v>8.2015698944919494E-4</v>
      </c>
      <c r="H43" s="44">
        <f t="shared" si="6"/>
        <v>0</v>
      </c>
      <c r="I43" s="44">
        <f t="shared" si="6"/>
        <v>0</v>
      </c>
      <c r="J43" s="44">
        <f t="shared" si="6"/>
        <v>0</v>
      </c>
      <c r="K43" s="44">
        <f t="shared" si="6"/>
        <v>0</v>
      </c>
      <c r="L43" s="44">
        <f t="shared" si="6"/>
        <v>8.2015698944919494E-4</v>
      </c>
      <c r="M43" s="44">
        <f t="shared" si="6"/>
        <v>0</v>
      </c>
      <c r="N43" s="44">
        <f t="shared" si="6"/>
        <v>0</v>
      </c>
      <c r="O43" s="44">
        <f t="shared" si="7"/>
        <v>0</v>
      </c>
      <c r="P43" s="44">
        <f t="shared" si="7"/>
        <v>0</v>
      </c>
      <c r="Q43" s="44">
        <f t="shared" si="7"/>
        <v>0</v>
      </c>
      <c r="R43" s="44">
        <f t="shared" si="7"/>
        <v>0</v>
      </c>
      <c r="S43" s="44">
        <f t="shared" si="7"/>
        <v>0</v>
      </c>
      <c r="T43" s="44">
        <f t="shared" si="7"/>
        <v>0</v>
      </c>
      <c r="U43" s="44">
        <f t="shared" si="7"/>
        <v>0</v>
      </c>
      <c r="V43" s="44">
        <f t="shared" si="7"/>
        <v>0</v>
      </c>
      <c r="W43" s="44">
        <f t="shared" si="7"/>
        <v>0</v>
      </c>
      <c r="X43" s="44">
        <f t="shared" si="7"/>
        <v>8.2015698944919494E-4</v>
      </c>
      <c r="Y43" s="44">
        <f t="shared" si="7"/>
        <v>0</v>
      </c>
      <c r="Z43" s="44">
        <f t="shared" si="7"/>
        <v>0</v>
      </c>
      <c r="AA43" s="44">
        <f t="shared" si="7"/>
        <v>0</v>
      </c>
      <c r="AB43" s="44">
        <f t="shared" si="7"/>
        <v>0</v>
      </c>
      <c r="AC43" s="44">
        <f t="shared" si="7"/>
        <v>0</v>
      </c>
      <c r="AD43" s="44">
        <f t="shared" si="7"/>
        <v>0</v>
      </c>
      <c r="AE43" s="44">
        <f t="shared" si="3"/>
        <v>8.2015698944919483E-4</v>
      </c>
      <c r="AF43" s="44">
        <f t="shared" si="2"/>
        <v>0</v>
      </c>
      <c r="AG43" s="44">
        <f>Table1[[#This Row],[Column2]]/$D$141*0.5</f>
        <v>6.8405427668440056E-4</v>
      </c>
      <c r="AH43" s="44">
        <f>Table1[[#This Row],[Column29]]/$D$141*1.5</f>
        <v>2.0521628300532017E-3</v>
      </c>
    </row>
    <row r="44" spans="3:34">
      <c r="C44" s="44" t="s">
        <v>387</v>
      </c>
      <c r="D44" s="44">
        <v>1.5283910533734856E-3</v>
      </c>
      <c r="E44" s="44">
        <f t="shared" si="6"/>
        <v>0</v>
      </c>
      <c r="F44" s="44">
        <f t="shared" si="6"/>
        <v>0</v>
      </c>
      <c r="G44" s="44">
        <f t="shared" si="6"/>
        <v>3.0567821067469711E-3</v>
      </c>
      <c r="H44" s="44">
        <f t="shared" si="6"/>
        <v>0</v>
      </c>
      <c r="I44" s="44">
        <f t="shared" si="6"/>
        <v>0</v>
      </c>
      <c r="J44" s="44">
        <f t="shared" si="6"/>
        <v>0</v>
      </c>
      <c r="K44" s="44">
        <f t="shared" si="6"/>
        <v>0</v>
      </c>
      <c r="L44" s="44">
        <f t="shared" si="6"/>
        <v>1.5283910533734856E-3</v>
      </c>
      <c r="M44" s="44">
        <f t="shared" si="6"/>
        <v>0</v>
      </c>
      <c r="N44" s="44">
        <f t="shared" si="6"/>
        <v>0</v>
      </c>
      <c r="O44" s="44">
        <f t="shared" si="7"/>
        <v>0</v>
      </c>
      <c r="P44" s="44">
        <f t="shared" si="7"/>
        <v>0</v>
      </c>
      <c r="Q44" s="44">
        <f t="shared" si="7"/>
        <v>0</v>
      </c>
      <c r="R44" s="44">
        <f t="shared" si="7"/>
        <v>1.5283910533734856E-3</v>
      </c>
      <c r="S44" s="44">
        <f t="shared" si="7"/>
        <v>1.5283910533734856E-3</v>
      </c>
      <c r="T44" s="44">
        <f t="shared" si="7"/>
        <v>0</v>
      </c>
      <c r="U44" s="44">
        <f t="shared" si="7"/>
        <v>0</v>
      </c>
      <c r="V44" s="44">
        <f t="shared" si="7"/>
        <v>0</v>
      </c>
      <c r="W44" s="44">
        <f t="shared" si="7"/>
        <v>0</v>
      </c>
      <c r="X44" s="44">
        <f t="shared" si="7"/>
        <v>1.5283910533734856E-3</v>
      </c>
      <c r="Y44" s="44">
        <f t="shared" si="7"/>
        <v>0</v>
      </c>
      <c r="Z44" s="44">
        <f t="shared" si="7"/>
        <v>0</v>
      </c>
      <c r="AA44" s="44">
        <f t="shared" si="7"/>
        <v>0</v>
      </c>
      <c r="AB44" s="44">
        <f t="shared" si="7"/>
        <v>0</v>
      </c>
      <c r="AC44" s="44">
        <f t="shared" si="7"/>
        <v>0</v>
      </c>
      <c r="AD44" s="44">
        <f t="shared" si="7"/>
        <v>0</v>
      </c>
      <c r="AE44" s="44">
        <f t="shared" si="3"/>
        <v>1.5283910533734856E-3</v>
      </c>
      <c r="AF44" s="44">
        <f t="shared" si="2"/>
        <v>0</v>
      </c>
      <c r="AG44" s="44">
        <f>Table1[[#This Row],[Column2]]/$D$141*0.5</f>
        <v>1.2747589180559838E-3</v>
      </c>
      <c r="AH44" s="44">
        <f>Table1[[#This Row],[Column29]]/$D$141*1.5</f>
        <v>3.8242767541679518E-3</v>
      </c>
    </row>
    <row r="45" spans="3:34">
      <c r="C45" s="44" t="s">
        <v>388</v>
      </c>
      <c r="D45" s="44">
        <v>9.4499960768250227E-4</v>
      </c>
      <c r="E45" s="44">
        <f t="shared" si="6"/>
        <v>0</v>
      </c>
      <c r="F45" s="44">
        <f t="shared" si="6"/>
        <v>0</v>
      </c>
      <c r="G45" s="44">
        <f t="shared" si="6"/>
        <v>1.8899992153650045E-3</v>
      </c>
      <c r="H45" s="44">
        <f t="shared" si="6"/>
        <v>0</v>
      </c>
      <c r="I45" s="44">
        <f t="shared" si="6"/>
        <v>0</v>
      </c>
      <c r="J45" s="44">
        <f t="shared" si="6"/>
        <v>0</v>
      </c>
      <c r="K45" s="44">
        <f t="shared" si="6"/>
        <v>0</v>
      </c>
      <c r="L45" s="44">
        <f t="shared" si="6"/>
        <v>9.4499960768250227E-4</v>
      </c>
      <c r="M45" s="44">
        <f t="shared" si="6"/>
        <v>0</v>
      </c>
      <c r="N45" s="44">
        <f t="shared" si="6"/>
        <v>0</v>
      </c>
      <c r="O45" s="44">
        <f t="shared" si="7"/>
        <v>0</v>
      </c>
      <c r="P45" s="44">
        <f t="shared" si="7"/>
        <v>0</v>
      </c>
      <c r="Q45" s="44">
        <f t="shared" si="7"/>
        <v>0</v>
      </c>
      <c r="R45" s="44">
        <f t="shared" si="7"/>
        <v>0</v>
      </c>
      <c r="S45" s="44">
        <f t="shared" si="7"/>
        <v>1.8899992153650045E-3</v>
      </c>
      <c r="T45" s="44">
        <f t="shared" si="7"/>
        <v>0</v>
      </c>
      <c r="U45" s="44">
        <f t="shared" si="7"/>
        <v>0</v>
      </c>
      <c r="V45" s="44">
        <f t="shared" si="7"/>
        <v>0</v>
      </c>
      <c r="W45" s="44">
        <f t="shared" si="7"/>
        <v>0</v>
      </c>
      <c r="X45" s="44">
        <f t="shared" si="7"/>
        <v>0</v>
      </c>
      <c r="Y45" s="44">
        <f t="shared" si="7"/>
        <v>9.4499960768250227E-4</v>
      </c>
      <c r="Z45" s="44">
        <f t="shared" si="7"/>
        <v>0</v>
      </c>
      <c r="AA45" s="44">
        <f t="shared" si="7"/>
        <v>0</v>
      </c>
      <c r="AB45" s="44">
        <f t="shared" si="7"/>
        <v>0</v>
      </c>
      <c r="AC45" s="44">
        <f t="shared" si="7"/>
        <v>0</v>
      </c>
      <c r="AD45" s="44">
        <f t="shared" si="7"/>
        <v>0</v>
      </c>
      <c r="AE45" s="44">
        <f t="shared" si="3"/>
        <v>9.4499960768250227E-4</v>
      </c>
      <c r="AF45" s="44">
        <f t="shared" si="2"/>
        <v>0</v>
      </c>
      <c r="AG45" s="44">
        <f>Table1[[#This Row],[Column2]]/$D$141*0.5</f>
        <v>7.8817961855623484E-4</v>
      </c>
      <c r="AH45" s="44">
        <f>Table1[[#This Row],[Column29]]/$D$141*1.5</f>
        <v>2.3645388556687045E-3</v>
      </c>
    </row>
    <row r="46" spans="3:34">
      <c r="C46" s="44" t="s">
        <v>389</v>
      </c>
      <c r="D46" s="44">
        <v>4.0649764863025061E-4</v>
      </c>
      <c r="E46" s="44">
        <f t="shared" si="6"/>
        <v>0</v>
      </c>
      <c r="F46" s="44">
        <f t="shared" si="6"/>
        <v>0</v>
      </c>
      <c r="G46" s="44">
        <f t="shared" si="6"/>
        <v>4.0649764863025061E-4</v>
      </c>
      <c r="H46" s="44">
        <f t="shared" si="6"/>
        <v>0</v>
      </c>
      <c r="I46" s="44">
        <f t="shared" si="6"/>
        <v>0</v>
      </c>
      <c r="J46" s="44">
        <f t="shared" si="6"/>
        <v>0</v>
      </c>
      <c r="K46" s="44">
        <f t="shared" si="6"/>
        <v>0</v>
      </c>
      <c r="L46" s="44">
        <f t="shared" si="6"/>
        <v>4.0649764863025061E-4</v>
      </c>
      <c r="M46" s="44">
        <f t="shared" si="6"/>
        <v>0</v>
      </c>
      <c r="N46" s="44">
        <f t="shared" si="6"/>
        <v>0</v>
      </c>
      <c r="O46" s="44">
        <f t="shared" si="7"/>
        <v>0</v>
      </c>
      <c r="P46" s="44">
        <f t="shared" si="7"/>
        <v>0</v>
      </c>
      <c r="Q46" s="44">
        <f t="shared" si="7"/>
        <v>0</v>
      </c>
      <c r="R46" s="44">
        <f t="shared" si="7"/>
        <v>0</v>
      </c>
      <c r="S46" s="44">
        <f t="shared" si="7"/>
        <v>0</v>
      </c>
      <c r="T46" s="44">
        <f t="shared" si="7"/>
        <v>0</v>
      </c>
      <c r="U46" s="44">
        <f t="shared" si="7"/>
        <v>0</v>
      </c>
      <c r="V46" s="44">
        <f t="shared" si="7"/>
        <v>0</v>
      </c>
      <c r="W46" s="44">
        <f t="shared" si="7"/>
        <v>0</v>
      </c>
      <c r="X46" s="44">
        <f t="shared" si="7"/>
        <v>0</v>
      </c>
      <c r="Y46" s="44">
        <f t="shared" si="7"/>
        <v>0</v>
      </c>
      <c r="Z46" s="44">
        <f t="shared" si="7"/>
        <v>0</v>
      </c>
      <c r="AA46" s="44">
        <f t="shared" si="7"/>
        <v>0</v>
      </c>
      <c r="AB46" s="44">
        <f t="shared" si="7"/>
        <v>0</v>
      </c>
      <c r="AC46" s="44">
        <f t="shared" si="7"/>
        <v>0</v>
      </c>
      <c r="AD46" s="44">
        <f t="shared" si="7"/>
        <v>4.0649764863025061E-4</v>
      </c>
      <c r="AE46" s="44">
        <f t="shared" si="3"/>
        <v>4.0649764863025061E-4</v>
      </c>
      <c r="AF46" s="44">
        <f t="shared" si="2"/>
        <v>0</v>
      </c>
      <c r="AG46" s="44">
        <f>Table1[[#This Row],[Column2]]/$D$141*0.5</f>
        <v>3.3904052344225089E-4</v>
      </c>
      <c r="AH46" s="44">
        <f>Table1[[#This Row],[Column29]]/$D$141*1.5</f>
        <v>1.0171215703267526E-3</v>
      </c>
    </row>
    <row r="47" spans="3:34">
      <c r="C47" s="44" t="s">
        <v>390</v>
      </c>
      <c r="D47" s="44">
        <v>2.4482101513205409E-3</v>
      </c>
      <c r="E47" s="44">
        <f t="shared" si="6"/>
        <v>0</v>
      </c>
      <c r="F47" s="44">
        <f t="shared" si="6"/>
        <v>0</v>
      </c>
      <c r="G47" s="44">
        <f t="shared" si="6"/>
        <v>2.4482101513205409E-3</v>
      </c>
      <c r="H47" s="44">
        <f t="shared" si="6"/>
        <v>0</v>
      </c>
      <c r="I47" s="44">
        <f t="shared" si="6"/>
        <v>2.4482101513205409E-3</v>
      </c>
      <c r="J47" s="44">
        <f t="shared" si="6"/>
        <v>0</v>
      </c>
      <c r="K47" s="44">
        <f t="shared" si="6"/>
        <v>2.4482101513205409E-3</v>
      </c>
      <c r="L47" s="44">
        <f t="shared" si="6"/>
        <v>0</v>
      </c>
      <c r="M47" s="44">
        <f t="shared" si="6"/>
        <v>0</v>
      </c>
      <c r="N47" s="44">
        <f t="shared" si="6"/>
        <v>0</v>
      </c>
      <c r="O47" s="44">
        <f t="shared" si="7"/>
        <v>2.4482101513205409E-3</v>
      </c>
      <c r="P47" s="44">
        <f t="shared" si="7"/>
        <v>0</v>
      </c>
      <c r="Q47" s="44">
        <f t="shared" si="7"/>
        <v>0</v>
      </c>
      <c r="R47" s="44">
        <f t="shared" si="7"/>
        <v>4.8964203026410818E-3</v>
      </c>
      <c r="S47" s="44">
        <f t="shared" si="7"/>
        <v>0</v>
      </c>
      <c r="T47" s="44">
        <f t="shared" si="7"/>
        <v>0</v>
      </c>
      <c r="U47" s="44">
        <f t="shared" si="7"/>
        <v>0</v>
      </c>
      <c r="V47" s="44">
        <f t="shared" si="7"/>
        <v>0</v>
      </c>
      <c r="W47" s="44">
        <f t="shared" si="7"/>
        <v>0</v>
      </c>
      <c r="X47" s="44">
        <f t="shared" si="7"/>
        <v>0</v>
      </c>
      <c r="Y47" s="44">
        <f t="shared" si="7"/>
        <v>0</v>
      </c>
      <c r="Z47" s="44">
        <f t="shared" si="7"/>
        <v>0</v>
      </c>
      <c r="AA47" s="44">
        <f t="shared" si="7"/>
        <v>0</v>
      </c>
      <c r="AB47" s="44">
        <f t="shared" si="7"/>
        <v>0</v>
      </c>
      <c r="AC47" s="44">
        <f t="shared" si="7"/>
        <v>0</v>
      </c>
      <c r="AD47" s="44">
        <f t="shared" si="7"/>
        <v>0</v>
      </c>
      <c r="AE47" s="44">
        <f t="shared" si="3"/>
        <v>2.4482101513205409E-3</v>
      </c>
      <c r="AF47" s="44">
        <f t="shared" si="2"/>
        <v>0</v>
      </c>
      <c r="AG47" s="44">
        <f>Table1[[#This Row],[Column2]]/$D$141*0.5</f>
        <v>2.0419366606357747E-3</v>
      </c>
      <c r="AH47" s="44">
        <f>Table1[[#This Row],[Column29]]/$D$141*1.5</f>
        <v>6.125809981907324E-3</v>
      </c>
    </row>
    <row r="48" spans="3:34">
      <c r="C48" s="44" t="s">
        <v>391</v>
      </c>
      <c r="D48" s="44">
        <v>2.1021285379941097E-3</v>
      </c>
      <c r="E48" s="44">
        <f t="shared" si="6"/>
        <v>0</v>
      </c>
      <c r="F48" s="44">
        <f t="shared" si="6"/>
        <v>0</v>
      </c>
      <c r="G48" s="44">
        <f t="shared" si="6"/>
        <v>2.1021285379941097E-3</v>
      </c>
      <c r="H48" s="44">
        <f t="shared" si="6"/>
        <v>0</v>
      </c>
      <c r="I48" s="44">
        <f t="shared" si="6"/>
        <v>0</v>
      </c>
      <c r="J48" s="44">
        <f t="shared" si="6"/>
        <v>0</v>
      </c>
      <c r="K48" s="44">
        <f t="shared" si="6"/>
        <v>0</v>
      </c>
      <c r="L48" s="44">
        <f t="shared" si="6"/>
        <v>0</v>
      </c>
      <c r="M48" s="44">
        <f t="shared" si="6"/>
        <v>0</v>
      </c>
      <c r="N48" s="44">
        <f t="shared" si="6"/>
        <v>0</v>
      </c>
      <c r="O48" s="44">
        <f t="shared" si="7"/>
        <v>0</v>
      </c>
      <c r="P48" s="44">
        <f t="shared" si="7"/>
        <v>0</v>
      </c>
      <c r="Q48" s="44">
        <f t="shared" si="7"/>
        <v>0</v>
      </c>
      <c r="R48" s="44">
        <f t="shared" si="7"/>
        <v>4.2042570759882195E-3</v>
      </c>
      <c r="S48" s="44">
        <f t="shared" si="7"/>
        <v>0</v>
      </c>
      <c r="T48" s="44">
        <f t="shared" si="7"/>
        <v>0</v>
      </c>
      <c r="U48" s="44">
        <f t="shared" si="7"/>
        <v>0</v>
      </c>
      <c r="V48" s="44">
        <f t="shared" si="7"/>
        <v>0</v>
      </c>
      <c r="W48" s="44">
        <f t="shared" si="7"/>
        <v>0</v>
      </c>
      <c r="X48" s="44">
        <f t="shared" si="7"/>
        <v>0</v>
      </c>
      <c r="Y48" s="44">
        <f t="shared" si="7"/>
        <v>0</v>
      </c>
      <c r="Z48" s="44">
        <f t="shared" si="7"/>
        <v>0</v>
      </c>
      <c r="AA48" s="44">
        <f t="shared" si="7"/>
        <v>0</v>
      </c>
      <c r="AB48" s="44">
        <f t="shared" si="7"/>
        <v>0</v>
      </c>
      <c r="AC48" s="44">
        <f t="shared" si="7"/>
        <v>0</v>
      </c>
      <c r="AD48" s="44">
        <f t="shared" si="7"/>
        <v>0</v>
      </c>
      <c r="AE48" s="44">
        <f t="shared" si="3"/>
        <v>2.1021285379941097E-3</v>
      </c>
      <c r="AF48" s="44">
        <f t="shared" si="2"/>
        <v>0</v>
      </c>
      <c r="AG48" s="44">
        <f>Table1[[#This Row],[Column2]]/$D$141*0.5</f>
        <v>1.7532863037854694E-3</v>
      </c>
      <c r="AH48" s="44">
        <f>Table1[[#This Row],[Column29]]/$D$141*1.5</f>
        <v>5.2598589113564079E-3</v>
      </c>
    </row>
    <row r="49" spans="3:34">
      <c r="C49" s="44" t="s">
        <v>392</v>
      </c>
      <c r="D49" s="44">
        <v>1.5283910533734856E-3</v>
      </c>
      <c r="E49" s="44">
        <f t="shared" si="6"/>
        <v>0</v>
      </c>
      <c r="F49" s="44">
        <f t="shared" si="6"/>
        <v>0</v>
      </c>
      <c r="G49" s="44">
        <f t="shared" si="6"/>
        <v>1.5283910533734856E-3</v>
      </c>
      <c r="H49" s="44">
        <f t="shared" si="6"/>
        <v>0</v>
      </c>
      <c r="I49" s="44">
        <f t="shared" si="6"/>
        <v>0</v>
      </c>
      <c r="J49" s="44">
        <f t="shared" si="6"/>
        <v>0</v>
      </c>
      <c r="K49" s="44">
        <f t="shared" si="6"/>
        <v>0</v>
      </c>
      <c r="L49" s="44">
        <f t="shared" si="6"/>
        <v>0</v>
      </c>
      <c r="M49" s="44">
        <f t="shared" si="6"/>
        <v>0</v>
      </c>
      <c r="N49" s="44">
        <f t="shared" si="6"/>
        <v>0</v>
      </c>
      <c r="O49" s="44">
        <f t="shared" si="7"/>
        <v>0</v>
      </c>
      <c r="P49" s="44">
        <f t="shared" si="7"/>
        <v>0</v>
      </c>
      <c r="Q49" s="44">
        <f t="shared" si="7"/>
        <v>0</v>
      </c>
      <c r="R49" s="44">
        <f t="shared" si="7"/>
        <v>1.5283910533734856E-3</v>
      </c>
      <c r="S49" s="44">
        <f t="shared" si="7"/>
        <v>1.5283910533734856E-3</v>
      </c>
      <c r="T49" s="44">
        <f t="shared" si="7"/>
        <v>0</v>
      </c>
      <c r="U49" s="44">
        <f t="shared" si="7"/>
        <v>0</v>
      </c>
      <c r="V49" s="44">
        <f t="shared" si="7"/>
        <v>0</v>
      </c>
      <c r="W49" s="44">
        <f t="shared" si="7"/>
        <v>0</v>
      </c>
      <c r="X49" s="44">
        <f t="shared" si="7"/>
        <v>0</v>
      </c>
      <c r="Y49" s="44">
        <f t="shared" si="7"/>
        <v>0</v>
      </c>
      <c r="Z49" s="44">
        <f t="shared" si="7"/>
        <v>0</v>
      </c>
      <c r="AA49" s="44">
        <f t="shared" si="7"/>
        <v>0</v>
      </c>
      <c r="AB49" s="44">
        <f t="shared" si="7"/>
        <v>0</v>
      </c>
      <c r="AC49" s="44">
        <f t="shared" si="7"/>
        <v>0</v>
      </c>
      <c r="AD49" s="44">
        <f t="shared" si="7"/>
        <v>0</v>
      </c>
      <c r="AE49" s="44">
        <f t="shared" si="3"/>
        <v>1.5283910533734856E-3</v>
      </c>
      <c r="AF49" s="44">
        <f t="shared" si="2"/>
        <v>0</v>
      </c>
      <c r="AG49" s="44">
        <f>Table1[[#This Row],[Column2]]/$D$141*0.5</f>
        <v>1.2747589180559838E-3</v>
      </c>
      <c r="AH49" s="44">
        <f>Table1[[#This Row],[Column29]]/$D$141*1.5</f>
        <v>3.8242767541679518E-3</v>
      </c>
    </row>
    <row r="50" spans="3:34">
      <c r="C50" s="44" t="s">
        <v>393</v>
      </c>
      <c r="D50" s="44">
        <v>5.5158780301943263E-3</v>
      </c>
      <c r="E50" s="44">
        <f t="shared" si="6"/>
        <v>0</v>
      </c>
      <c r="F50" s="44">
        <f t="shared" si="6"/>
        <v>0</v>
      </c>
      <c r="G50" s="44">
        <f t="shared" si="6"/>
        <v>5.5158780301943263E-3</v>
      </c>
      <c r="H50" s="44">
        <f t="shared" si="6"/>
        <v>0</v>
      </c>
      <c r="I50" s="44">
        <f t="shared" si="6"/>
        <v>0</v>
      </c>
      <c r="J50" s="44">
        <f t="shared" si="6"/>
        <v>0</v>
      </c>
      <c r="K50" s="44">
        <f t="shared" si="6"/>
        <v>0</v>
      </c>
      <c r="L50" s="44">
        <f t="shared" si="6"/>
        <v>1.1031756060388653E-2</v>
      </c>
      <c r="M50" s="44">
        <f t="shared" si="6"/>
        <v>0</v>
      </c>
      <c r="N50" s="44">
        <f t="shared" si="6"/>
        <v>0</v>
      </c>
      <c r="O50" s="44">
        <f t="shared" si="7"/>
        <v>0</v>
      </c>
      <c r="P50" s="44">
        <f t="shared" si="7"/>
        <v>0</v>
      </c>
      <c r="Q50" s="44">
        <f t="shared" si="7"/>
        <v>0</v>
      </c>
      <c r="R50" s="44">
        <f t="shared" si="7"/>
        <v>1.1031756060388653E-2</v>
      </c>
      <c r="S50" s="44">
        <f t="shared" si="7"/>
        <v>5.5158780301943263E-3</v>
      </c>
      <c r="T50" s="44">
        <f t="shared" si="7"/>
        <v>0</v>
      </c>
      <c r="U50" s="44">
        <f t="shared" si="7"/>
        <v>0</v>
      </c>
      <c r="V50" s="44">
        <f t="shared" si="7"/>
        <v>0</v>
      </c>
      <c r="W50" s="44">
        <f t="shared" si="7"/>
        <v>0</v>
      </c>
      <c r="X50" s="44">
        <f t="shared" si="7"/>
        <v>0</v>
      </c>
      <c r="Y50" s="44">
        <f t="shared" si="7"/>
        <v>0</v>
      </c>
      <c r="Z50" s="44">
        <f t="shared" si="7"/>
        <v>0</v>
      </c>
      <c r="AA50" s="44">
        <f t="shared" si="7"/>
        <v>0</v>
      </c>
      <c r="AB50" s="44">
        <f t="shared" si="7"/>
        <v>0</v>
      </c>
      <c r="AC50" s="44">
        <f t="shared" si="7"/>
        <v>0</v>
      </c>
      <c r="AD50" s="44">
        <f t="shared" si="7"/>
        <v>0</v>
      </c>
      <c r="AE50" s="44">
        <f t="shared" si="3"/>
        <v>5.5158780301943254E-3</v>
      </c>
      <c r="AF50" s="44">
        <f t="shared" si="2"/>
        <v>0</v>
      </c>
      <c r="AG50" s="44">
        <f>Table1[[#This Row],[Column2]]/$D$141*0.5</f>
        <v>4.600533806043589E-3</v>
      </c>
      <c r="AH50" s="44">
        <f>Table1[[#This Row],[Column29]]/$D$141*1.5</f>
        <v>1.3801601418130765E-2</v>
      </c>
    </row>
    <row r="51" spans="3:34">
      <c r="C51" s="44" t="s">
        <v>394</v>
      </c>
      <c r="D51" s="44">
        <v>3.5851431096600326E-3</v>
      </c>
      <c r="E51" s="44">
        <f t="shared" si="6"/>
        <v>0</v>
      </c>
      <c r="F51" s="44">
        <f t="shared" si="6"/>
        <v>0</v>
      </c>
      <c r="G51" s="44">
        <f t="shared" si="6"/>
        <v>3.5851431096600326E-3</v>
      </c>
      <c r="H51" s="44">
        <f t="shared" si="6"/>
        <v>0</v>
      </c>
      <c r="I51" s="44">
        <f t="shared" si="6"/>
        <v>0</v>
      </c>
      <c r="J51" s="44">
        <f t="shared" si="6"/>
        <v>0</v>
      </c>
      <c r="K51" s="44">
        <f t="shared" si="6"/>
        <v>0</v>
      </c>
      <c r="L51" s="44">
        <f t="shared" si="6"/>
        <v>0</v>
      </c>
      <c r="M51" s="44">
        <f t="shared" si="6"/>
        <v>0</v>
      </c>
      <c r="N51" s="44">
        <f t="shared" si="6"/>
        <v>0</v>
      </c>
      <c r="O51" s="44">
        <f t="shared" si="7"/>
        <v>0</v>
      </c>
      <c r="P51" s="44">
        <f t="shared" si="7"/>
        <v>0</v>
      </c>
      <c r="Q51" s="44">
        <f t="shared" si="7"/>
        <v>0</v>
      </c>
      <c r="R51" s="44">
        <f t="shared" si="7"/>
        <v>3.5851431096600326E-3</v>
      </c>
      <c r="S51" s="44">
        <f t="shared" si="7"/>
        <v>0</v>
      </c>
      <c r="T51" s="44">
        <f t="shared" si="7"/>
        <v>0</v>
      </c>
      <c r="U51" s="44">
        <f t="shared" si="7"/>
        <v>0</v>
      </c>
      <c r="V51" s="44">
        <f t="shared" si="7"/>
        <v>0</v>
      </c>
      <c r="W51" s="44">
        <f t="shared" si="7"/>
        <v>0</v>
      </c>
      <c r="X51" s="44">
        <f t="shared" si="7"/>
        <v>0</v>
      </c>
      <c r="Y51" s="44">
        <f t="shared" si="7"/>
        <v>0</v>
      </c>
      <c r="Z51" s="44">
        <f t="shared" si="7"/>
        <v>3.5851431096600326E-3</v>
      </c>
      <c r="AA51" s="44">
        <f t="shared" si="7"/>
        <v>0</v>
      </c>
      <c r="AB51" s="44">
        <f t="shared" si="7"/>
        <v>0</v>
      </c>
      <c r="AC51" s="44">
        <f t="shared" si="7"/>
        <v>0</v>
      </c>
      <c r="AD51" s="44">
        <f t="shared" si="7"/>
        <v>0</v>
      </c>
      <c r="AE51" s="44">
        <f t="shared" si="3"/>
        <v>3.5851431096600322E-3</v>
      </c>
      <c r="AF51" s="44">
        <f t="shared" si="2"/>
        <v>0</v>
      </c>
      <c r="AG51" s="44">
        <f>Table1[[#This Row],[Column2]]/$D$141*0.5</f>
        <v>2.9901988378292954E-3</v>
      </c>
      <c r="AH51" s="44">
        <f>Table1[[#This Row],[Column29]]/$D$141*1.5</f>
        <v>8.970596513487885E-3</v>
      </c>
    </row>
    <row r="52" spans="3:34">
      <c r="C52" s="44" t="s">
        <v>395</v>
      </c>
      <c r="D52" s="44">
        <v>5.8415344973986039E-3</v>
      </c>
      <c r="E52" s="44">
        <f t="shared" ref="E52:T67" si="8">((LEN($C52)-LEN(SUBSTITUTE($C52,E$3,"")))/4)*$D52</f>
        <v>0</v>
      </c>
      <c r="F52" s="44">
        <f t="shared" si="8"/>
        <v>0</v>
      </c>
      <c r="G52" s="44">
        <f t="shared" si="8"/>
        <v>5.8415344973986039E-3</v>
      </c>
      <c r="H52" s="44">
        <f t="shared" si="8"/>
        <v>0</v>
      </c>
      <c r="I52" s="44">
        <f t="shared" si="8"/>
        <v>0</v>
      </c>
      <c r="J52" s="44">
        <f t="shared" si="8"/>
        <v>0</v>
      </c>
      <c r="K52" s="44">
        <f t="shared" si="8"/>
        <v>0</v>
      </c>
      <c r="L52" s="44">
        <f t="shared" si="8"/>
        <v>0</v>
      </c>
      <c r="M52" s="44">
        <f t="shared" si="8"/>
        <v>0</v>
      </c>
      <c r="N52" s="44">
        <f t="shared" si="8"/>
        <v>0</v>
      </c>
      <c r="O52" s="44">
        <f t="shared" si="8"/>
        <v>0</v>
      </c>
      <c r="P52" s="44">
        <f t="shared" si="8"/>
        <v>0</v>
      </c>
      <c r="Q52" s="44">
        <f t="shared" si="8"/>
        <v>0</v>
      </c>
      <c r="R52" s="44">
        <f t="shared" si="8"/>
        <v>5.8415344973986039E-3</v>
      </c>
      <c r="S52" s="44">
        <f t="shared" si="8"/>
        <v>0</v>
      </c>
      <c r="T52" s="44">
        <f t="shared" si="8"/>
        <v>0</v>
      </c>
      <c r="U52" s="44">
        <f t="shared" ref="O52:AD67" si="9">((LEN($C52)-LEN(SUBSTITUTE($C52,U$3,"")))/4)*$D52</f>
        <v>0</v>
      </c>
      <c r="V52" s="44">
        <f t="shared" si="9"/>
        <v>0</v>
      </c>
      <c r="W52" s="44">
        <f t="shared" si="9"/>
        <v>0</v>
      </c>
      <c r="X52" s="44">
        <f t="shared" si="9"/>
        <v>0</v>
      </c>
      <c r="Y52" s="44">
        <f t="shared" si="9"/>
        <v>0</v>
      </c>
      <c r="Z52" s="44">
        <f t="shared" si="9"/>
        <v>0</v>
      </c>
      <c r="AA52" s="44">
        <f t="shared" si="9"/>
        <v>5.8415344973986039E-3</v>
      </c>
      <c r="AB52" s="44">
        <f t="shared" si="9"/>
        <v>0</v>
      </c>
      <c r="AC52" s="44">
        <f t="shared" si="9"/>
        <v>0</v>
      </c>
      <c r="AD52" s="44">
        <f t="shared" si="9"/>
        <v>0</v>
      </c>
      <c r="AE52" s="44">
        <f t="shared" si="3"/>
        <v>5.8415344973986039E-3</v>
      </c>
      <c r="AF52" s="44">
        <f t="shared" si="2"/>
        <v>0</v>
      </c>
      <c r="AG52" s="44">
        <f>Table1[[#This Row],[Column2]]/$D$141*0.5</f>
        <v>4.8721485115045832E-3</v>
      </c>
      <c r="AH52" s="44">
        <f>Table1[[#This Row],[Column29]]/$D$141*1.5</f>
        <v>1.461644553451375E-2</v>
      </c>
    </row>
    <row r="53" spans="3:34">
      <c r="C53" s="44" t="s">
        <v>396</v>
      </c>
      <c r="D53" s="44">
        <v>2.9576642868554513E-3</v>
      </c>
      <c r="E53" s="44">
        <f t="shared" si="8"/>
        <v>0</v>
      </c>
      <c r="F53" s="44">
        <f t="shared" si="8"/>
        <v>0</v>
      </c>
      <c r="G53" s="44">
        <f t="shared" si="8"/>
        <v>2.9576642868554513E-3</v>
      </c>
      <c r="H53" s="44">
        <f t="shared" si="8"/>
        <v>0</v>
      </c>
      <c r="I53" s="44">
        <f t="shared" si="8"/>
        <v>0</v>
      </c>
      <c r="J53" s="44">
        <f t="shared" si="8"/>
        <v>0</v>
      </c>
      <c r="K53" s="44">
        <f t="shared" si="8"/>
        <v>0</v>
      </c>
      <c r="L53" s="44">
        <f t="shared" si="8"/>
        <v>0</v>
      </c>
      <c r="M53" s="44">
        <f t="shared" si="8"/>
        <v>0</v>
      </c>
      <c r="N53" s="44">
        <f t="shared" si="8"/>
        <v>0</v>
      </c>
      <c r="O53" s="44">
        <f t="shared" si="9"/>
        <v>0</v>
      </c>
      <c r="P53" s="44">
        <f t="shared" si="9"/>
        <v>0</v>
      </c>
      <c r="Q53" s="44">
        <f t="shared" si="9"/>
        <v>0</v>
      </c>
      <c r="R53" s="44">
        <f t="shared" si="9"/>
        <v>2.9576642868554513E-3</v>
      </c>
      <c r="S53" s="44">
        <f t="shared" si="9"/>
        <v>0</v>
      </c>
      <c r="T53" s="44">
        <f t="shared" si="9"/>
        <v>0</v>
      </c>
      <c r="U53" s="44">
        <f t="shared" si="9"/>
        <v>0</v>
      </c>
      <c r="V53" s="44">
        <f t="shared" si="9"/>
        <v>0</v>
      </c>
      <c r="W53" s="44">
        <f t="shared" si="9"/>
        <v>0</v>
      </c>
      <c r="X53" s="44">
        <f t="shared" si="9"/>
        <v>0</v>
      </c>
      <c r="Y53" s="44">
        <f t="shared" si="9"/>
        <v>0</v>
      </c>
      <c r="Z53" s="44">
        <f t="shared" si="9"/>
        <v>0</v>
      </c>
      <c r="AA53" s="44">
        <f t="shared" si="9"/>
        <v>0</v>
      </c>
      <c r="AB53" s="44">
        <f t="shared" si="9"/>
        <v>0</v>
      </c>
      <c r="AC53" s="44">
        <f t="shared" si="9"/>
        <v>2.9576642868554513E-3</v>
      </c>
      <c r="AD53" s="44">
        <f t="shared" si="9"/>
        <v>0</v>
      </c>
      <c r="AE53" s="44">
        <f t="shared" si="3"/>
        <v>2.9576642868554513E-3</v>
      </c>
      <c r="AF53" s="44">
        <f t="shared" si="2"/>
        <v>0</v>
      </c>
      <c r="AG53" s="44">
        <f>Table1[[#This Row],[Column2]]/$D$141*0.5</f>
        <v>2.4668483356813696E-3</v>
      </c>
      <c r="AH53" s="44">
        <f>Table1[[#This Row],[Column29]]/$D$141*1.5</f>
        <v>7.4005450070441089E-3</v>
      </c>
    </row>
    <row r="54" spans="3:34">
      <c r="C54" s="44" t="s">
        <v>397</v>
      </c>
      <c r="D54" s="44">
        <v>8.8498462714124953E-4</v>
      </c>
      <c r="E54" s="44">
        <f t="shared" si="8"/>
        <v>0</v>
      </c>
      <c r="F54" s="44">
        <f t="shared" si="8"/>
        <v>0</v>
      </c>
      <c r="G54" s="44">
        <f t="shared" si="8"/>
        <v>8.8498462714124953E-4</v>
      </c>
      <c r="H54" s="44">
        <f t="shared" si="8"/>
        <v>0</v>
      </c>
      <c r="I54" s="44">
        <f t="shared" si="8"/>
        <v>0</v>
      </c>
      <c r="J54" s="44">
        <f t="shared" si="8"/>
        <v>0</v>
      </c>
      <c r="K54" s="44">
        <f t="shared" si="8"/>
        <v>8.8498462714124953E-4</v>
      </c>
      <c r="L54" s="44">
        <f t="shared" si="8"/>
        <v>0</v>
      </c>
      <c r="M54" s="44">
        <f t="shared" si="8"/>
        <v>0</v>
      </c>
      <c r="N54" s="44">
        <f t="shared" si="8"/>
        <v>8.8498462714124953E-4</v>
      </c>
      <c r="O54" s="44">
        <f t="shared" si="9"/>
        <v>0</v>
      </c>
      <c r="P54" s="44">
        <f t="shared" si="9"/>
        <v>0</v>
      </c>
      <c r="Q54" s="44">
        <f t="shared" si="9"/>
        <v>0</v>
      </c>
      <c r="R54" s="44">
        <f t="shared" si="9"/>
        <v>0</v>
      </c>
      <c r="S54" s="44">
        <f t="shared" si="9"/>
        <v>1.7699692542824991E-3</v>
      </c>
      <c r="T54" s="44">
        <f t="shared" si="9"/>
        <v>8.8498462714124953E-4</v>
      </c>
      <c r="U54" s="44">
        <f t="shared" si="9"/>
        <v>0</v>
      </c>
      <c r="V54" s="44">
        <f t="shared" si="9"/>
        <v>0</v>
      </c>
      <c r="W54" s="44">
        <f t="shared" si="9"/>
        <v>0</v>
      </c>
      <c r="X54" s="44">
        <f t="shared" si="9"/>
        <v>0</v>
      </c>
      <c r="Y54" s="44">
        <f t="shared" si="9"/>
        <v>0</v>
      </c>
      <c r="Z54" s="44">
        <f t="shared" si="9"/>
        <v>0</v>
      </c>
      <c r="AA54" s="44">
        <f t="shared" si="9"/>
        <v>0</v>
      </c>
      <c r="AB54" s="44">
        <f t="shared" si="9"/>
        <v>0</v>
      </c>
      <c r="AC54" s="44">
        <f t="shared" si="9"/>
        <v>0</v>
      </c>
      <c r="AD54" s="44">
        <f t="shared" si="9"/>
        <v>0</v>
      </c>
      <c r="AE54" s="44">
        <f t="shared" si="3"/>
        <v>8.8498462714124953E-4</v>
      </c>
      <c r="AF54" s="44">
        <f t="shared" si="2"/>
        <v>0</v>
      </c>
      <c r="AG54" s="44">
        <f>Table1[[#This Row],[Column2]]/$D$141*0.5</f>
        <v>7.3812395283308363E-4</v>
      </c>
      <c r="AH54" s="44">
        <f>Table1[[#This Row],[Column29]]/$D$141*1.5</f>
        <v>2.214371858499251E-3</v>
      </c>
    </row>
    <row r="55" spans="3:34">
      <c r="C55" s="44" t="s">
        <v>398</v>
      </c>
      <c r="D55" s="44">
        <v>2.9288456374881481E-4</v>
      </c>
      <c r="E55" s="44">
        <f t="shared" si="8"/>
        <v>0</v>
      </c>
      <c r="F55" s="44">
        <f t="shared" si="8"/>
        <v>0</v>
      </c>
      <c r="G55" s="44">
        <f t="shared" si="8"/>
        <v>2.9288456374881481E-4</v>
      </c>
      <c r="H55" s="44">
        <f t="shared" si="8"/>
        <v>0</v>
      </c>
      <c r="I55" s="44">
        <f t="shared" si="8"/>
        <v>0</v>
      </c>
      <c r="J55" s="44">
        <f t="shared" si="8"/>
        <v>0</v>
      </c>
      <c r="K55" s="44">
        <f t="shared" si="8"/>
        <v>0</v>
      </c>
      <c r="L55" s="44">
        <f t="shared" si="8"/>
        <v>0</v>
      </c>
      <c r="M55" s="44">
        <f t="shared" si="8"/>
        <v>0</v>
      </c>
      <c r="N55" s="44">
        <f t="shared" si="8"/>
        <v>0</v>
      </c>
      <c r="O55" s="44">
        <f t="shared" si="9"/>
        <v>0</v>
      </c>
      <c r="P55" s="44">
        <f t="shared" si="9"/>
        <v>0</v>
      </c>
      <c r="Q55" s="44">
        <f t="shared" si="9"/>
        <v>0</v>
      </c>
      <c r="R55" s="44">
        <f t="shared" si="9"/>
        <v>0</v>
      </c>
      <c r="S55" s="44">
        <f t="shared" si="9"/>
        <v>0</v>
      </c>
      <c r="T55" s="44">
        <f t="shared" si="9"/>
        <v>2.9288456374881481E-4</v>
      </c>
      <c r="U55" s="44">
        <f t="shared" si="9"/>
        <v>0</v>
      </c>
      <c r="V55" s="44">
        <f t="shared" si="9"/>
        <v>0</v>
      </c>
      <c r="W55" s="44">
        <f t="shared" si="9"/>
        <v>0</v>
      </c>
      <c r="X55" s="44">
        <f t="shared" si="9"/>
        <v>0</v>
      </c>
      <c r="Y55" s="44">
        <f t="shared" si="9"/>
        <v>0</v>
      </c>
      <c r="Z55" s="44">
        <f t="shared" si="9"/>
        <v>0</v>
      </c>
      <c r="AA55" s="44">
        <f t="shared" si="9"/>
        <v>2.9288456374881481E-4</v>
      </c>
      <c r="AB55" s="44">
        <f t="shared" si="9"/>
        <v>0</v>
      </c>
      <c r="AC55" s="44">
        <f t="shared" si="9"/>
        <v>0</v>
      </c>
      <c r="AD55" s="44">
        <f t="shared" si="9"/>
        <v>0</v>
      </c>
      <c r="AE55" s="44">
        <f t="shared" si="3"/>
        <v>2.9288456374881481E-4</v>
      </c>
      <c r="AF55" s="44">
        <f t="shared" si="2"/>
        <v>0</v>
      </c>
      <c r="AG55" s="44">
        <f>Table1[[#This Row],[Column2]]/$D$141*0.5</f>
        <v>2.4428120589665774E-4</v>
      </c>
      <c r="AH55" s="44">
        <f>Table1[[#This Row],[Column29]]/$D$141*1.5</f>
        <v>7.3284361768997323E-4</v>
      </c>
    </row>
    <row r="56" spans="3:34">
      <c r="C56" s="44" t="s">
        <v>399</v>
      </c>
      <c r="D56" s="44">
        <v>5.3056680410717917E-4</v>
      </c>
      <c r="E56" s="44">
        <f t="shared" si="8"/>
        <v>0</v>
      </c>
      <c r="F56" s="44">
        <f t="shared" si="8"/>
        <v>0</v>
      </c>
      <c r="G56" s="44">
        <f t="shared" si="8"/>
        <v>0</v>
      </c>
      <c r="H56" s="44">
        <f t="shared" si="8"/>
        <v>5.3056680410717917E-4</v>
      </c>
      <c r="I56" s="44">
        <f t="shared" si="8"/>
        <v>5.3056680410717917E-4</v>
      </c>
      <c r="J56" s="44">
        <f t="shared" si="8"/>
        <v>0</v>
      </c>
      <c r="K56" s="44">
        <f t="shared" si="8"/>
        <v>5.3056680410717917E-4</v>
      </c>
      <c r="L56" s="44">
        <f t="shared" si="8"/>
        <v>0</v>
      </c>
      <c r="M56" s="44">
        <f t="shared" si="8"/>
        <v>0</v>
      </c>
      <c r="N56" s="44">
        <f t="shared" si="8"/>
        <v>0</v>
      </c>
      <c r="O56" s="44">
        <f t="shared" si="9"/>
        <v>0</v>
      </c>
      <c r="P56" s="44">
        <f t="shared" si="9"/>
        <v>0</v>
      </c>
      <c r="Q56" s="44">
        <f t="shared" si="9"/>
        <v>0</v>
      </c>
      <c r="R56" s="44">
        <f t="shared" si="9"/>
        <v>0</v>
      </c>
      <c r="S56" s="44">
        <f t="shared" si="9"/>
        <v>0</v>
      </c>
      <c r="T56" s="44">
        <f t="shared" si="9"/>
        <v>0</v>
      </c>
      <c r="U56" s="44">
        <f t="shared" si="9"/>
        <v>0</v>
      </c>
      <c r="V56" s="44">
        <f t="shared" si="9"/>
        <v>0</v>
      </c>
      <c r="W56" s="44">
        <f t="shared" si="9"/>
        <v>0</v>
      </c>
      <c r="X56" s="44">
        <f t="shared" si="9"/>
        <v>0</v>
      </c>
      <c r="Y56" s="44">
        <f t="shared" si="9"/>
        <v>0</v>
      </c>
      <c r="Z56" s="44">
        <f t="shared" si="9"/>
        <v>0</v>
      </c>
      <c r="AA56" s="44">
        <f t="shared" si="9"/>
        <v>0</v>
      </c>
      <c r="AB56" s="44">
        <f t="shared" si="9"/>
        <v>0</v>
      </c>
      <c r="AC56" s="44">
        <f t="shared" si="9"/>
        <v>0</v>
      </c>
      <c r="AD56" s="44">
        <f t="shared" si="9"/>
        <v>0</v>
      </c>
      <c r="AE56" s="44">
        <f t="shared" si="3"/>
        <v>5.3056680410717917E-4</v>
      </c>
      <c r="AF56" s="44">
        <f t="shared" si="2"/>
        <v>0</v>
      </c>
      <c r="AG56" s="44">
        <f>Table1[[#This Row],[Column2]]/$D$141*0.5</f>
        <v>4.4252075649569623E-4</v>
      </c>
      <c r="AH56" s="44">
        <f>Table1[[#This Row],[Column29]]/$D$141*1.5</f>
        <v>1.3275622694870887E-3</v>
      </c>
    </row>
    <row r="57" spans="3:34">
      <c r="C57" s="44" t="s">
        <v>400</v>
      </c>
      <c r="D57" s="44">
        <v>1.5780645503942646E-3</v>
      </c>
      <c r="E57" s="44">
        <f t="shared" si="8"/>
        <v>0</v>
      </c>
      <c r="F57" s="44">
        <f t="shared" si="8"/>
        <v>0</v>
      </c>
      <c r="G57" s="44">
        <f t="shared" si="8"/>
        <v>0</v>
      </c>
      <c r="H57" s="44">
        <f t="shared" si="8"/>
        <v>1.5780645503942646E-3</v>
      </c>
      <c r="I57" s="44">
        <f t="shared" si="8"/>
        <v>0</v>
      </c>
      <c r="J57" s="44">
        <f t="shared" si="8"/>
        <v>0</v>
      </c>
      <c r="K57" s="44">
        <f t="shared" si="8"/>
        <v>3.1561291007885291E-3</v>
      </c>
      <c r="L57" s="44">
        <f t="shared" si="8"/>
        <v>0</v>
      </c>
      <c r="M57" s="44">
        <f t="shared" si="8"/>
        <v>0</v>
      </c>
      <c r="N57" s="44">
        <f t="shared" si="8"/>
        <v>0</v>
      </c>
      <c r="O57" s="44">
        <f t="shared" si="9"/>
        <v>0</v>
      </c>
      <c r="P57" s="44">
        <f t="shared" si="9"/>
        <v>0</v>
      </c>
      <c r="Q57" s="44">
        <f t="shared" si="9"/>
        <v>0</v>
      </c>
      <c r="R57" s="44">
        <f t="shared" si="9"/>
        <v>0</v>
      </c>
      <c r="S57" s="44">
        <f t="shared" si="9"/>
        <v>0</v>
      </c>
      <c r="T57" s="44">
        <f t="shared" si="9"/>
        <v>0</v>
      </c>
      <c r="U57" s="44">
        <f t="shared" si="9"/>
        <v>0</v>
      </c>
      <c r="V57" s="44">
        <f t="shared" si="9"/>
        <v>0</v>
      </c>
      <c r="W57" s="44">
        <f t="shared" si="9"/>
        <v>0</v>
      </c>
      <c r="X57" s="44">
        <f t="shared" si="9"/>
        <v>0</v>
      </c>
      <c r="Y57" s="44">
        <f t="shared" si="9"/>
        <v>0</v>
      </c>
      <c r="Z57" s="44">
        <f t="shared" si="9"/>
        <v>0</v>
      </c>
      <c r="AA57" s="44">
        <f t="shared" si="9"/>
        <v>0</v>
      </c>
      <c r="AB57" s="44">
        <f t="shared" si="9"/>
        <v>0</v>
      </c>
      <c r="AC57" s="44">
        <f t="shared" si="9"/>
        <v>0</v>
      </c>
      <c r="AD57" s="44">
        <f t="shared" si="9"/>
        <v>0</v>
      </c>
      <c r="AE57" s="44">
        <f t="shared" si="3"/>
        <v>1.5780645503942646E-3</v>
      </c>
      <c r="AF57" s="44">
        <f t="shared" si="2"/>
        <v>0</v>
      </c>
      <c r="AG57" s="44">
        <f>Table1[[#This Row],[Column2]]/$D$141*0.5</f>
        <v>1.3161892399480813E-3</v>
      </c>
      <c r="AH57" s="44">
        <f>Table1[[#This Row],[Column29]]/$D$141*1.5</f>
        <v>3.9485677198442442E-3</v>
      </c>
    </row>
    <row r="58" spans="3:34">
      <c r="C58" s="44" t="s">
        <v>401</v>
      </c>
      <c r="D58" s="44">
        <v>8.7011695415752154E-4</v>
      </c>
      <c r="E58" s="44">
        <f t="shared" si="8"/>
        <v>0</v>
      </c>
      <c r="F58" s="44">
        <f t="shared" si="8"/>
        <v>0</v>
      </c>
      <c r="G58" s="44">
        <f t="shared" si="8"/>
        <v>0</v>
      </c>
      <c r="H58" s="44">
        <f t="shared" si="8"/>
        <v>0</v>
      </c>
      <c r="I58" s="44">
        <f t="shared" si="8"/>
        <v>8.7011695415752154E-4</v>
      </c>
      <c r="J58" s="44">
        <f t="shared" si="8"/>
        <v>8.7011695415752154E-4</v>
      </c>
      <c r="K58" s="44">
        <f t="shared" si="8"/>
        <v>8.7011695415752154E-4</v>
      </c>
      <c r="L58" s="44">
        <f t="shared" si="8"/>
        <v>0</v>
      </c>
      <c r="M58" s="44">
        <f t="shared" si="8"/>
        <v>0</v>
      </c>
      <c r="N58" s="44">
        <f t="shared" si="8"/>
        <v>0</v>
      </c>
      <c r="O58" s="44">
        <f t="shared" si="9"/>
        <v>0</v>
      </c>
      <c r="P58" s="44">
        <f t="shared" si="9"/>
        <v>0</v>
      </c>
      <c r="Q58" s="44">
        <f t="shared" si="9"/>
        <v>0</v>
      </c>
      <c r="R58" s="44">
        <f t="shared" si="9"/>
        <v>0</v>
      </c>
      <c r="S58" s="44">
        <f t="shared" si="9"/>
        <v>0</v>
      </c>
      <c r="T58" s="44">
        <f t="shared" si="9"/>
        <v>0</v>
      </c>
      <c r="U58" s="44">
        <f t="shared" si="9"/>
        <v>0</v>
      </c>
      <c r="V58" s="44">
        <f t="shared" si="9"/>
        <v>0</v>
      </c>
      <c r="W58" s="44">
        <f t="shared" si="9"/>
        <v>0</v>
      </c>
      <c r="X58" s="44">
        <f t="shared" si="9"/>
        <v>0</v>
      </c>
      <c r="Y58" s="44">
        <f t="shared" si="9"/>
        <v>0</v>
      </c>
      <c r="Z58" s="44">
        <f t="shared" si="9"/>
        <v>0</v>
      </c>
      <c r="AA58" s="44">
        <f t="shared" si="9"/>
        <v>0</v>
      </c>
      <c r="AB58" s="44">
        <f t="shared" si="9"/>
        <v>0</v>
      </c>
      <c r="AC58" s="44">
        <f t="shared" si="9"/>
        <v>0</v>
      </c>
      <c r="AD58" s="44">
        <f t="shared" si="9"/>
        <v>0</v>
      </c>
      <c r="AE58" s="44">
        <f t="shared" si="3"/>
        <v>8.7011695415752154E-4</v>
      </c>
      <c r="AF58" s="44">
        <f t="shared" si="2"/>
        <v>0</v>
      </c>
      <c r="AG58" s="44">
        <f>Table1[[#This Row],[Column2]]/$D$141*0.5</f>
        <v>7.257235277684939E-4</v>
      </c>
      <c r="AH58" s="44">
        <f>Table1[[#This Row],[Column29]]/$D$141*1.5</f>
        <v>2.1771705833054816E-3</v>
      </c>
    </row>
    <row r="59" spans="3:34">
      <c r="C59" s="44" t="s">
        <v>402</v>
      </c>
      <c r="D59" s="44">
        <v>2.4482101513205409E-3</v>
      </c>
      <c r="E59" s="44">
        <f t="shared" si="8"/>
        <v>0</v>
      </c>
      <c r="F59" s="44">
        <f t="shared" si="8"/>
        <v>0</v>
      </c>
      <c r="G59" s="44">
        <f t="shared" si="8"/>
        <v>0</v>
      </c>
      <c r="H59" s="44">
        <f t="shared" si="8"/>
        <v>0</v>
      </c>
      <c r="I59" s="44">
        <f t="shared" si="8"/>
        <v>2.4482101513205409E-3</v>
      </c>
      <c r="J59" s="44">
        <f t="shared" si="8"/>
        <v>0</v>
      </c>
      <c r="K59" s="44">
        <f t="shared" si="8"/>
        <v>2.4482101513205409E-3</v>
      </c>
      <c r="L59" s="44">
        <f t="shared" si="8"/>
        <v>0</v>
      </c>
      <c r="M59" s="44">
        <f t="shared" si="8"/>
        <v>0</v>
      </c>
      <c r="N59" s="44">
        <f t="shared" si="8"/>
        <v>0</v>
      </c>
      <c r="O59" s="44">
        <f t="shared" si="9"/>
        <v>0</v>
      </c>
      <c r="P59" s="44">
        <f t="shared" si="9"/>
        <v>0</v>
      </c>
      <c r="Q59" s="44">
        <f t="shared" si="9"/>
        <v>0</v>
      </c>
      <c r="R59" s="44">
        <f t="shared" si="9"/>
        <v>2.4482101513205409E-3</v>
      </c>
      <c r="S59" s="44">
        <f t="shared" si="9"/>
        <v>0</v>
      </c>
      <c r="T59" s="44">
        <f t="shared" si="9"/>
        <v>0</v>
      </c>
      <c r="U59" s="44">
        <f t="shared" si="9"/>
        <v>0</v>
      </c>
      <c r="V59" s="44">
        <f t="shared" si="9"/>
        <v>0</v>
      </c>
      <c r="W59" s="44">
        <f t="shared" si="9"/>
        <v>0</v>
      </c>
      <c r="X59" s="44">
        <f t="shared" si="9"/>
        <v>0</v>
      </c>
      <c r="Y59" s="44">
        <f t="shared" si="9"/>
        <v>0</v>
      </c>
      <c r="Z59" s="44">
        <f t="shared" si="9"/>
        <v>0</v>
      </c>
      <c r="AA59" s="44">
        <f t="shared" si="9"/>
        <v>0</v>
      </c>
      <c r="AB59" s="44">
        <f t="shared" si="9"/>
        <v>0</v>
      </c>
      <c r="AC59" s="44">
        <f t="shared" si="9"/>
        <v>0</v>
      </c>
      <c r="AD59" s="44">
        <f t="shared" si="9"/>
        <v>0</v>
      </c>
      <c r="AE59" s="44">
        <f t="shared" si="3"/>
        <v>2.4482101513205409E-3</v>
      </c>
      <c r="AF59" s="44">
        <f t="shared" si="2"/>
        <v>0</v>
      </c>
      <c r="AG59" s="44">
        <f>Table1[[#This Row],[Column2]]/$D$141*0.5</f>
        <v>2.0419366606357747E-3</v>
      </c>
      <c r="AH59" s="44">
        <f>Table1[[#This Row],[Column29]]/$D$141*1.5</f>
        <v>6.125809981907324E-3</v>
      </c>
    </row>
    <row r="60" spans="3:34">
      <c r="C60" s="44" t="s">
        <v>403</v>
      </c>
      <c r="D60" s="44">
        <v>4.0328921052971587E-3</v>
      </c>
      <c r="E60" s="44">
        <f t="shared" si="8"/>
        <v>0</v>
      </c>
      <c r="F60" s="44">
        <f t="shared" si="8"/>
        <v>0</v>
      </c>
      <c r="G60" s="44">
        <f t="shared" si="8"/>
        <v>0</v>
      </c>
      <c r="H60" s="44">
        <f t="shared" si="8"/>
        <v>0</v>
      </c>
      <c r="I60" s="44">
        <f t="shared" si="8"/>
        <v>4.0328921052971587E-3</v>
      </c>
      <c r="J60" s="44">
        <f t="shared" si="8"/>
        <v>0</v>
      </c>
      <c r="K60" s="44">
        <f t="shared" si="8"/>
        <v>1.2098676315891475E-2</v>
      </c>
      <c r="L60" s="44">
        <f t="shared" si="8"/>
        <v>0</v>
      </c>
      <c r="M60" s="44">
        <f t="shared" si="8"/>
        <v>0</v>
      </c>
      <c r="N60" s="44">
        <f t="shared" si="8"/>
        <v>0</v>
      </c>
      <c r="O60" s="44">
        <f t="shared" si="9"/>
        <v>0</v>
      </c>
      <c r="P60" s="44">
        <f t="shared" si="9"/>
        <v>4.0328921052971587E-3</v>
      </c>
      <c r="Q60" s="44">
        <f t="shared" si="9"/>
        <v>0</v>
      </c>
      <c r="R60" s="44">
        <f t="shared" si="9"/>
        <v>4.0328921052971587E-3</v>
      </c>
      <c r="S60" s="44">
        <f t="shared" si="9"/>
        <v>0</v>
      </c>
      <c r="T60" s="44">
        <f t="shared" si="9"/>
        <v>0</v>
      </c>
      <c r="U60" s="44">
        <f t="shared" si="9"/>
        <v>0</v>
      </c>
      <c r="V60" s="44">
        <f t="shared" si="9"/>
        <v>0</v>
      </c>
      <c r="W60" s="44">
        <f t="shared" si="9"/>
        <v>0</v>
      </c>
      <c r="X60" s="44">
        <f t="shared" si="9"/>
        <v>0</v>
      </c>
      <c r="Y60" s="44">
        <f t="shared" si="9"/>
        <v>0</v>
      </c>
      <c r="Z60" s="44">
        <f t="shared" si="9"/>
        <v>0</v>
      </c>
      <c r="AA60" s="44">
        <f t="shared" si="9"/>
        <v>0</v>
      </c>
      <c r="AB60" s="44">
        <f t="shared" si="9"/>
        <v>0</v>
      </c>
      <c r="AC60" s="44">
        <f t="shared" si="9"/>
        <v>0</v>
      </c>
      <c r="AD60" s="44">
        <f t="shared" si="9"/>
        <v>0</v>
      </c>
      <c r="AE60" s="44">
        <f t="shared" si="3"/>
        <v>4.0328921052971587E-3</v>
      </c>
      <c r="AF60" s="44">
        <f t="shared" si="2"/>
        <v>0</v>
      </c>
      <c r="AG60" s="44">
        <f>Table1[[#This Row],[Column2]]/$D$141*0.5</f>
        <v>3.3636451649189628E-3</v>
      </c>
      <c r="AH60" s="44">
        <f>Table1[[#This Row],[Column29]]/$D$141*1.5</f>
        <v>1.0090935494756889E-2</v>
      </c>
    </row>
    <row r="61" spans="3:34">
      <c r="C61" s="44" t="s">
        <v>404</v>
      </c>
      <c r="D61" s="44">
        <v>1.7896495844170292E-3</v>
      </c>
      <c r="E61" s="44">
        <f t="shared" si="8"/>
        <v>0</v>
      </c>
      <c r="F61" s="44">
        <f t="shared" si="8"/>
        <v>0</v>
      </c>
      <c r="G61" s="44">
        <f t="shared" si="8"/>
        <v>0</v>
      </c>
      <c r="H61" s="44">
        <f t="shared" si="8"/>
        <v>0</v>
      </c>
      <c r="I61" s="44">
        <f t="shared" si="8"/>
        <v>1.7896495844170292E-3</v>
      </c>
      <c r="J61" s="44">
        <f t="shared" si="8"/>
        <v>0</v>
      </c>
      <c r="K61" s="44">
        <f t="shared" si="8"/>
        <v>3.5792991688340585E-3</v>
      </c>
      <c r="L61" s="44">
        <f t="shared" si="8"/>
        <v>0</v>
      </c>
      <c r="M61" s="44">
        <f t="shared" si="8"/>
        <v>0</v>
      </c>
      <c r="N61" s="44">
        <f t="shared" si="8"/>
        <v>0</v>
      </c>
      <c r="O61" s="44">
        <f t="shared" si="9"/>
        <v>1.7896495844170292E-3</v>
      </c>
      <c r="P61" s="44">
        <f t="shared" si="9"/>
        <v>3.5792991688340585E-3</v>
      </c>
      <c r="Q61" s="44">
        <f t="shared" si="9"/>
        <v>0</v>
      </c>
      <c r="R61" s="44">
        <f t="shared" si="9"/>
        <v>0</v>
      </c>
      <c r="S61" s="44">
        <f t="shared" si="9"/>
        <v>0</v>
      </c>
      <c r="T61" s="44">
        <f t="shared" si="9"/>
        <v>0</v>
      </c>
      <c r="U61" s="44">
        <f t="shared" si="9"/>
        <v>0</v>
      </c>
      <c r="V61" s="44">
        <f t="shared" si="9"/>
        <v>0</v>
      </c>
      <c r="W61" s="44">
        <f t="shared" si="9"/>
        <v>0</v>
      </c>
      <c r="X61" s="44">
        <f t="shared" si="9"/>
        <v>0</v>
      </c>
      <c r="Y61" s="44">
        <f t="shared" si="9"/>
        <v>0</v>
      </c>
      <c r="Z61" s="44">
        <f t="shared" si="9"/>
        <v>0</v>
      </c>
      <c r="AA61" s="44">
        <f t="shared" si="9"/>
        <v>0</v>
      </c>
      <c r="AB61" s="44">
        <f t="shared" si="9"/>
        <v>0</v>
      </c>
      <c r="AC61" s="44">
        <f t="shared" si="9"/>
        <v>0</v>
      </c>
      <c r="AD61" s="44">
        <f t="shared" si="9"/>
        <v>0</v>
      </c>
      <c r="AE61" s="44">
        <f t="shared" si="3"/>
        <v>1.7896495844170292E-3</v>
      </c>
      <c r="AF61" s="44">
        <f t="shared" si="2"/>
        <v>0</v>
      </c>
      <c r="AG61" s="44">
        <f>Table1[[#This Row],[Column2]]/$D$141*0.5</f>
        <v>1.4926623411562888E-3</v>
      </c>
      <c r="AH61" s="44">
        <f>Table1[[#This Row],[Column29]]/$D$141*1.5</f>
        <v>4.4779870234688667E-3</v>
      </c>
    </row>
    <row r="62" spans="3:34">
      <c r="C62" s="44" t="s">
        <v>405</v>
      </c>
      <c r="D62" s="44">
        <v>1.6611401797831107E-3</v>
      </c>
      <c r="E62" s="44">
        <f t="shared" si="8"/>
        <v>0</v>
      </c>
      <c r="F62" s="44">
        <f t="shared" si="8"/>
        <v>0</v>
      </c>
      <c r="G62" s="44">
        <f t="shared" si="8"/>
        <v>0</v>
      </c>
      <c r="H62" s="44">
        <f t="shared" si="8"/>
        <v>0</v>
      </c>
      <c r="I62" s="44">
        <f t="shared" si="8"/>
        <v>1.6611401797831107E-3</v>
      </c>
      <c r="J62" s="44">
        <f t="shared" si="8"/>
        <v>0</v>
      </c>
      <c r="K62" s="44">
        <f t="shared" si="8"/>
        <v>1.6611401797831107E-3</v>
      </c>
      <c r="L62" s="44">
        <f t="shared" si="8"/>
        <v>1.6611401797831107E-3</v>
      </c>
      <c r="M62" s="44">
        <f t="shared" si="8"/>
        <v>0</v>
      </c>
      <c r="N62" s="44">
        <f t="shared" si="8"/>
        <v>0</v>
      </c>
      <c r="O62" s="44">
        <f t="shared" si="9"/>
        <v>3.3222803595662214E-3</v>
      </c>
      <c r="P62" s="44">
        <f t="shared" si="9"/>
        <v>1.6611401797831107E-3</v>
      </c>
      <c r="Q62" s="44">
        <f t="shared" si="9"/>
        <v>0</v>
      </c>
      <c r="R62" s="44">
        <f t="shared" si="9"/>
        <v>0</v>
      </c>
      <c r="S62" s="44">
        <f t="shared" si="9"/>
        <v>0</v>
      </c>
      <c r="T62" s="44">
        <f t="shared" si="9"/>
        <v>0</v>
      </c>
      <c r="U62" s="44">
        <f t="shared" si="9"/>
        <v>0</v>
      </c>
      <c r="V62" s="44">
        <f t="shared" si="9"/>
        <v>0</v>
      </c>
      <c r="W62" s="44">
        <f t="shared" si="9"/>
        <v>0</v>
      </c>
      <c r="X62" s="44">
        <f t="shared" si="9"/>
        <v>0</v>
      </c>
      <c r="Y62" s="44">
        <f t="shared" si="9"/>
        <v>0</v>
      </c>
      <c r="Z62" s="44">
        <f t="shared" si="9"/>
        <v>0</v>
      </c>
      <c r="AA62" s="44">
        <f t="shared" si="9"/>
        <v>0</v>
      </c>
      <c r="AB62" s="44">
        <f t="shared" si="9"/>
        <v>0</v>
      </c>
      <c r="AC62" s="44">
        <f t="shared" si="9"/>
        <v>0</v>
      </c>
      <c r="AD62" s="44">
        <f t="shared" si="9"/>
        <v>0</v>
      </c>
      <c r="AE62" s="44">
        <f t="shared" si="3"/>
        <v>1.6611401797831107E-3</v>
      </c>
      <c r="AF62" s="44">
        <f t="shared" si="2"/>
        <v>0</v>
      </c>
      <c r="AG62" s="44">
        <f>Table1[[#This Row],[Column2]]/$D$141*0.5</f>
        <v>1.3854787056269064E-3</v>
      </c>
      <c r="AH62" s="44">
        <f>Table1[[#This Row],[Column29]]/$D$141*1.5</f>
        <v>4.156436116880719E-3</v>
      </c>
    </row>
    <row r="63" spans="3:34">
      <c r="C63" s="44" t="s">
        <v>406</v>
      </c>
      <c r="D63" s="44">
        <v>1.2969108384505301E-2</v>
      </c>
      <c r="E63" s="44">
        <f t="shared" si="8"/>
        <v>0</v>
      </c>
      <c r="F63" s="44">
        <f t="shared" si="8"/>
        <v>0</v>
      </c>
      <c r="G63" s="44">
        <f t="shared" si="8"/>
        <v>0</v>
      </c>
      <c r="H63" s="44">
        <f t="shared" si="8"/>
        <v>0</v>
      </c>
      <c r="I63" s="44">
        <f t="shared" si="8"/>
        <v>0</v>
      </c>
      <c r="J63" s="44">
        <f t="shared" si="8"/>
        <v>0</v>
      </c>
      <c r="K63" s="44">
        <f t="shared" si="8"/>
        <v>3.8907325153515901E-2</v>
      </c>
      <c r="L63" s="44">
        <f t="shared" si="8"/>
        <v>0</v>
      </c>
      <c r="M63" s="44">
        <f t="shared" si="8"/>
        <v>0</v>
      </c>
      <c r="N63" s="44">
        <f t="shared" si="8"/>
        <v>0</v>
      </c>
      <c r="O63" s="44">
        <f t="shared" si="9"/>
        <v>0</v>
      </c>
      <c r="P63" s="44">
        <f t="shared" si="9"/>
        <v>0</v>
      </c>
      <c r="Q63" s="44">
        <f t="shared" si="9"/>
        <v>0</v>
      </c>
      <c r="R63" s="44">
        <f t="shared" si="9"/>
        <v>0</v>
      </c>
      <c r="S63" s="44">
        <f t="shared" si="9"/>
        <v>0</v>
      </c>
      <c r="T63" s="44">
        <f t="shared" si="9"/>
        <v>0</v>
      </c>
      <c r="U63" s="44">
        <f t="shared" si="9"/>
        <v>0</v>
      </c>
      <c r="V63" s="44">
        <f t="shared" si="9"/>
        <v>0</v>
      </c>
      <c r="W63" s="44">
        <f t="shared" si="9"/>
        <v>0</v>
      </c>
      <c r="X63" s="44">
        <f t="shared" si="9"/>
        <v>0</v>
      </c>
      <c r="Y63" s="44">
        <f t="shared" si="9"/>
        <v>0</v>
      </c>
      <c r="Z63" s="44">
        <f t="shared" si="9"/>
        <v>0</v>
      </c>
      <c r="AA63" s="44">
        <f t="shared" si="9"/>
        <v>0</v>
      </c>
      <c r="AB63" s="44">
        <f t="shared" si="9"/>
        <v>0</v>
      </c>
      <c r="AC63" s="44">
        <f t="shared" si="9"/>
        <v>0</v>
      </c>
      <c r="AD63" s="44">
        <f t="shared" si="9"/>
        <v>0</v>
      </c>
      <c r="AE63" s="44">
        <f t="shared" si="3"/>
        <v>1.2969108384505301E-2</v>
      </c>
      <c r="AF63" s="44">
        <f t="shared" si="2"/>
        <v>0</v>
      </c>
      <c r="AG63" s="44">
        <f>Table1[[#This Row],[Column2]]/$D$141*0.5</f>
        <v>1.081692184463658E-2</v>
      </c>
      <c r="AH63" s="44">
        <f>Table1[[#This Row],[Column29]]/$D$141*1.5</f>
        <v>3.2450765533909742E-2</v>
      </c>
    </row>
    <row r="64" spans="3:34">
      <c r="C64" s="44" t="s">
        <v>407</v>
      </c>
      <c r="D64" s="44">
        <v>1.8652827832833851E-2</v>
      </c>
      <c r="E64" s="44">
        <f t="shared" si="8"/>
        <v>0</v>
      </c>
      <c r="F64" s="44">
        <f t="shared" si="8"/>
        <v>0</v>
      </c>
      <c r="G64" s="44">
        <f t="shared" si="8"/>
        <v>0</v>
      </c>
      <c r="H64" s="44">
        <f t="shared" si="8"/>
        <v>0</v>
      </c>
      <c r="I64" s="44">
        <f t="shared" si="8"/>
        <v>0</v>
      </c>
      <c r="J64" s="44">
        <f t="shared" si="8"/>
        <v>0</v>
      </c>
      <c r="K64" s="44">
        <f t="shared" si="8"/>
        <v>3.7305655665667702E-2</v>
      </c>
      <c r="L64" s="44">
        <f t="shared" si="8"/>
        <v>1.8652827832833851E-2</v>
      </c>
      <c r="M64" s="44">
        <f t="shared" si="8"/>
        <v>0</v>
      </c>
      <c r="N64" s="44">
        <f t="shared" si="8"/>
        <v>0</v>
      </c>
      <c r="O64" s="44">
        <f t="shared" si="9"/>
        <v>0</v>
      </c>
      <c r="P64" s="44">
        <f t="shared" si="9"/>
        <v>0</v>
      </c>
      <c r="Q64" s="44">
        <f t="shared" si="9"/>
        <v>0</v>
      </c>
      <c r="R64" s="44">
        <f t="shared" si="9"/>
        <v>0</v>
      </c>
      <c r="S64" s="44">
        <f t="shared" si="9"/>
        <v>0</v>
      </c>
      <c r="T64" s="44">
        <f t="shared" si="9"/>
        <v>0</v>
      </c>
      <c r="U64" s="44">
        <f t="shared" si="9"/>
        <v>0</v>
      </c>
      <c r="V64" s="44">
        <f t="shared" si="9"/>
        <v>0</v>
      </c>
      <c r="W64" s="44">
        <f t="shared" si="9"/>
        <v>0</v>
      </c>
      <c r="X64" s="44">
        <f t="shared" si="9"/>
        <v>0</v>
      </c>
      <c r="Y64" s="44">
        <f t="shared" si="9"/>
        <v>0</v>
      </c>
      <c r="Z64" s="44">
        <f t="shared" si="9"/>
        <v>0</v>
      </c>
      <c r="AA64" s="44">
        <f t="shared" si="9"/>
        <v>0</v>
      </c>
      <c r="AB64" s="44">
        <f t="shared" si="9"/>
        <v>0</v>
      </c>
      <c r="AC64" s="44">
        <f t="shared" si="9"/>
        <v>0</v>
      </c>
      <c r="AD64" s="44">
        <f t="shared" si="9"/>
        <v>0</v>
      </c>
      <c r="AE64" s="44">
        <f t="shared" si="3"/>
        <v>1.8652827832833851E-2</v>
      </c>
      <c r="AF64" s="44">
        <f t="shared" si="2"/>
        <v>0</v>
      </c>
      <c r="AG64" s="44">
        <f>Table1[[#This Row],[Column2]]/$D$141*0.5</f>
        <v>1.5557444264270593E-2</v>
      </c>
      <c r="AH64" s="44">
        <f>Table1[[#This Row],[Column29]]/$D$141*1.5</f>
        <v>4.6672332792811778E-2</v>
      </c>
    </row>
    <row r="65" spans="3:34">
      <c r="C65" s="44" t="s">
        <v>408</v>
      </c>
      <c r="D65" s="44">
        <v>5.5610826312893604E-3</v>
      </c>
      <c r="E65" s="44">
        <f t="shared" si="8"/>
        <v>0</v>
      </c>
      <c r="F65" s="44">
        <f t="shared" si="8"/>
        <v>0</v>
      </c>
      <c r="G65" s="44">
        <f t="shared" si="8"/>
        <v>0</v>
      </c>
      <c r="H65" s="44">
        <f t="shared" si="8"/>
        <v>0</v>
      </c>
      <c r="I65" s="44">
        <f t="shared" si="8"/>
        <v>0</v>
      </c>
      <c r="J65" s="44">
        <f t="shared" si="8"/>
        <v>0</v>
      </c>
      <c r="K65" s="44">
        <f t="shared" si="8"/>
        <v>1.1122165262578721E-2</v>
      </c>
      <c r="L65" s="44">
        <f t="shared" si="8"/>
        <v>0</v>
      </c>
      <c r="M65" s="44">
        <f t="shared" si="8"/>
        <v>5.5610826312893604E-3</v>
      </c>
      <c r="N65" s="44">
        <f t="shared" si="8"/>
        <v>0</v>
      </c>
      <c r="O65" s="44">
        <f t="shared" si="9"/>
        <v>0</v>
      </c>
      <c r="P65" s="44">
        <f t="shared" si="9"/>
        <v>0</v>
      </c>
      <c r="Q65" s="44">
        <f t="shared" si="9"/>
        <v>0</v>
      </c>
      <c r="R65" s="44">
        <f t="shared" si="9"/>
        <v>0</v>
      </c>
      <c r="S65" s="44">
        <f t="shared" si="9"/>
        <v>0</v>
      </c>
      <c r="T65" s="44">
        <f t="shared" si="9"/>
        <v>0</v>
      </c>
      <c r="U65" s="44">
        <f t="shared" si="9"/>
        <v>0</v>
      </c>
      <c r="V65" s="44">
        <f t="shared" si="9"/>
        <v>0</v>
      </c>
      <c r="W65" s="44">
        <f t="shared" si="9"/>
        <v>0</v>
      </c>
      <c r="X65" s="44">
        <f t="shared" si="9"/>
        <v>0</v>
      </c>
      <c r="Y65" s="44">
        <f t="shared" si="9"/>
        <v>0</v>
      </c>
      <c r="Z65" s="44">
        <f t="shared" si="9"/>
        <v>0</v>
      </c>
      <c r="AA65" s="44">
        <f t="shared" si="9"/>
        <v>0</v>
      </c>
      <c r="AB65" s="44">
        <f t="shared" si="9"/>
        <v>0</v>
      </c>
      <c r="AC65" s="44">
        <f t="shared" si="9"/>
        <v>0</v>
      </c>
      <c r="AD65" s="44">
        <f t="shared" si="9"/>
        <v>0</v>
      </c>
      <c r="AE65" s="44">
        <f t="shared" si="3"/>
        <v>5.5610826312893604E-3</v>
      </c>
      <c r="AF65" s="44">
        <f t="shared" si="2"/>
        <v>0</v>
      </c>
      <c r="AG65" s="44">
        <f>Table1[[#This Row],[Column2]]/$D$141*0.5</f>
        <v>4.6382368325405491E-3</v>
      </c>
      <c r="AH65" s="44">
        <f>Table1[[#This Row],[Column29]]/$D$141*1.5</f>
        <v>1.3914710497621647E-2</v>
      </c>
    </row>
    <row r="66" spans="3:34">
      <c r="C66" s="44" t="s">
        <v>409</v>
      </c>
      <c r="D66" s="44">
        <v>2.5383328858230615E-3</v>
      </c>
      <c r="E66" s="44">
        <f t="shared" si="8"/>
        <v>0</v>
      </c>
      <c r="F66" s="44">
        <f t="shared" si="8"/>
        <v>0</v>
      </c>
      <c r="G66" s="44">
        <f t="shared" si="8"/>
        <v>0</v>
      </c>
      <c r="H66" s="44">
        <f t="shared" si="8"/>
        <v>0</v>
      </c>
      <c r="I66" s="44">
        <f t="shared" si="8"/>
        <v>0</v>
      </c>
      <c r="J66" s="44">
        <f t="shared" si="8"/>
        <v>0</v>
      </c>
      <c r="K66" s="44">
        <f t="shared" si="8"/>
        <v>5.076665771646123E-3</v>
      </c>
      <c r="L66" s="44">
        <f t="shared" si="8"/>
        <v>0</v>
      </c>
      <c r="M66" s="44">
        <f t="shared" si="8"/>
        <v>0</v>
      </c>
      <c r="N66" s="44">
        <f t="shared" si="8"/>
        <v>2.5383328858230615E-3</v>
      </c>
      <c r="O66" s="44">
        <f t="shared" si="9"/>
        <v>0</v>
      </c>
      <c r="P66" s="44">
        <f t="shared" si="9"/>
        <v>0</v>
      </c>
      <c r="Q66" s="44">
        <f t="shared" si="9"/>
        <v>0</v>
      </c>
      <c r="R66" s="44">
        <f t="shared" si="9"/>
        <v>0</v>
      </c>
      <c r="S66" s="44">
        <f t="shared" si="9"/>
        <v>0</v>
      </c>
      <c r="T66" s="44">
        <f t="shared" si="9"/>
        <v>0</v>
      </c>
      <c r="U66" s="44">
        <f t="shared" si="9"/>
        <v>0</v>
      </c>
      <c r="V66" s="44">
        <f t="shared" si="9"/>
        <v>0</v>
      </c>
      <c r="W66" s="44">
        <f t="shared" si="9"/>
        <v>0</v>
      </c>
      <c r="X66" s="44">
        <f t="shared" si="9"/>
        <v>0</v>
      </c>
      <c r="Y66" s="44">
        <f t="shared" si="9"/>
        <v>0</v>
      </c>
      <c r="Z66" s="44">
        <f t="shared" si="9"/>
        <v>0</v>
      </c>
      <c r="AA66" s="44">
        <f t="shared" si="9"/>
        <v>0</v>
      </c>
      <c r="AB66" s="44">
        <f t="shared" si="9"/>
        <v>0</v>
      </c>
      <c r="AC66" s="44">
        <f t="shared" si="9"/>
        <v>0</v>
      </c>
      <c r="AD66" s="44">
        <f t="shared" si="9"/>
        <v>0</v>
      </c>
      <c r="AE66" s="44">
        <f t="shared" si="3"/>
        <v>2.5383328858230615E-3</v>
      </c>
      <c r="AF66" s="44">
        <f t="shared" si="2"/>
        <v>0</v>
      </c>
      <c r="AG66" s="44">
        <f>Table1[[#This Row],[Column2]]/$D$141*0.5</f>
        <v>2.1171037844377001E-3</v>
      </c>
      <c r="AH66" s="44">
        <f>Table1[[#This Row],[Column29]]/$D$141*1.5</f>
        <v>6.3513113533131002E-3</v>
      </c>
    </row>
    <row r="67" spans="3:34">
      <c r="C67" s="44" t="s">
        <v>410</v>
      </c>
      <c r="D67" s="44">
        <v>1.7374838185145848E-3</v>
      </c>
      <c r="E67" s="44">
        <f t="shared" si="8"/>
        <v>0</v>
      </c>
      <c r="F67" s="44">
        <f t="shared" si="8"/>
        <v>0</v>
      </c>
      <c r="G67" s="44">
        <f t="shared" si="8"/>
        <v>0</v>
      </c>
      <c r="H67" s="44">
        <f t="shared" si="8"/>
        <v>0</v>
      </c>
      <c r="I67" s="44">
        <f t="shared" si="8"/>
        <v>0</v>
      </c>
      <c r="J67" s="44">
        <f t="shared" si="8"/>
        <v>0</v>
      </c>
      <c r="K67" s="44">
        <f t="shared" si="8"/>
        <v>3.4749676370291697E-3</v>
      </c>
      <c r="L67" s="44">
        <f t="shared" si="8"/>
        <v>0</v>
      </c>
      <c r="M67" s="44">
        <f t="shared" si="8"/>
        <v>0</v>
      </c>
      <c r="N67" s="44">
        <f t="shared" si="8"/>
        <v>0</v>
      </c>
      <c r="O67" s="44">
        <f t="shared" si="9"/>
        <v>0</v>
      </c>
      <c r="P67" s="44">
        <f t="shared" si="9"/>
        <v>1.7374838185145848E-3</v>
      </c>
      <c r="Q67" s="44">
        <f t="shared" si="9"/>
        <v>0</v>
      </c>
      <c r="R67" s="44">
        <f t="shared" si="9"/>
        <v>0</v>
      </c>
      <c r="S67" s="44">
        <f t="shared" si="9"/>
        <v>0</v>
      </c>
      <c r="T67" s="44">
        <f t="shared" si="9"/>
        <v>0</v>
      </c>
      <c r="U67" s="44">
        <f t="shared" si="9"/>
        <v>0</v>
      </c>
      <c r="V67" s="44">
        <f t="shared" si="9"/>
        <v>0</v>
      </c>
      <c r="W67" s="44">
        <f t="shared" si="9"/>
        <v>0</v>
      </c>
      <c r="X67" s="44">
        <f t="shared" si="9"/>
        <v>0</v>
      </c>
      <c r="Y67" s="44">
        <f t="shared" si="9"/>
        <v>0</v>
      </c>
      <c r="Z67" s="44">
        <f t="shared" si="9"/>
        <v>0</v>
      </c>
      <c r="AA67" s="44">
        <f t="shared" si="9"/>
        <v>0</v>
      </c>
      <c r="AB67" s="44">
        <f t="shared" si="9"/>
        <v>0</v>
      </c>
      <c r="AC67" s="44">
        <f t="shared" si="9"/>
        <v>0</v>
      </c>
      <c r="AD67" s="44">
        <f t="shared" si="9"/>
        <v>0</v>
      </c>
      <c r="AE67" s="44">
        <f t="shared" si="3"/>
        <v>1.7374838185145848E-3</v>
      </c>
      <c r="AF67" s="44">
        <f t="shared" si="2"/>
        <v>0</v>
      </c>
      <c r="AG67" s="44">
        <f>Table1[[#This Row],[Column2]]/$D$141*0.5</f>
        <v>1.4491533352938267E-3</v>
      </c>
      <c r="AH67" s="44">
        <f>Table1[[#This Row],[Column29]]/$D$141*1.5</f>
        <v>4.3474600058814802E-3</v>
      </c>
    </row>
    <row r="68" spans="3:34">
      <c r="C68" s="44" t="s">
        <v>411</v>
      </c>
      <c r="D68" s="44">
        <v>1.3955960921338528E-2</v>
      </c>
      <c r="E68" s="44">
        <f t="shared" ref="E68:T83" si="10">((LEN($C68)-LEN(SUBSTITUTE($C68,E$3,"")))/4)*$D68</f>
        <v>0</v>
      </c>
      <c r="F68" s="44">
        <f t="shared" si="10"/>
        <v>0</v>
      </c>
      <c r="G68" s="44">
        <f t="shared" si="10"/>
        <v>0</v>
      </c>
      <c r="H68" s="44">
        <f t="shared" si="10"/>
        <v>0</v>
      </c>
      <c r="I68" s="44">
        <f t="shared" si="10"/>
        <v>0</v>
      </c>
      <c r="J68" s="44">
        <f t="shared" si="10"/>
        <v>0</v>
      </c>
      <c r="K68" s="44">
        <f t="shared" si="10"/>
        <v>2.7911921842677056E-2</v>
      </c>
      <c r="L68" s="44">
        <f t="shared" si="10"/>
        <v>0</v>
      </c>
      <c r="M68" s="44">
        <f t="shared" si="10"/>
        <v>0</v>
      </c>
      <c r="N68" s="44">
        <f t="shared" si="10"/>
        <v>0</v>
      </c>
      <c r="O68" s="44">
        <f t="shared" si="10"/>
        <v>0</v>
      </c>
      <c r="P68" s="44">
        <f t="shared" si="10"/>
        <v>0</v>
      </c>
      <c r="Q68" s="44">
        <f t="shared" si="10"/>
        <v>0</v>
      </c>
      <c r="R68" s="44">
        <f t="shared" si="10"/>
        <v>1.3955960921338528E-2</v>
      </c>
      <c r="S68" s="44">
        <f t="shared" si="10"/>
        <v>0</v>
      </c>
      <c r="T68" s="44">
        <f t="shared" si="10"/>
        <v>0</v>
      </c>
      <c r="U68" s="44">
        <f t="shared" ref="O68:AD83" si="11">((LEN($C68)-LEN(SUBSTITUTE($C68,U$3,"")))/4)*$D68</f>
        <v>0</v>
      </c>
      <c r="V68" s="44">
        <f t="shared" si="11"/>
        <v>0</v>
      </c>
      <c r="W68" s="44">
        <f t="shared" si="11"/>
        <v>0</v>
      </c>
      <c r="X68" s="44">
        <f t="shared" si="11"/>
        <v>0</v>
      </c>
      <c r="Y68" s="44">
        <f t="shared" si="11"/>
        <v>0</v>
      </c>
      <c r="Z68" s="44">
        <f t="shared" si="11"/>
        <v>0</v>
      </c>
      <c r="AA68" s="44">
        <f t="shared" si="11"/>
        <v>0</v>
      </c>
      <c r="AB68" s="44">
        <f t="shared" si="11"/>
        <v>0</v>
      </c>
      <c r="AC68" s="44">
        <f t="shared" si="11"/>
        <v>0</v>
      </c>
      <c r="AD68" s="44">
        <f t="shared" si="11"/>
        <v>0</v>
      </c>
      <c r="AE68" s="44">
        <f t="shared" si="3"/>
        <v>1.3955960921338528E-2</v>
      </c>
      <c r="AF68" s="44">
        <f t="shared" ref="AF68:AF131" si="12">D68-AE68</f>
        <v>0</v>
      </c>
      <c r="AG68" s="44">
        <f>Table1[[#This Row],[Column2]]/$D$141*0.5</f>
        <v>1.1640009018143421E-2</v>
      </c>
      <c r="AH68" s="44">
        <f>Table1[[#This Row],[Column29]]/$D$141*1.5</f>
        <v>3.4920027054430258E-2</v>
      </c>
    </row>
    <row r="69" spans="3:34">
      <c r="C69" s="44" t="s">
        <v>412</v>
      </c>
      <c r="D69" s="44">
        <v>6.4904411032317569E-3</v>
      </c>
      <c r="E69" s="44">
        <f t="shared" si="10"/>
        <v>0</v>
      </c>
      <c r="F69" s="44">
        <f t="shared" si="10"/>
        <v>0</v>
      </c>
      <c r="G69" s="44">
        <f t="shared" si="10"/>
        <v>0</v>
      </c>
      <c r="H69" s="44">
        <f t="shared" si="10"/>
        <v>0</v>
      </c>
      <c r="I69" s="44">
        <f t="shared" si="10"/>
        <v>0</v>
      </c>
      <c r="J69" s="44">
        <f t="shared" si="10"/>
        <v>0</v>
      </c>
      <c r="K69" s="44">
        <f t="shared" si="10"/>
        <v>1.2980882206463514E-2</v>
      </c>
      <c r="L69" s="44">
        <f t="shared" si="10"/>
        <v>0</v>
      </c>
      <c r="M69" s="44">
        <f t="shared" si="10"/>
        <v>0</v>
      </c>
      <c r="N69" s="44">
        <f t="shared" si="10"/>
        <v>0</v>
      </c>
      <c r="O69" s="44">
        <f t="shared" si="11"/>
        <v>0</v>
      </c>
      <c r="P69" s="44">
        <f t="shared" si="11"/>
        <v>0</v>
      </c>
      <c r="Q69" s="44">
        <f t="shared" si="11"/>
        <v>0</v>
      </c>
      <c r="R69" s="44">
        <f t="shared" si="11"/>
        <v>0</v>
      </c>
      <c r="S69" s="44">
        <f t="shared" si="11"/>
        <v>6.4904411032317569E-3</v>
      </c>
      <c r="T69" s="44">
        <f t="shared" si="11"/>
        <v>0</v>
      </c>
      <c r="U69" s="44">
        <f t="shared" si="11"/>
        <v>0</v>
      </c>
      <c r="V69" s="44">
        <f t="shared" si="11"/>
        <v>0</v>
      </c>
      <c r="W69" s="44">
        <f t="shared" si="11"/>
        <v>0</v>
      </c>
      <c r="X69" s="44">
        <f t="shared" si="11"/>
        <v>0</v>
      </c>
      <c r="Y69" s="44">
        <f t="shared" si="11"/>
        <v>0</v>
      </c>
      <c r="Z69" s="44">
        <f t="shared" si="11"/>
        <v>0</v>
      </c>
      <c r="AA69" s="44">
        <f t="shared" si="11"/>
        <v>0</v>
      </c>
      <c r="AB69" s="44">
        <f t="shared" si="11"/>
        <v>0</v>
      </c>
      <c r="AC69" s="44">
        <f t="shared" si="11"/>
        <v>0</v>
      </c>
      <c r="AD69" s="44">
        <f t="shared" si="11"/>
        <v>0</v>
      </c>
      <c r="AE69" s="44">
        <f t="shared" ref="AE69:AE132" si="13">SUM(E69:AD69)/IF(ISNUMBER(SEARCH(";", C69)), IF(ISNUMBER(SEARCH(";", C69, SEARCH(";", C69)+1)), 9, 6), 3)</f>
        <v>6.4904411032317569E-3</v>
      </c>
      <c r="AF69" s="44">
        <f t="shared" si="12"/>
        <v>0</v>
      </c>
      <c r="AG69" s="44">
        <f>Table1[[#This Row],[Column2]]/$D$141*0.5</f>
        <v>5.4133709172138065E-3</v>
      </c>
      <c r="AH69" s="44">
        <f>Table1[[#This Row],[Column29]]/$D$141*1.5</f>
        <v>1.624011275164142E-2</v>
      </c>
    </row>
    <row r="70" spans="3:34">
      <c r="C70" s="44" t="s">
        <v>413</v>
      </c>
      <c r="D70" s="44">
        <v>1.4757669391709648E-2</v>
      </c>
      <c r="E70" s="44">
        <f t="shared" si="10"/>
        <v>0</v>
      </c>
      <c r="F70" s="44">
        <f t="shared" si="10"/>
        <v>0</v>
      </c>
      <c r="G70" s="44">
        <f t="shared" si="10"/>
        <v>0</v>
      </c>
      <c r="H70" s="44">
        <f t="shared" si="10"/>
        <v>0</v>
      </c>
      <c r="I70" s="44">
        <f t="shared" si="10"/>
        <v>0</v>
      </c>
      <c r="J70" s="44">
        <f t="shared" si="10"/>
        <v>0</v>
      </c>
      <c r="K70" s="44">
        <f t="shared" si="10"/>
        <v>1.4757669391709648E-2</v>
      </c>
      <c r="L70" s="44">
        <f t="shared" si="10"/>
        <v>2.9515338783419297E-2</v>
      </c>
      <c r="M70" s="44">
        <f t="shared" si="10"/>
        <v>0</v>
      </c>
      <c r="N70" s="44">
        <f t="shared" si="10"/>
        <v>0</v>
      </c>
      <c r="O70" s="44">
        <f t="shared" si="11"/>
        <v>0</v>
      </c>
      <c r="P70" s="44">
        <f t="shared" si="11"/>
        <v>0</v>
      </c>
      <c r="Q70" s="44">
        <f t="shared" si="11"/>
        <v>0</v>
      </c>
      <c r="R70" s="44">
        <f t="shared" si="11"/>
        <v>0</v>
      </c>
      <c r="S70" s="44">
        <f t="shared" si="11"/>
        <v>0</v>
      </c>
      <c r="T70" s="44">
        <f t="shared" si="11"/>
        <v>0</v>
      </c>
      <c r="U70" s="44">
        <f t="shared" si="11"/>
        <v>0</v>
      </c>
      <c r="V70" s="44">
        <f t="shared" si="11"/>
        <v>0</v>
      </c>
      <c r="W70" s="44">
        <f t="shared" si="11"/>
        <v>0</v>
      </c>
      <c r="X70" s="44">
        <f t="shared" si="11"/>
        <v>0</v>
      </c>
      <c r="Y70" s="44">
        <f t="shared" si="11"/>
        <v>0</v>
      </c>
      <c r="Z70" s="44">
        <f t="shared" si="11"/>
        <v>0</v>
      </c>
      <c r="AA70" s="44">
        <f t="shared" si="11"/>
        <v>0</v>
      </c>
      <c r="AB70" s="44">
        <f t="shared" si="11"/>
        <v>0</v>
      </c>
      <c r="AC70" s="44">
        <f t="shared" si="11"/>
        <v>0</v>
      </c>
      <c r="AD70" s="44">
        <f t="shared" si="11"/>
        <v>0</v>
      </c>
      <c r="AE70" s="44">
        <f t="shared" si="13"/>
        <v>1.4757669391709647E-2</v>
      </c>
      <c r="AF70" s="44">
        <f t="shared" si="12"/>
        <v>0</v>
      </c>
      <c r="AG70" s="44">
        <f>Table1[[#This Row],[Column2]]/$D$141*0.5</f>
        <v>1.2308676254863283E-2</v>
      </c>
      <c r="AH70" s="44">
        <f>Table1[[#This Row],[Column29]]/$D$141*1.5</f>
        <v>3.6926028764589842E-2</v>
      </c>
    </row>
    <row r="71" spans="3:34">
      <c r="C71" s="44" t="s">
        <v>414</v>
      </c>
      <c r="D71" s="44">
        <v>2.484906662095407E-3</v>
      </c>
      <c r="E71" s="44">
        <f t="shared" si="10"/>
        <v>0</v>
      </c>
      <c r="F71" s="44">
        <f t="shared" si="10"/>
        <v>0</v>
      </c>
      <c r="G71" s="44">
        <f t="shared" si="10"/>
        <v>0</v>
      </c>
      <c r="H71" s="44">
        <f t="shared" si="10"/>
        <v>0</v>
      </c>
      <c r="I71" s="44">
        <f t="shared" si="10"/>
        <v>0</v>
      </c>
      <c r="J71" s="44">
        <f t="shared" si="10"/>
        <v>0</v>
      </c>
      <c r="K71" s="44">
        <f t="shared" si="10"/>
        <v>2.484906662095407E-3</v>
      </c>
      <c r="L71" s="44">
        <f t="shared" si="10"/>
        <v>2.484906662095407E-3</v>
      </c>
      <c r="M71" s="44">
        <f t="shared" si="10"/>
        <v>0</v>
      </c>
      <c r="N71" s="44">
        <f t="shared" si="10"/>
        <v>0</v>
      </c>
      <c r="O71" s="44">
        <f t="shared" si="11"/>
        <v>2.484906662095407E-3</v>
      </c>
      <c r="P71" s="44">
        <f t="shared" si="11"/>
        <v>0</v>
      </c>
      <c r="Q71" s="44">
        <f t="shared" si="11"/>
        <v>0</v>
      </c>
      <c r="R71" s="44">
        <f t="shared" si="11"/>
        <v>0</v>
      </c>
      <c r="S71" s="44">
        <f t="shared" si="11"/>
        <v>0</v>
      </c>
      <c r="T71" s="44">
        <f t="shared" si="11"/>
        <v>0</v>
      </c>
      <c r="U71" s="44">
        <f t="shared" si="11"/>
        <v>0</v>
      </c>
      <c r="V71" s="44">
        <f t="shared" si="11"/>
        <v>0</v>
      </c>
      <c r="W71" s="44">
        <f t="shared" si="11"/>
        <v>0</v>
      </c>
      <c r="X71" s="44">
        <f t="shared" si="11"/>
        <v>0</v>
      </c>
      <c r="Y71" s="44">
        <f t="shared" si="11"/>
        <v>0</v>
      </c>
      <c r="Z71" s="44">
        <f t="shared" si="11"/>
        <v>0</v>
      </c>
      <c r="AA71" s="44">
        <f t="shared" si="11"/>
        <v>0</v>
      </c>
      <c r="AB71" s="44">
        <f t="shared" si="11"/>
        <v>0</v>
      </c>
      <c r="AC71" s="44">
        <f t="shared" si="11"/>
        <v>0</v>
      </c>
      <c r="AD71" s="44">
        <f t="shared" si="11"/>
        <v>0</v>
      </c>
      <c r="AE71" s="44">
        <f t="shared" si="13"/>
        <v>2.484906662095407E-3</v>
      </c>
      <c r="AF71" s="44">
        <f t="shared" si="12"/>
        <v>0</v>
      </c>
      <c r="AG71" s="44">
        <f>Table1[[#This Row],[Column2]]/$D$141*0.5</f>
        <v>2.0725434901304558E-3</v>
      </c>
      <c r="AH71" s="44">
        <f>Table1[[#This Row],[Column29]]/$D$141*1.5</f>
        <v>6.2176304703913674E-3</v>
      </c>
    </row>
    <row r="72" spans="3:34">
      <c r="C72" s="44" t="s">
        <v>415</v>
      </c>
      <c r="D72" s="44">
        <v>1.7572529536322549E-2</v>
      </c>
      <c r="E72" s="44">
        <f t="shared" si="10"/>
        <v>0</v>
      </c>
      <c r="F72" s="44">
        <f t="shared" si="10"/>
        <v>0</v>
      </c>
      <c r="G72" s="44">
        <f t="shared" si="10"/>
        <v>0</v>
      </c>
      <c r="H72" s="44">
        <f t="shared" si="10"/>
        <v>0</v>
      </c>
      <c r="I72" s="44">
        <f t="shared" si="10"/>
        <v>0</v>
      </c>
      <c r="J72" s="44">
        <f t="shared" si="10"/>
        <v>0</v>
      </c>
      <c r="K72" s="44">
        <f t="shared" si="10"/>
        <v>1.7572529536322549E-2</v>
      </c>
      <c r="L72" s="44">
        <f t="shared" si="10"/>
        <v>1.7572529536322549E-2</v>
      </c>
      <c r="M72" s="44">
        <f t="shared" si="10"/>
        <v>0</v>
      </c>
      <c r="N72" s="44">
        <f t="shared" si="10"/>
        <v>0</v>
      </c>
      <c r="O72" s="44">
        <f t="shared" si="11"/>
        <v>0</v>
      </c>
      <c r="P72" s="44">
        <f t="shared" si="11"/>
        <v>0</v>
      </c>
      <c r="Q72" s="44">
        <f t="shared" si="11"/>
        <v>0</v>
      </c>
      <c r="R72" s="44">
        <f t="shared" si="11"/>
        <v>1.7572529536322549E-2</v>
      </c>
      <c r="S72" s="44">
        <f t="shared" si="11"/>
        <v>0</v>
      </c>
      <c r="T72" s="44">
        <f t="shared" si="11"/>
        <v>0</v>
      </c>
      <c r="U72" s="44">
        <f t="shared" si="11"/>
        <v>0</v>
      </c>
      <c r="V72" s="44">
        <f t="shared" si="11"/>
        <v>0</v>
      </c>
      <c r="W72" s="44">
        <f t="shared" si="11"/>
        <v>0</v>
      </c>
      <c r="X72" s="44">
        <f t="shared" si="11"/>
        <v>0</v>
      </c>
      <c r="Y72" s="44">
        <f t="shared" si="11"/>
        <v>0</v>
      </c>
      <c r="Z72" s="44">
        <f t="shared" si="11"/>
        <v>0</v>
      </c>
      <c r="AA72" s="44">
        <f t="shared" si="11"/>
        <v>0</v>
      </c>
      <c r="AB72" s="44">
        <f t="shared" si="11"/>
        <v>0</v>
      </c>
      <c r="AC72" s="44">
        <f t="shared" si="11"/>
        <v>0</v>
      </c>
      <c r="AD72" s="44">
        <f t="shared" si="11"/>
        <v>0</v>
      </c>
      <c r="AE72" s="44">
        <f t="shared" si="13"/>
        <v>1.7572529536322549E-2</v>
      </c>
      <c r="AF72" s="44">
        <f t="shared" si="12"/>
        <v>0</v>
      </c>
      <c r="AG72" s="44">
        <f>Table1[[#This Row],[Column2]]/$D$141*0.5</f>
        <v>1.4656418388334673E-2</v>
      </c>
      <c r="AH72" s="44">
        <f>Table1[[#This Row],[Column29]]/$D$141*1.5</f>
        <v>4.3969255165004016E-2</v>
      </c>
    </row>
    <row r="73" spans="3:34">
      <c r="C73" s="44" t="s">
        <v>416</v>
      </c>
      <c r="D73" s="44">
        <v>4.8353453916559026E-3</v>
      </c>
      <c r="E73" s="44">
        <f t="shared" si="10"/>
        <v>0</v>
      </c>
      <c r="F73" s="44">
        <f t="shared" si="10"/>
        <v>0</v>
      </c>
      <c r="G73" s="44">
        <f t="shared" si="10"/>
        <v>0</v>
      </c>
      <c r="H73" s="44">
        <f t="shared" si="10"/>
        <v>0</v>
      </c>
      <c r="I73" s="44">
        <f t="shared" si="10"/>
        <v>0</v>
      </c>
      <c r="J73" s="44">
        <f t="shared" si="10"/>
        <v>0</v>
      </c>
      <c r="K73" s="44">
        <f t="shared" si="10"/>
        <v>4.8353453916559026E-3</v>
      </c>
      <c r="L73" s="44">
        <f t="shared" si="10"/>
        <v>4.8353453916559026E-3</v>
      </c>
      <c r="M73" s="44">
        <f t="shared" si="10"/>
        <v>0</v>
      </c>
      <c r="N73" s="44">
        <f t="shared" si="10"/>
        <v>0</v>
      </c>
      <c r="O73" s="44">
        <f t="shared" si="11"/>
        <v>0</v>
      </c>
      <c r="P73" s="44">
        <f t="shared" si="11"/>
        <v>0</v>
      </c>
      <c r="Q73" s="44">
        <f t="shared" si="11"/>
        <v>0</v>
      </c>
      <c r="R73" s="44">
        <f t="shared" si="11"/>
        <v>0</v>
      </c>
      <c r="S73" s="44">
        <f t="shared" si="11"/>
        <v>4.8353453916559026E-3</v>
      </c>
      <c r="T73" s="44">
        <f t="shared" si="11"/>
        <v>0</v>
      </c>
      <c r="U73" s="44">
        <f t="shared" si="11"/>
        <v>0</v>
      </c>
      <c r="V73" s="44">
        <f t="shared" si="11"/>
        <v>0</v>
      </c>
      <c r="W73" s="44">
        <f t="shared" si="11"/>
        <v>0</v>
      </c>
      <c r="X73" s="44">
        <f t="shared" si="11"/>
        <v>0</v>
      </c>
      <c r="Y73" s="44">
        <f t="shared" si="11"/>
        <v>0</v>
      </c>
      <c r="Z73" s="44">
        <f t="shared" si="11"/>
        <v>0</v>
      </c>
      <c r="AA73" s="44">
        <f t="shared" si="11"/>
        <v>0</v>
      </c>
      <c r="AB73" s="44">
        <f t="shared" si="11"/>
        <v>0</v>
      </c>
      <c r="AC73" s="44">
        <f t="shared" si="11"/>
        <v>0</v>
      </c>
      <c r="AD73" s="44">
        <f t="shared" si="11"/>
        <v>0</v>
      </c>
      <c r="AE73" s="44">
        <f t="shared" si="13"/>
        <v>4.8353453916559026E-3</v>
      </c>
      <c r="AF73" s="44">
        <f t="shared" si="12"/>
        <v>0</v>
      </c>
      <c r="AG73" s="44">
        <f>Table1[[#This Row],[Column2]]/$D$141*0.5</f>
        <v>4.0329336175380136E-3</v>
      </c>
      <c r="AH73" s="44">
        <f>Table1[[#This Row],[Column29]]/$D$141*1.5</f>
        <v>1.2098800852614042E-2</v>
      </c>
    </row>
    <row r="74" spans="3:34">
      <c r="C74" s="44" t="s">
        <v>417</v>
      </c>
      <c r="D74" s="44">
        <v>1.6121828519812011E-3</v>
      </c>
      <c r="E74" s="44">
        <f t="shared" si="10"/>
        <v>0</v>
      </c>
      <c r="F74" s="44">
        <f t="shared" si="10"/>
        <v>0</v>
      </c>
      <c r="G74" s="44">
        <f t="shared" si="10"/>
        <v>0</v>
      </c>
      <c r="H74" s="44">
        <f t="shared" si="10"/>
        <v>0</v>
      </c>
      <c r="I74" s="44">
        <f t="shared" si="10"/>
        <v>0</v>
      </c>
      <c r="J74" s="44">
        <f t="shared" si="10"/>
        <v>0</v>
      </c>
      <c r="K74" s="44">
        <f t="shared" si="10"/>
        <v>1.6121828519812011E-3</v>
      </c>
      <c r="L74" s="44">
        <f t="shared" si="10"/>
        <v>1.6121828519812011E-3</v>
      </c>
      <c r="M74" s="44">
        <f t="shared" si="10"/>
        <v>0</v>
      </c>
      <c r="N74" s="44">
        <f t="shared" si="10"/>
        <v>0</v>
      </c>
      <c r="O74" s="44">
        <f t="shared" si="11"/>
        <v>0</v>
      </c>
      <c r="P74" s="44">
        <f t="shared" si="11"/>
        <v>0</v>
      </c>
      <c r="Q74" s="44">
        <f t="shared" si="11"/>
        <v>0</v>
      </c>
      <c r="R74" s="44">
        <f t="shared" si="11"/>
        <v>0</v>
      </c>
      <c r="S74" s="44">
        <f t="shared" si="11"/>
        <v>0</v>
      </c>
      <c r="T74" s="44">
        <f t="shared" si="11"/>
        <v>0</v>
      </c>
      <c r="U74" s="44">
        <f t="shared" si="11"/>
        <v>0</v>
      </c>
      <c r="V74" s="44">
        <f t="shared" si="11"/>
        <v>0</v>
      </c>
      <c r="W74" s="44">
        <f t="shared" si="11"/>
        <v>0</v>
      </c>
      <c r="X74" s="44">
        <f t="shared" si="11"/>
        <v>0</v>
      </c>
      <c r="Y74" s="44">
        <f t="shared" si="11"/>
        <v>1.6121828519812011E-3</v>
      </c>
      <c r="Z74" s="44">
        <f t="shared" si="11"/>
        <v>0</v>
      </c>
      <c r="AA74" s="44">
        <f t="shared" si="11"/>
        <v>0</v>
      </c>
      <c r="AB74" s="44">
        <f t="shared" si="11"/>
        <v>0</v>
      </c>
      <c r="AC74" s="44">
        <f t="shared" si="11"/>
        <v>0</v>
      </c>
      <c r="AD74" s="44">
        <f t="shared" si="11"/>
        <v>0</v>
      </c>
      <c r="AE74" s="44">
        <f t="shared" si="13"/>
        <v>1.6121828519812011E-3</v>
      </c>
      <c r="AF74" s="44">
        <f t="shared" si="12"/>
        <v>0</v>
      </c>
      <c r="AG74" s="44">
        <f>Table1[[#This Row],[Column2]]/$D$141*0.5</f>
        <v>1.3446457067147989E-3</v>
      </c>
      <c r="AH74" s="44">
        <f>Table1[[#This Row],[Column29]]/$D$141*1.5</f>
        <v>4.0339371201443966E-3</v>
      </c>
    </row>
    <row r="75" spans="3:34">
      <c r="C75" s="44" t="s">
        <v>418</v>
      </c>
      <c r="D75" s="44">
        <v>2.0984903983622535E-3</v>
      </c>
      <c r="E75" s="44">
        <f t="shared" si="10"/>
        <v>0</v>
      </c>
      <c r="F75" s="44">
        <f t="shared" si="10"/>
        <v>0</v>
      </c>
      <c r="G75" s="44">
        <f t="shared" si="10"/>
        <v>0</v>
      </c>
      <c r="H75" s="44">
        <f t="shared" si="10"/>
        <v>0</v>
      </c>
      <c r="I75" s="44">
        <f t="shared" si="10"/>
        <v>0</v>
      </c>
      <c r="J75" s="44">
        <f t="shared" si="10"/>
        <v>0</v>
      </c>
      <c r="K75" s="44">
        <f t="shared" si="10"/>
        <v>2.0984903983622535E-3</v>
      </c>
      <c r="L75" s="44">
        <f t="shared" si="10"/>
        <v>2.0984903983622535E-3</v>
      </c>
      <c r="M75" s="44">
        <f t="shared" si="10"/>
        <v>0</v>
      </c>
      <c r="N75" s="44">
        <f t="shared" si="10"/>
        <v>0</v>
      </c>
      <c r="O75" s="44">
        <f t="shared" si="11"/>
        <v>0</v>
      </c>
      <c r="P75" s="44">
        <f t="shared" si="11"/>
        <v>0</v>
      </c>
      <c r="Q75" s="44">
        <f t="shared" si="11"/>
        <v>0</v>
      </c>
      <c r="R75" s="44">
        <f t="shared" si="11"/>
        <v>0</v>
      </c>
      <c r="S75" s="44">
        <f t="shared" si="11"/>
        <v>0</v>
      </c>
      <c r="T75" s="44">
        <f t="shared" si="11"/>
        <v>0</v>
      </c>
      <c r="U75" s="44">
        <f t="shared" si="11"/>
        <v>0</v>
      </c>
      <c r="V75" s="44">
        <f t="shared" si="11"/>
        <v>0</v>
      </c>
      <c r="W75" s="44">
        <f t="shared" si="11"/>
        <v>0</v>
      </c>
      <c r="X75" s="44">
        <f t="shared" si="11"/>
        <v>0</v>
      </c>
      <c r="Y75" s="44">
        <f t="shared" si="11"/>
        <v>0</v>
      </c>
      <c r="Z75" s="44">
        <f t="shared" si="11"/>
        <v>2.0984903983622535E-3</v>
      </c>
      <c r="AA75" s="44">
        <f t="shared" si="11"/>
        <v>0</v>
      </c>
      <c r="AB75" s="44">
        <f t="shared" si="11"/>
        <v>0</v>
      </c>
      <c r="AC75" s="44">
        <f t="shared" si="11"/>
        <v>0</v>
      </c>
      <c r="AD75" s="44">
        <f t="shared" si="11"/>
        <v>0</v>
      </c>
      <c r="AE75" s="44">
        <f t="shared" si="13"/>
        <v>2.0984903983622535E-3</v>
      </c>
      <c r="AF75" s="44">
        <f t="shared" si="12"/>
        <v>0</v>
      </c>
      <c r="AG75" s="44">
        <f>Table1[[#This Row],[Column2]]/$D$141*0.5</f>
        <v>1.750251903047121E-3</v>
      </c>
      <c r="AH75" s="44">
        <f>Table1[[#This Row],[Column29]]/$D$141*1.5</f>
        <v>5.250755709141363E-3</v>
      </c>
    </row>
    <row r="76" spans="3:34">
      <c r="C76" s="44" t="s">
        <v>419</v>
      </c>
      <c r="D76" s="44">
        <v>5.7675685404737749E-3</v>
      </c>
      <c r="E76" s="44">
        <f t="shared" si="10"/>
        <v>0</v>
      </c>
      <c r="F76" s="44">
        <f t="shared" si="10"/>
        <v>0</v>
      </c>
      <c r="G76" s="44">
        <f t="shared" si="10"/>
        <v>0</v>
      </c>
      <c r="H76" s="44">
        <f t="shared" si="10"/>
        <v>0</v>
      </c>
      <c r="I76" s="44">
        <f t="shared" si="10"/>
        <v>0</v>
      </c>
      <c r="J76" s="44">
        <f t="shared" si="10"/>
        <v>0</v>
      </c>
      <c r="K76" s="44">
        <f t="shared" si="10"/>
        <v>5.7675685404737749E-3</v>
      </c>
      <c r="L76" s="44">
        <f t="shared" si="10"/>
        <v>5.7675685404737749E-3</v>
      </c>
      <c r="M76" s="44">
        <f t="shared" si="10"/>
        <v>0</v>
      </c>
      <c r="N76" s="44">
        <f t="shared" si="10"/>
        <v>0</v>
      </c>
      <c r="O76" s="44">
        <f t="shared" si="11"/>
        <v>0</v>
      </c>
      <c r="P76" s="44">
        <f t="shared" si="11"/>
        <v>0</v>
      </c>
      <c r="Q76" s="44">
        <f t="shared" si="11"/>
        <v>0</v>
      </c>
      <c r="R76" s="44">
        <f t="shared" si="11"/>
        <v>0</v>
      </c>
      <c r="S76" s="44">
        <f t="shared" si="11"/>
        <v>0</v>
      </c>
      <c r="T76" s="44">
        <f t="shared" si="11"/>
        <v>0</v>
      </c>
      <c r="U76" s="44">
        <f t="shared" si="11"/>
        <v>0</v>
      </c>
      <c r="V76" s="44">
        <f t="shared" si="11"/>
        <v>0</v>
      </c>
      <c r="W76" s="44">
        <f t="shared" si="11"/>
        <v>0</v>
      </c>
      <c r="X76" s="44">
        <f t="shared" si="11"/>
        <v>0</v>
      </c>
      <c r="Y76" s="44">
        <f t="shared" si="11"/>
        <v>0</v>
      </c>
      <c r="Z76" s="44">
        <f t="shared" si="11"/>
        <v>0</v>
      </c>
      <c r="AA76" s="44">
        <f t="shared" si="11"/>
        <v>5.7675685404737749E-3</v>
      </c>
      <c r="AB76" s="44">
        <f t="shared" si="11"/>
        <v>0</v>
      </c>
      <c r="AC76" s="44">
        <f t="shared" si="11"/>
        <v>0</v>
      </c>
      <c r="AD76" s="44">
        <f t="shared" si="11"/>
        <v>0</v>
      </c>
      <c r="AE76" s="44">
        <f t="shared" si="13"/>
        <v>5.7675685404737749E-3</v>
      </c>
      <c r="AF76" s="44">
        <f t="shared" si="12"/>
        <v>0</v>
      </c>
      <c r="AG76" s="44">
        <f>Table1[[#This Row],[Column2]]/$D$141*0.5</f>
        <v>4.810456994131229E-3</v>
      </c>
      <c r="AH76" s="44">
        <f>Table1[[#This Row],[Column29]]/$D$141*1.5</f>
        <v>1.4431370982393686E-2</v>
      </c>
    </row>
    <row r="77" spans="3:34">
      <c r="C77" s="44" t="s">
        <v>420</v>
      </c>
      <c r="D77" s="44">
        <v>8.3494158680353404E-3</v>
      </c>
      <c r="E77" s="44">
        <f t="shared" si="10"/>
        <v>0</v>
      </c>
      <c r="F77" s="44">
        <f t="shared" si="10"/>
        <v>0</v>
      </c>
      <c r="G77" s="44">
        <f t="shared" si="10"/>
        <v>0</v>
      </c>
      <c r="H77" s="44">
        <f t="shared" si="10"/>
        <v>0</v>
      </c>
      <c r="I77" s="44">
        <f t="shared" si="10"/>
        <v>0</v>
      </c>
      <c r="J77" s="44">
        <f t="shared" si="10"/>
        <v>0</v>
      </c>
      <c r="K77" s="44">
        <f t="shared" si="10"/>
        <v>8.3494158680353404E-3</v>
      </c>
      <c r="L77" s="44">
        <f t="shared" si="10"/>
        <v>8.3494158680353404E-3</v>
      </c>
      <c r="M77" s="44">
        <f t="shared" si="10"/>
        <v>0</v>
      </c>
      <c r="N77" s="44">
        <f t="shared" si="10"/>
        <v>0</v>
      </c>
      <c r="O77" s="44">
        <f t="shared" si="11"/>
        <v>0</v>
      </c>
      <c r="P77" s="44">
        <f t="shared" si="11"/>
        <v>0</v>
      </c>
      <c r="Q77" s="44">
        <f t="shared" si="11"/>
        <v>0</v>
      </c>
      <c r="R77" s="44">
        <f t="shared" si="11"/>
        <v>0</v>
      </c>
      <c r="S77" s="44">
        <f t="shared" si="11"/>
        <v>0</v>
      </c>
      <c r="T77" s="44">
        <f t="shared" si="11"/>
        <v>0</v>
      </c>
      <c r="U77" s="44">
        <f t="shared" si="11"/>
        <v>0</v>
      </c>
      <c r="V77" s="44">
        <f t="shared" si="11"/>
        <v>0</v>
      </c>
      <c r="W77" s="44">
        <f t="shared" si="11"/>
        <v>0</v>
      </c>
      <c r="X77" s="44">
        <f t="shared" si="11"/>
        <v>0</v>
      </c>
      <c r="Y77" s="44">
        <f t="shared" si="11"/>
        <v>0</v>
      </c>
      <c r="Z77" s="44">
        <f t="shared" si="11"/>
        <v>0</v>
      </c>
      <c r="AA77" s="44">
        <f t="shared" si="11"/>
        <v>0</v>
      </c>
      <c r="AB77" s="44">
        <f t="shared" si="11"/>
        <v>0</v>
      </c>
      <c r="AC77" s="44">
        <f t="shared" si="11"/>
        <v>0</v>
      </c>
      <c r="AD77" s="44">
        <f t="shared" si="11"/>
        <v>8.3494158680353404E-3</v>
      </c>
      <c r="AE77" s="44">
        <f t="shared" si="13"/>
        <v>8.3494158680353404E-3</v>
      </c>
      <c r="AF77" s="44">
        <f t="shared" si="12"/>
        <v>0</v>
      </c>
      <c r="AG77" s="44">
        <f>Table1[[#This Row],[Column2]]/$D$141*0.5</f>
        <v>6.9638541228331146E-3</v>
      </c>
      <c r="AH77" s="44">
        <f>Table1[[#This Row],[Column29]]/$D$141*1.5</f>
        <v>2.0891562368499345E-2</v>
      </c>
    </row>
    <row r="78" spans="3:34">
      <c r="C78" s="44" t="s">
        <v>421</v>
      </c>
      <c r="D78" s="44">
        <v>2.4135475611272638E-3</v>
      </c>
      <c r="E78" s="44">
        <f t="shared" si="10"/>
        <v>0</v>
      </c>
      <c r="F78" s="44">
        <f t="shared" si="10"/>
        <v>0</v>
      </c>
      <c r="G78" s="44">
        <f t="shared" si="10"/>
        <v>0</v>
      </c>
      <c r="H78" s="44">
        <f t="shared" si="10"/>
        <v>0</v>
      </c>
      <c r="I78" s="44">
        <f t="shared" si="10"/>
        <v>0</v>
      </c>
      <c r="J78" s="44">
        <f t="shared" si="10"/>
        <v>0</v>
      </c>
      <c r="K78" s="44">
        <f t="shared" si="10"/>
        <v>2.4135475611272638E-3</v>
      </c>
      <c r="L78" s="44">
        <f t="shared" si="10"/>
        <v>0</v>
      </c>
      <c r="M78" s="44">
        <f t="shared" si="10"/>
        <v>2.4135475611272638E-3</v>
      </c>
      <c r="N78" s="44">
        <f t="shared" si="10"/>
        <v>0</v>
      </c>
      <c r="O78" s="44">
        <f t="shared" si="11"/>
        <v>0</v>
      </c>
      <c r="P78" s="44">
        <f t="shared" si="11"/>
        <v>0</v>
      </c>
      <c r="Q78" s="44">
        <f t="shared" si="11"/>
        <v>0</v>
      </c>
      <c r="R78" s="44">
        <f t="shared" si="11"/>
        <v>2.4135475611272638E-3</v>
      </c>
      <c r="S78" s="44">
        <f t="shared" si="11"/>
        <v>0</v>
      </c>
      <c r="T78" s="44">
        <f t="shared" si="11"/>
        <v>0</v>
      </c>
      <c r="U78" s="44">
        <f t="shared" si="11"/>
        <v>0</v>
      </c>
      <c r="V78" s="44">
        <f t="shared" si="11"/>
        <v>0</v>
      </c>
      <c r="W78" s="44">
        <f t="shared" si="11"/>
        <v>0</v>
      </c>
      <c r="X78" s="44">
        <f t="shared" si="11"/>
        <v>0</v>
      </c>
      <c r="Y78" s="44">
        <f t="shared" si="11"/>
        <v>0</v>
      </c>
      <c r="Z78" s="44">
        <f t="shared" si="11"/>
        <v>0</v>
      </c>
      <c r="AA78" s="44">
        <f t="shared" si="11"/>
        <v>0</v>
      </c>
      <c r="AB78" s="44">
        <f t="shared" si="11"/>
        <v>0</v>
      </c>
      <c r="AC78" s="44">
        <f t="shared" si="11"/>
        <v>0</v>
      </c>
      <c r="AD78" s="44">
        <f t="shared" si="11"/>
        <v>0</v>
      </c>
      <c r="AE78" s="44">
        <f t="shared" si="13"/>
        <v>2.4135475611272638E-3</v>
      </c>
      <c r="AF78" s="44">
        <f t="shared" si="12"/>
        <v>0</v>
      </c>
      <c r="AG78" s="44">
        <f>Table1[[#This Row],[Column2]]/$D$141*0.5</f>
        <v>2.0130262284042653E-3</v>
      </c>
      <c r="AH78" s="44">
        <f>Table1[[#This Row],[Column29]]/$D$141*1.5</f>
        <v>6.039078685212796E-3</v>
      </c>
    </row>
    <row r="79" spans="3:34">
      <c r="C79" s="44" t="s">
        <v>422</v>
      </c>
      <c r="D79" s="44">
        <v>2.4970528920474316E-3</v>
      </c>
      <c r="E79" s="44">
        <f t="shared" si="10"/>
        <v>0</v>
      </c>
      <c r="F79" s="44">
        <f t="shared" si="10"/>
        <v>0</v>
      </c>
      <c r="G79" s="44">
        <f t="shared" si="10"/>
        <v>0</v>
      </c>
      <c r="H79" s="44">
        <f t="shared" si="10"/>
        <v>0</v>
      </c>
      <c r="I79" s="44">
        <f t="shared" si="10"/>
        <v>0</v>
      </c>
      <c r="J79" s="44">
        <f t="shared" si="10"/>
        <v>0</v>
      </c>
      <c r="K79" s="44">
        <f t="shared" si="10"/>
        <v>2.4970528920474316E-3</v>
      </c>
      <c r="L79" s="44">
        <f t="shared" si="10"/>
        <v>0</v>
      </c>
      <c r="M79" s="44">
        <f t="shared" si="10"/>
        <v>2.4970528920474316E-3</v>
      </c>
      <c r="N79" s="44">
        <f t="shared" si="10"/>
        <v>0</v>
      </c>
      <c r="O79" s="44">
        <f t="shared" si="11"/>
        <v>0</v>
      </c>
      <c r="P79" s="44">
        <f t="shared" si="11"/>
        <v>0</v>
      </c>
      <c r="Q79" s="44">
        <f t="shared" si="11"/>
        <v>0</v>
      </c>
      <c r="R79" s="44">
        <f t="shared" si="11"/>
        <v>0</v>
      </c>
      <c r="S79" s="44">
        <f t="shared" si="11"/>
        <v>2.4970528920474316E-3</v>
      </c>
      <c r="T79" s="44">
        <f t="shared" si="11"/>
        <v>0</v>
      </c>
      <c r="U79" s="44">
        <f t="shared" si="11"/>
        <v>0</v>
      </c>
      <c r="V79" s="44">
        <f t="shared" si="11"/>
        <v>0</v>
      </c>
      <c r="W79" s="44">
        <f t="shared" si="11"/>
        <v>0</v>
      </c>
      <c r="X79" s="44">
        <f t="shared" si="11"/>
        <v>0</v>
      </c>
      <c r="Y79" s="44">
        <f t="shared" si="11"/>
        <v>0</v>
      </c>
      <c r="Z79" s="44">
        <f t="shared" si="11"/>
        <v>0</v>
      </c>
      <c r="AA79" s="44">
        <f t="shared" si="11"/>
        <v>0</v>
      </c>
      <c r="AB79" s="44">
        <f t="shared" si="11"/>
        <v>0</v>
      </c>
      <c r="AC79" s="44">
        <f t="shared" si="11"/>
        <v>0</v>
      </c>
      <c r="AD79" s="44">
        <f t="shared" si="11"/>
        <v>0</v>
      </c>
      <c r="AE79" s="44">
        <f t="shared" si="13"/>
        <v>2.4970528920474316E-3</v>
      </c>
      <c r="AF79" s="44">
        <f t="shared" si="12"/>
        <v>0</v>
      </c>
      <c r="AG79" s="44">
        <f>Table1[[#This Row],[Column2]]/$D$141*0.5</f>
        <v>2.0826740878710842E-3</v>
      </c>
      <c r="AH79" s="44">
        <f>Table1[[#This Row],[Column29]]/$D$141*1.5</f>
        <v>6.2480222636132525E-3</v>
      </c>
    </row>
    <row r="80" spans="3:34">
      <c r="C80" s="44" t="s">
        <v>423</v>
      </c>
      <c r="D80" s="44">
        <v>1.5387325368939593E-3</v>
      </c>
      <c r="E80" s="44">
        <f t="shared" si="10"/>
        <v>0</v>
      </c>
      <c r="F80" s="44">
        <f t="shared" si="10"/>
        <v>0</v>
      </c>
      <c r="G80" s="44">
        <f t="shared" si="10"/>
        <v>0</v>
      </c>
      <c r="H80" s="44">
        <f t="shared" si="10"/>
        <v>0</v>
      </c>
      <c r="I80" s="44">
        <f t="shared" si="10"/>
        <v>0</v>
      </c>
      <c r="J80" s="44">
        <f t="shared" si="10"/>
        <v>0</v>
      </c>
      <c r="K80" s="44">
        <f t="shared" si="10"/>
        <v>1.5387325368939593E-3</v>
      </c>
      <c r="L80" s="44">
        <f t="shared" si="10"/>
        <v>1.5387325368939593E-3</v>
      </c>
      <c r="M80" s="44">
        <f t="shared" si="10"/>
        <v>3.0774650737879186E-3</v>
      </c>
      <c r="N80" s="44">
        <f t="shared" si="10"/>
        <v>0</v>
      </c>
      <c r="O80" s="44">
        <f t="shared" si="11"/>
        <v>0</v>
      </c>
      <c r="P80" s="44">
        <f t="shared" si="11"/>
        <v>0</v>
      </c>
      <c r="Q80" s="44">
        <f t="shared" si="11"/>
        <v>0</v>
      </c>
      <c r="R80" s="44">
        <f t="shared" si="11"/>
        <v>1.5387325368939593E-3</v>
      </c>
      <c r="S80" s="44">
        <f t="shared" si="11"/>
        <v>1.5387325368939593E-3</v>
      </c>
      <c r="T80" s="44">
        <f t="shared" si="11"/>
        <v>0</v>
      </c>
      <c r="U80" s="44">
        <f t="shared" si="11"/>
        <v>0</v>
      </c>
      <c r="V80" s="44">
        <f t="shared" si="11"/>
        <v>0</v>
      </c>
      <c r="W80" s="44">
        <f t="shared" si="11"/>
        <v>0</v>
      </c>
      <c r="X80" s="44">
        <f t="shared" si="11"/>
        <v>0</v>
      </c>
      <c r="Y80" s="44">
        <f t="shared" si="11"/>
        <v>0</v>
      </c>
      <c r="Z80" s="44">
        <f t="shared" si="11"/>
        <v>0</v>
      </c>
      <c r="AA80" s="44">
        <f t="shared" si="11"/>
        <v>0</v>
      </c>
      <c r="AB80" s="44">
        <f t="shared" si="11"/>
        <v>0</v>
      </c>
      <c r="AC80" s="44">
        <f t="shared" si="11"/>
        <v>0</v>
      </c>
      <c r="AD80" s="44">
        <f t="shared" si="11"/>
        <v>0</v>
      </c>
      <c r="AE80" s="44">
        <f t="shared" si="13"/>
        <v>1.5387325368939593E-3</v>
      </c>
      <c r="AF80" s="44">
        <f t="shared" si="12"/>
        <v>0</v>
      </c>
      <c r="AG80" s="44">
        <f>Table1[[#This Row],[Column2]]/$D$141*0.5</f>
        <v>1.2833842618870377E-3</v>
      </c>
      <c r="AH80" s="44">
        <f>Table1[[#This Row],[Column29]]/$D$141*1.5</f>
        <v>3.8501527856611133E-3</v>
      </c>
    </row>
    <row r="81" spans="3:34">
      <c r="C81" s="44" t="s">
        <v>424</v>
      </c>
      <c r="D81" s="44">
        <v>7.8701267799992066E-4</v>
      </c>
      <c r="E81" s="44">
        <f t="shared" si="10"/>
        <v>0</v>
      </c>
      <c r="F81" s="44">
        <f t="shared" si="10"/>
        <v>0</v>
      </c>
      <c r="G81" s="44">
        <f t="shared" si="10"/>
        <v>0</v>
      </c>
      <c r="H81" s="44">
        <f t="shared" si="10"/>
        <v>0</v>
      </c>
      <c r="I81" s="44">
        <f t="shared" si="10"/>
        <v>0</v>
      </c>
      <c r="J81" s="44">
        <f t="shared" si="10"/>
        <v>0</v>
      </c>
      <c r="K81" s="44">
        <f t="shared" si="10"/>
        <v>7.8701267799992066E-4</v>
      </c>
      <c r="L81" s="44">
        <f t="shared" si="10"/>
        <v>0</v>
      </c>
      <c r="M81" s="44">
        <f t="shared" si="10"/>
        <v>7.8701267799992066E-4</v>
      </c>
      <c r="N81" s="44">
        <f t="shared" si="10"/>
        <v>0</v>
      </c>
      <c r="O81" s="44">
        <f t="shared" si="11"/>
        <v>0</v>
      </c>
      <c r="P81" s="44">
        <f t="shared" si="11"/>
        <v>0</v>
      </c>
      <c r="Q81" s="44">
        <f t="shared" si="11"/>
        <v>0</v>
      </c>
      <c r="R81" s="44">
        <f t="shared" si="11"/>
        <v>0</v>
      </c>
      <c r="S81" s="44">
        <f t="shared" si="11"/>
        <v>0</v>
      </c>
      <c r="T81" s="44">
        <f t="shared" si="11"/>
        <v>7.8701267799992066E-4</v>
      </c>
      <c r="U81" s="44">
        <f t="shared" si="11"/>
        <v>0</v>
      </c>
      <c r="V81" s="44">
        <f t="shared" si="11"/>
        <v>0</v>
      </c>
      <c r="W81" s="44">
        <f t="shared" si="11"/>
        <v>0</v>
      </c>
      <c r="X81" s="44">
        <f t="shared" si="11"/>
        <v>0</v>
      </c>
      <c r="Y81" s="44">
        <f t="shared" si="11"/>
        <v>0</v>
      </c>
      <c r="Z81" s="44">
        <f t="shared" si="11"/>
        <v>0</v>
      </c>
      <c r="AA81" s="44">
        <f t="shared" si="11"/>
        <v>0</v>
      </c>
      <c r="AB81" s="44">
        <f t="shared" si="11"/>
        <v>0</v>
      </c>
      <c r="AC81" s="44">
        <f t="shared" si="11"/>
        <v>0</v>
      </c>
      <c r="AD81" s="44">
        <f t="shared" si="11"/>
        <v>0</v>
      </c>
      <c r="AE81" s="44">
        <f t="shared" si="13"/>
        <v>7.8701267799992066E-4</v>
      </c>
      <c r="AF81" s="44">
        <f t="shared" si="12"/>
        <v>0</v>
      </c>
      <c r="AG81" s="44">
        <f>Table1[[#This Row],[Column2]]/$D$141*0.5</f>
        <v>6.5641016917046926E-4</v>
      </c>
      <c r="AH81" s="44">
        <f>Table1[[#This Row],[Column29]]/$D$141*1.5</f>
        <v>1.9692305075114077E-3</v>
      </c>
    </row>
    <row r="82" spans="3:34">
      <c r="C82" s="44" t="s">
        <v>425</v>
      </c>
      <c r="D82" s="44">
        <v>1.5425998506758539E-3</v>
      </c>
      <c r="E82" s="44">
        <f t="shared" si="10"/>
        <v>0</v>
      </c>
      <c r="F82" s="44">
        <f t="shared" si="10"/>
        <v>0</v>
      </c>
      <c r="G82" s="44">
        <f t="shared" si="10"/>
        <v>0</v>
      </c>
      <c r="H82" s="44">
        <f t="shared" si="10"/>
        <v>0</v>
      </c>
      <c r="I82" s="44">
        <f t="shared" si="10"/>
        <v>0</v>
      </c>
      <c r="J82" s="44">
        <f t="shared" si="10"/>
        <v>0</v>
      </c>
      <c r="K82" s="44">
        <f t="shared" si="10"/>
        <v>3.0851997013517079E-3</v>
      </c>
      <c r="L82" s="44">
        <f t="shared" si="10"/>
        <v>0</v>
      </c>
      <c r="M82" s="44">
        <f t="shared" si="10"/>
        <v>1.5425998506758539E-3</v>
      </c>
      <c r="N82" s="44">
        <f t="shared" si="10"/>
        <v>1.5425998506758539E-3</v>
      </c>
      <c r="O82" s="44">
        <f t="shared" si="11"/>
        <v>0</v>
      </c>
      <c r="P82" s="44">
        <f t="shared" si="11"/>
        <v>0</v>
      </c>
      <c r="Q82" s="44">
        <f t="shared" si="11"/>
        <v>0</v>
      </c>
      <c r="R82" s="44">
        <f t="shared" si="11"/>
        <v>0</v>
      </c>
      <c r="S82" s="44">
        <f t="shared" si="11"/>
        <v>1.5425998506758539E-3</v>
      </c>
      <c r="T82" s="44">
        <f t="shared" si="11"/>
        <v>1.5425998506758539E-3</v>
      </c>
      <c r="U82" s="44">
        <f t="shared" si="11"/>
        <v>0</v>
      </c>
      <c r="V82" s="44">
        <f t="shared" si="11"/>
        <v>0</v>
      </c>
      <c r="W82" s="44">
        <f t="shared" si="11"/>
        <v>0</v>
      </c>
      <c r="X82" s="44">
        <f t="shared" si="11"/>
        <v>0</v>
      </c>
      <c r="Y82" s="44">
        <f t="shared" si="11"/>
        <v>0</v>
      </c>
      <c r="Z82" s="44">
        <f t="shared" si="11"/>
        <v>0</v>
      </c>
      <c r="AA82" s="44">
        <f t="shared" si="11"/>
        <v>0</v>
      </c>
      <c r="AB82" s="44">
        <f t="shared" si="11"/>
        <v>0</v>
      </c>
      <c r="AC82" s="44">
        <f t="shared" si="11"/>
        <v>0</v>
      </c>
      <c r="AD82" s="44">
        <f t="shared" si="11"/>
        <v>0</v>
      </c>
      <c r="AE82" s="44">
        <f t="shared" si="13"/>
        <v>1.5425998506758539E-3</v>
      </c>
      <c r="AF82" s="44">
        <f t="shared" si="12"/>
        <v>0</v>
      </c>
      <c r="AG82" s="44">
        <f>Table1[[#This Row],[Column2]]/$D$141*0.5</f>
        <v>1.2866098059789832E-3</v>
      </c>
      <c r="AH82" s="44">
        <f>Table1[[#This Row],[Column29]]/$D$141*1.5</f>
        <v>3.8598294179369493E-3</v>
      </c>
    </row>
    <row r="83" spans="3:34">
      <c r="C83" s="44" t="s">
        <v>426</v>
      </c>
      <c r="D83" s="44">
        <v>2.9439711313906693E-3</v>
      </c>
      <c r="E83" s="44">
        <f t="shared" si="10"/>
        <v>0</v>
      </c>
      <c r="F83" s="44">
        <f t="shared" si="10"/>
        <v>0</v>
      </c>
      <c r="G83" s="44">
        <f t="shared" si="10"/>
        <v>0</v>
      </c>
      <c r="H83" s="44">
        <f t="shared" si="10"/>
        <v>0</v>
      </c>
      <c r="I83" s="44">
        <f t="shared" si="10"/>
        <v>0</v>
      </c>
      <c r="J83" s="44">
        <f t="shared" si="10"/>
        <v>0</v>
      </c>
      <c r="K83" s="44">
        <f t="shared" si="10"/>
        <v>2.9439711313906693E-3</v>
      </c>
      <c r="L83" s="44">
        <f t="shared" si="10"/>
        <v>0</v>
      </c>
      <c r="M83" s="44">
        <f t="shared" si="10"/>
        <v>2.9439711313906693E-3</v>
      </c>
      <c r="N83" s="44">
        <f t="shared" si="10"/>
        <v>0</v>
      </c>
      <c r="O83" s="44">
        <f t="shared" si="11"/>
        <v>0</v>
      </c>
      <c r="P83" s="44">
        <f t="shared" si="11"/>
        <v>0</v>
      </c>
      <c r="Q83" s="44">
        <f t="shared" si="11"/>
        <v>0</v>
      </c>
      <c r="R83" s="44">
        <f t="shared" si="11"/>
        <v>0</v>
      </c>
      <c r="S83" s="44">
        <f t="shared" si="11"/>
        <v>0</v>
      </c>
      <c r="T83" s="44">
        <f t="shared" si="11"/>
        <v>0</v>
      </c>
      <c r="U83" s="44">
        <f t="shared" si="11"/>
        <v>0</v>
      </c>
      <c r="V83" s="44">
        <f t="shared" si="11"/>
        <v>0</v>
      </c>
      <c r="W83" s="44">
        <f t="shared" si="11"/>
        <v>0</v>
      </c>
      <c r="X83" s="44">
        <f t="shared" si="11"/>
        <v>0</v>
      </c>
      <c r="Y83" s="44">
        <f t="shared" si="11"/>
        <v>0</v>
      </c>
      <c r="Z83" s="44">
        <f t="shared" si="11"/>
        <v>0</v>
      </c>
      <c r="AA83" s="44">
        <f t="shared" si="11"/>
        <v>2.9439711313906693E-3</v>
      </c>
      <c r="AB83" s="44">
        <f t="shared" si="11"/>
        <v>0</v>
      </c>
      <c r="AC83" s="44">
        <f t="shared" si="11"/>
        <v>0</v>
      </c>
      <c r="AD83" s="44">
        <f t="shared" si="11"/>
        <v>0</v>
      </c>
      <c r="AE83" s="44">
        <f t="shared" si="13"/>
        <v>2.9439711313906693E-3</v>
      </c>
      <c r="AF83" s="44">
        <f t="shared" si="12"/>
        <v>0</v>
      </c>
      <c r="AG83" s="44">
        <f>Table1[[#This Row],[Column2]]/$D$141*0.5</f>
        <v>2.4554275203039636E-3</v>
      </c>
      <c r="AH83" s="44">
        <f>Table1[[#This Row],[Column29]]/$D$141*1.5</f>
        <v>7.3662825609118908E-3</v>
      </c>
    </row>
    <row r="84" spans="3:34">
      <c r="C84" s="44" t="s">
        <v>427</v>
      </c>
      <c r="D84" s="44">
        <v>1.1265628280502631E-3</v>
      </c>
      <c r="E84" s="44">
        <f t="shared" ref="E84:T99" si="14">((LEN($C84)-LEN(SUBSTITUTE($C84,E$3,"")))/4)*$D84</f>
        <v>0</v>
      </c>
      <c r="F84" s="44">
        <f t="shared" si="14"/>
        <v>0</v>
      </c>
      <c r="G84" s="44">
        <f t="shared" si="14"/>
        <v>0</v>
      </c>
      <c r="H84" s="44">
        <f t="shared" si="14"/>
        <v>0</v>
      </c>
      <c r="I84" s="44">
        <f t="shared" si="14"/>
        <v>0</v>
      </c>
      <c r="J84" s="44">
        <f t="shared" si="14"/>
        <v>0</v>
      </c>
      <c r="K84" s="44">
        <f t="shared" si="14"/>
        <v>1.1265628280502631E-3</v>
      </c>
      <c r="L84" s="44">
        <f t="shared" si="14"/>
        <v>0</v>
      </c>
      <c r="M84" s="44">
        <f t="shared" si="14"/>
        <v>0</v>
      </c>
      <c r="N84" s="44">
        <f t="shared" si="14"/>
        <v>1.1265628280502631E-3</v>
      </c>
      <c r="O84" s="44">
        <f t="shared" si="14"/>
        <v>0</v>
      </c>
      <c r="P84" s="44">
        <f t="shared" si="14"/>
        <v>0</v>
      </c>
      <c r="Q84" s="44">
        <f t="shared" si="14"/>
        <v>0</v>
      </c>
      <c r="R84" s="44">
        <f t="shared" si="14"/>
        <v>1.1265628280502631E-3</v>
      </c>
      <c r="S84" s="44">
        <f t="shared" si="14"/>
        <v>0</v>
      </c>
      <c r="T84" s="44">
        <f t="shared" si="14"/>
        <v>0</v>
      </c>
      <c r="U84" s="44">
        <f t="shared" ref="O84:AD99" si="15">((LEN($C84)-LEN(SUBSTITUTE($C84,U$3,"")))/4)*$D84</f>
        <v>0</v>
      </c>
      <c r="V84" s="44">
        <f t="shared" si="15"/>
        <v>0</v>
      </c>
      <c r="W84" s="44">
        <f t="shared" si="15"/>
        <v>0</v>
      </c>
      <c r="X84" s="44">
        <f t="shared" si="15"/>
        <v>0</v>
      </c>
      <c r="Y84" s="44">
        <f t="shared" si="15"/>
        <v>0</v>
      </c>
      <c r="Z84" s="44">
        <f t="shared" si="15"/>
        <v>0</v>
      </c>
      <c r="AA84" s="44">
        <f t="shared" si="15"/>
        <v>0</v>
      </c>
      <c r="AB84" s="44">
        <f t="shared" si="15"/>
        <v>0</v>
      </c>
      <c r="AC84" s="44">
        <f t="shared" si="15"/>
        <v>0</v>
      </c>
      <c r="AD84" s="44">
        <f t="shared" si="15"/>
        <v>0</v>
      </c>
      <c r="AE84" s="44">
        <f t="shared" si="13"/>
        <v>1.1265628280502631E-3</v>
      </c>
      <c r="AF84" s="44">
        <f t="shared" si="12"/>
        <v>0</v>
      </c>
      <c r="AG84" s="44">
        <f>Table1[[#This Row],[Column2]]/$D$141*0.5</f>
        <v>9.3961294044326692E-4</v>
      </c>
      <c r="AH84" s="44">
        <f>Table1[[#This Row],[Column29]]/$D$141*1.5</f>
        <v>2.8188388213298008E-3</v>
      </c>
    </row>
    <row r="85" spans="3:34">
      <c r="C85" s="44" t="s">
        <v>428</v>
      </c>
      <c r="D85" s="44">
        <v>1.7257672900938821E-3</v>
      </c>
      <c r="E85" s="44">
        <f t="shared" si="14"/>
        <v>0</v>
      </c>
      <c r="F85" s="44">
        <f t="shared" si="14"/>
        <v>0</v>
      </c>
      <c r="G85" s="44">
        <f t="shared" si="14"/>
        <v>0</v>
      </c>
      <c r="H85" s="44">
        <f t="shared" si="14"/>
        <v>0</v>
      </c>
      <c r="I85" s="44">
        <f t="shared" si="14"/>
        <v>0</v>
      </c>
      <c r="J85" s="44">
        <f t="shared" si="14"/>
        <v>0</v>
      </c>
      <c r="K85" s="44">
        <f t="shared" si="14"/>
        <v>1.7257672900938821E-3</v>
      </c>
      <c r="L85" s="44">
        <f t="shared" si="14"/>
        <v>1.7257672900938821E-3</v>
      </c>
      <c r="M85" s="44">
        <f t="shared" si="14"/>
        <v>1.7257672900938821E-3</v>
      </c>
      <c r="N85" s="44">
        <f t="shared" si="14"/>
        <v>1.7257672900938821E-3</v>
      </c>
      <c r="O85" s="44">
        <f t="shared" si="15"/>
        <v>0</v>
      </c>
      <c r="P85" s="44">
        <f t="shared" si="15"/>
        <v>0</v>
      </c>
      <c r="Q85" s="44">
        <f t="shared" si="15"/>
        <v>0</v>
      </c>
      <c r="R85" s="44">
        <f t="shared" si="15"/>
        <v>3.4515345801877642E-3</v>
      </c>
      <c r="S85" s="44">
        <f t="shared" si="15"/>
        <v>0</v>
      </c>
      <c r="T85" s="44">
        <f t="shared" si="15"/>
        <v>0</v>
      </c>
      <c r="U85" s="44">
        <f t="shared" si="15"/>
        <v>0</v>
      </c>
      <c r="V85" s="44">
        <f t="shared" si="15"/>
        <v>0</v>
      </c>
      <c r="W85" s="44">
        <f t="shared" si="15"/>
        <v>0</v>
      </c>
      <c r="X85" s="44">
        <f t="shared" si="15"/>
        <v>0</v>
      </c>
      <c r="Y85" s="44">
        <f t="shared" si="15"/>
        <v>0</v>
      </c>
      <c r="Z85" s="44">
        <f t="shared" si="15"/>
        <v>0</v>
      </c>
      <c r="AA85" s="44">
        <f t="shared" si="15"/>
        <v>0</v>
      </c>
      <c r="AB85" s="44">
        <f t="shared" si="15"/>
        <v>0</v>
      </c>
      <c r="AC85" s="44">
        <f t="shared" si="15"/>
        <v>0</v>
      </c>
      <c r="AD85" s="44">
        <f t="shared" si="15"/>
        <v>0</v>
      </c>
      <c r="AE85" s="44">
        <f t="shared" si="13"/>
        <v>1.7257672900938819E-3</v>
      </c>
      <c r="AF85" s="44">
        <f t="shared" si="12"/>
        <v>0</v>
      </c>
      <c r="AG85" s="44">
        <f>Table1[[#This Row],[Column2]]/$D$141*0.5</f>
        <v>1.4393811313411925E-3</v>
      </c>
      <c r="AH85" s="44">
        <f>Table1[[#This Row],[Column29]]/$D$141*1.5</f>
        <v>4.3181433940235768E-3</v>
      </c>
    </row>
    <row r="86" spans="3:34">
      <c r="C86" s="44" t="s">
        <v>429</v>
      </c>
      <c r="D86" s="44">
        <v>7.4444357963032585E-4</v>
      </c>
      <c r="E86" s="44">
        <f t="shared" si="14"/>
        <v>0</v>
      </c>
      <c r="F86" s="44">
        <f t="shared" si="14"/>
        <v>0</v>
      </c>
      <c r="G86" s="44">
        <f t="shared" si="14"/>
        <v>0</v>
      </c>
      <c r="H86" s="44">
        <f t="shared" si="14"/>
        <v>0</v>
      </c>
      <c r="I86" s="44">
        <f t="shared" si="14"/>
        <v>0</v>
      </c>
      <c r="J86" s="44">
        <f t="shared" si="14"/>
        <v>0</v>
      </c>
      <c r="K86" s="44">
        <f t="shared" si="14"/>
        <v>7.4444357963032585E-4</v>
      </c>
      <c r="L86" s="44">
        <f t="shared" si="14"/>
        <v>0</v>
      </c>
      <c r="M86" s="44">
        <f t="shared" si="14"/>
        <v>0</v>
      </c>
      <c r="N86" s="44">
        <f t="shared" si="14"/>
        <v>7.4444357963032585E-4</v>
      </c>
      <c r="O86" s="44">
        <f t="shared" si="15"/>
        <v>0</v>
      </c>
      <c r="P86" s="44">
        <f t="shared" si="15"/>
        <v>0</v>
      </c>
      <c r="Q86" s="44">
        <f t="shared" si="15"/>
        <v>0</v>
      </c>
      <c r="R86" s="44">
        <f t="shared" si="15"/>
        <v>0</v>
      </c>
      <c r="S86" s="44">
        <f t="shared" si="15"/>
        <v>7.4444357963032585E-4</v>
      </c>
      <c r="T86" s="44">
        <f t="shared" si="15"/>
        <v>0</v>
      </c>
      <c r="U86" s="44">
        <f t="shared" si="15"/>
        <v>0</v>
      </c>
      <c r="V86" s="44">
        <f t="shared" si="15"/>
        <v>0</v>
      </c>
      <c r="W86" s="44">
        <f t="shared" si="15"/>
        <v>0</v>
      </c>
      <c r="X86" s="44">
        <f t="shared" si="15"/>
        <v>0</v>
      </c>
      <c r="Y86" s="44">
        <f t="shared" si="15"/>
        <v>0</v>
      </c>
      <c r="Z86" s="44">
        <f t="shared" si="15"/>
        <v>0</v>
      </c>
      <c r="AA86" s="44">
        <f t="shared" si="15"/>
        <v>0</v>
      </c>
      <c r="AB86" s="44">
        <f t="shared" si="15"/>
        <v>0</v>
      </c>
      <c r="AC86" s="44">
        <f t="shared" si="15"/>
        <v>0</v>
      </c>
      <c r="AD86" s="44">
        <f t="shared" si="15"/>
        <v>0</v>
      </c>
      <c r="AE86" s="44">
        <f t="shared" si="13"/>
        <v>7.4444357963032585E-4</v>
      </c>
      <c r="AF86" s="44">
        <f t="shared" si="12"/>
        <v>0</v>
      </c>
      <c r="AG86" s="44">
        <f>Table1[[#This Row],[Column2]]/$D$141*0.5</f>
        <v>6.2090529123987146E-4</v>
      </c>
      <c r="AH86" s="44">
        <f>Table1[[#This Row],[Column29]]/$D$141*1.5</f>
        <v>1.8627158737196145E-3</v>
      </c>
    </row>
    <row r="87" spans="3:34">
      <c r="C87" s="44" t="s">
        <v>430</v>
      </c>
      <c r="D87" s="44">
        <v>7.7417892559778173E-4</v>
      </c>
      <c r="E87" s="44">
        <f t="shared" si="14"/>
        <v>0</v>
      </c>
      <c r="F87" s="44">
        <f t="shared" si="14"/>
        <v>0</v>
      </c>
      <c r="G87" s="44">
        <f t="shared" si="14"/>
        <v>0</v>
      </c>
      <c r="H87" s="44">
        <f t="shared" si="14"/>
        <v>0</v>
      </c>
      <c r="I87" s="44">
        <f t="shared" si="14"/>
        <v>0</v>
      </c>
      <c r="J87" s="44">
        <f t="shared" si="14"/>
        <v>0</v>
      </c>
      <c r="K87" s="44">
        <f t="shared" si="14"/>
        <v>7.7417892559778173E-4</v>
      </c>
      <c r="L87" s="44">
        <f t="shared" si="14"/>
        <v>7.7417892559778173E-4</v>
      </c>
      <c r="M87" s="44">
        <f t="shared" si="14"/>
        <v>0</v>
      </c>
      <c r="N87" s="44">
        <f t="shared" si="14"/>
        <v>1.5483578511955635E-3</v>
      </c>
      <c r="O87" s="44">
        <f t="shared" si="15"/>
        <v>0</v>
      </c>
      <c r="P87" s="44">
        <f t="shared" si="15"/>
        <v>0</v>
      </c>
      <c r="Q87" s="44">
        <f t="shared" si="15"/>
        <v>0</v>
      </c>
      <c r="R87" s="44">
        <f t="shared" si="15"/>
        <v>7.7417892559778173E-4</v>
      </c>
      <c r="S87" s="44">
        <f t="shared" si="15"/>
        <v>7.7417892559778173E-4</v>
      </c>
      <c r="T87" s="44">
        <f t="shared" si="15"/>
        <v>0</v>
      </c>
      <c r="U87" s="44">
        <f t="shared" si="15"/>
        <v>0</v>
      </c>
      <c r="V87" s="44">
        <f t="shared" si="15"/>
        <v>0</v>
      </c>
      <c r="W87" s="44">
        <f t="shared" si="15"/>
        <v>0</v>
      </c>
      <c r="X87" s="44">
        <f t="shared" si="15"/>
        <v>0</v>
      </c>
      <c r="Y87" s="44">
        <f t="shared" si="15"/>
        <v>0</v>
      </c>
      <c r="Z87" s="44">
        <f t="shared" si="15"/>
        <v>0</v>
      </c>
      <c r="AA87" s="44">
        <f t="shared" si="15"/>
        <v>0</v>
      </c>
      <c r="AB87" s="44">
        <f t="shared" si="15"/>
        <v>0</v>
      </c>
      <c r="AC87" s="44">
        <f t="shared" si="15"/>
        <v>0</v>
      </c>
      <c r="AD87" s="44">
        <f t="shared" si="15"/>
        <v>0</v>
      </c>
      <c r="AE87" s="44">
        <f t="shared" si="13"/>
        <v>7.7417892559778184E-4</v>
      </c>
      <c r="AF87" s="44">
        <f t="shared" si="12"/>
        <v>0</v>
      </c>
      <c r="AG87" s="44">
        <f>Table1[[#This Row],[Column2]]/$D$141*0.5</f>
        <v>6.4570614136905081E-4</v>
      </c>
      <c r="AH87" s="44">
        <f>Table1[[#This Row],[Column29]]/$D$141*1.5</f>
        <v>1.9371184241071529E-3</v>
      </c>
    </row>
    <row r="88" spans="3:34">
      <c r="C88" s="44" t="s">
        <v>431</v>
      </c>
      <c r="D88" s="44">
        <v>5.7465418122077717E-4</v>
      </c>
      <c r="E88" s="44">
        <f t="shared" si="14"/>
        <v>0</v>
      </c>
      <c r="F88" s="44">
        <f t="shared" si="14"/>
        <v>0</v>
      </c>
      <c r="G88" s="44">
        <f t="shared" si="14"/>
        <v>0</v>
      </c>
      <c r="H88" s="44">
        <f t="shared" si="14"/>
        <v>0</v>
      </c>
      <c r="I88" s="44">
        <f t="shared" si="14"/>
        <v>0</v>
      </c>
      <c r="J88" s="44">
        <f t="shared" si="14"/>
        <v>0</v>
      </c>
      <c r="K88" s="44">
        <f t="shared" si="14"/>
        <v>5.7465418122077717E-4</v>
      </c>
      <c r="L88" s="44">
        <f t="shared" si="14"/>
        <v>0</v>
      </c>
      <c r="M88" s="44">
        <f t="shared" si="14"/>
        <v>0</v>
      </c>
      <c r="N88" s="44">
        <f t="shared" si="14"/>
        <v>5.7465418122077717E-4</v>
      </c>
      <c r="O88" s="44">
        <f t="shared" si="15"/>
        <v>0</v>
      </c>
      <c r="P88" s="44">
        <f t="shared" si="15"/>
        <v>0</v>
      </c>
      <c r="Q88" s="44">
        <f t="shared" si="15"/>
        <v>0</v>
      </c>
      <c r="R88" s="44">
        <f t="shared" si="15"/>
        <v>0</v>
      </c>
      <c r="S88" s="44">
        <f t="shared" si="15"/>
        <v>0</v>
      </c>
      <c r="T88" s="44">
        <f t="shared" si="15"/>
        <v>5.7465418122077717E-4</v>
      </c>
      <c r="U88" s="44">
        <f t="shared" si="15"/>
        <v>0</v>
      </c>
      <c r="V88" s="44">
        <f t="shared" si="15"/>
        <v>0</v>
      </c>
      <c r="W88" s="44">
        <f t="shared" si="15"/>
        <v>0</v>
      </c>
      <c r="X88" s="44">
        <f t="shared" si="15"/>
        <v>0</v>
      </c>
      <c r="Y88" s="44">
        <f t="shared" si="15"/>
        <v>0</v>
      </c>
      <c r="Z88" s="44">
        <f t="shared" si="15"/>
        <v>0</v>
      </c>
      <c r="AA88" s="44">
        <f t="shared" si="15"/>
        <v>0</v>
      </c>
      <c r="AB88" s="44">
        <f t="shared" si="15"/>
        <v>0</v>
      </c>
      <c r="AC88" s="44">
        <f t="shared" si="15"/>
        <v>0</v>
      </c>
      <c r="AD88" s="44">
        <f t="shared" si="15"/>
        <v>0</v>
      </c>
      <c r="AE88" s="44">
        <f t="shared" si="13"/>
        <v>5.7465418122077717E-4</v>
      </c>
      <c r="AF88" s="44">
        <f t="shared" si="12"/>
        <v>0</v>
      </c>
      <c r="AG88" s="44">
        <f>Table1[[#This Row],[Column2]]/$D$141*0.5</f>
        <v>4.7929195914387274E-4</v>
      </c>
      <c r="AH88" s="44">
        <f>Table1[[#This Row],[Column29]]/$D$141*1.5</f>
        <v>1.4378758774316182E-3</v>
      </c>
    </row>
    <row r="89" spans="3:34">
      <c r="C89" s="44" t="s">
        <v>432</v>
      </c>
      <c r="D89" s="44">
        <v>1.2222716824599651E-3</v>
      </c>
      <c r="E89" s="44">
        <f t="shared" si="14"/>
        <v>0</v>
      </c>
      <c r="F89" s="44">
        <f t="shared" si="14"/>
        <v>0</v>
      </c>
      <c r="G89" s="44">
        <f t="shared" si="14"/>
        <v>0</v>
      </c>
      <c r="H89" s="44">
        <f t="shared" si="14"/>
        <v>0</v>
      </c>
      <c r="I89" s="44">
        <f t="shared" si="14"/>
        <v>0</v>
      </c>
      <c r="J89" s="44">
        <f t="shared" si="14"/>
        <v>0</v>
      </c>
      <c r="K89" s="44">
        <f t="shared" si="14"/>
        <v>1.2222716824599651E-3</v>
      </c>
      <c r="L89" s="44">
        <f t="shared" si="14"/>
        <v>0</v>
      </c>
      <c r="M89" s="44">
        <f t="shared" si="14"/>
        <v>0</v>
      </c>
      <c r="N89" s="44">
        <f t="shared" si="14"/>
        <v>0</v>
      </c>
      <c r="O89" s="44">
        <f t="shared" si="15"/>
        <v>0</v>
      </c>
      <c r="P89" s="44">
        <f t="shared" si="15"/>
        <v>1.2222716824599651E-3</v>
      </c>
      <c r="Q89" s="44">
        <f t="shared" si="15"/>
        <v>0</v>
      </c>
      <c r="R89" s="44">
        <f t="shared" si="15"/>
        <v>1.2222716824599651E-3</v>
      </c>
      <c r="S89" s="44">
        <f t="shared" si="15"/>
        <v>0</v>
      </c>
      <c r="T89" s="44">
        <f t="shared" si="15"/>
        <v>0</v>
      </c>
      <c r="U89" s="44">
        <f t="shared" si="15"/>
        <v>0</v>
      </c>
      <c r="V89" s="44">
        <f t="shared" si="15"/>
        <v>0</v>
      </c>
      <c r="W89" s="44">
        <f t="shared" si="15"/>
        <v>0</v>
      </c>
      <c r="X89" s="44">
        <f t="shared" si="15"/>
        <v>0</v>
      </c>
      <c r="Y89" s="44">
        <f t="shared" si="15"/>
        <v>0</v>
      </c>
      <c r="Z89" s="44">
        <f t="shared" si="15"/>
        <v>0</v>
      </c>
      <c r="AA89" s="44">
        <f t="shared" si="15"/>
        <v>0</v>
      </c>
      <c r="AB89" s="44">
        <f t="shared" si="15"/>
        <v>0</v>
      </c>
      <c r="AC89" s="44">
        <f t="shared" si="15"/>
        <v>0</v>
      </c>
      <c r="AD89" s="44">
        <f t="shared" si="15"/>
        <v>0</v>
      </c>
      <c r="AE89" s="44">
        <f t="shared" si="13"/>
        <v>1.2222716824599651E-3</v>
      </c>
      <c r="AF89" s="44">
        <f t="shared" si="12"/>
        <v>0</v>
      </c>
      <c r="AG89" s="44">
        <f>Table1[[#This Row],[Column2]]/$D$141*0.5</f>
        <v>1.0194391834891135E-3</v>
      </c>
      <c r="AH89" s="44">
        <f>Table1[[#This Row],[Column29]]/$D$141*1.5</f>
        <v>3.0583175504673406E-3</v>
      </c>
    </row>
    <row r="90" spans="3:34">
      <c r="C90" s="44" t="s">
        <v>433</v>
      </c>
      <c r="D90" s="44">
        <v>2.7258832808605706E-3</v>
      </c>
      <c r="E90" s="44">
        <f t="shared" si="14"/>
        <v>0</v>
      </c>
      <c r="F90" s="44">
        <f t="shared" si="14"/>
        <v>0</v>
      </c>
      <c r="G90" s="44">
        <f t="shared" si="14"/>
        <v>0</v>
      </c>
      <c r="H90" s="44">
        <f t="shared" si="14"/>
        <v>0</v>
      </c>
      <c r="I90" s="44">
        <f t="shared" si="14"/>
        <v>0</v>
      </c>
      <c r="J90" s="44">
        <f t="shared" si="14"/>
        <v>0</v>
      </c>
      <c r="K90" s="44">
        <f t="shared" si="14"/>
        <v>2.7258832808605706E-3</v>
      </c>
      <c r="L90" s="44">
        <f t="shared" si="14"/>
        <v>0</v>
      </c>
      <c r="M90" s="44">
        <f t="shared" si="14"/>
        <v>0</v>
      </c>
      <c r="N90" s="44">
        <f t="shared" si="14"/>
        <v>0</v>
      </c>
      <c r="O90" s="44">
        <f t="shared" si="15"/>
        <v>0</v>
      </c>
      <c r="P90" s="44">
        <f t="shared" si="15"/>
        <v>0</v>
      </c>
      <c r="Q90" s="44">
        <f t="shared" si="15"/>
        <v>2.7258832808605706E-3</v>
      </c>
      <c r="R90" s="44">
        <f t="shared" si="15"/>
        <v>2.7258832808605706E-3</v>
      </c>
      <c r="S90" s="44">
        <f t="shared" si="15"/>
        <v>0</v>
      </c>
      <c r="T90" s="44">
        <f t="shared" si="15"/>
        <v>0</v>
      </c>
      <c r="U90" s="44">
        <f t="shared" si="15"/>
        <v>0</v>
      </c>
      <c r="V90" s="44">
        <f t="shared" si="15"/>
        <v>0</v>
      </c>
      <c r="W90" s="44">
        <f t="shared" si="15"/>
        <v>0</v>
      </c>
      <c r="X90" s="44">
        <f t="shared" si="15"/>
        <v>0</v>
      </c>
      <c r="Y90" s="44">
        <f t="shared" si="15"/>
        <v>0</v>
      </c>
      <c r="Z90" s="44">
        <f t="shared" si="15"/>
        <v>0</v>
      </c>
      <c r="AA90" s="44">
        <f t="shared" si="15"/>
        <v>0</v>
      </c>
      <c r="AB90" s="44">
        <f t="shared" si="15"/>
        <v>0</v>
      </c>
      <c r="AC90" s="44">
        <f t="shared" si="15"/>
        <v>0</v>
      </c>
      <c r="AD90" s="44">
        <f t="shared" si="15"/>
        <v>0</v>
      </c>
      <c r="AE90" s="44">
        <f t="shared" si="13"/>
        <v>2.7258832808605706E-3</v>
      </c>
      <c r="AF90" s="44">
        <f t="shared" si="12"/>
        <v>0</v>
      </c>
      <c r="AG90" s="44">
        <f>Table1[[#This Row],[Column2]]/$D$141*0.5</f>
        <v>2.2735307264374477E-3</v>
      </c>
      <c r="AH90" s="44">
        <f>Table1[[#This Row],[Column29]]/$D$141*1.5</f>
        <v>6.8205921793123431E-3</v>
      </c>
    </row>
    <row r="91" spans="3:34">
      <c r="C91" s="44" t="s">
        <v>434</v>
      </c>
      <c r="D91" s="44">
        <v>3.530834565454731E-2</v>
      </c>
      <c r="E91" s="44">
        <f t="shared" si="14"/>
        <v>0</v>
      </c>
      <c r="F91" s="44">
        <f t="shared" si="14"/>
        <v>0</v>
      </c>
      <c r="G91" s="44">
        <f t="shared" si="14"/>
        <v>0</v>
      </c>
      <c r="H91" s="44">
        <f t="shared" si="14"/>
        <v>0</v>
      </c>
      <c r="I91" s="44">
        <f t="shared" si="14"/>
        <v>0</v>
      </c>
      <c r="J91" s="44">
        <f t="shared" si="14"/>
        <v>0</v>
      </c>
      <c r="K91" s="44">
        <f t="shared" si="14"/>
        <v>3.530834565454731E-2</v>
      </c>
      <c r="L91" s="44">
        <f t="shared" si="14"/>
        <v>0</v>
      </c>
      <c r="M91" s="44">
        <f t="shared" si="14"/>
        <v>0</v>
      </c>
      <c r="N91" s="44">
        <f t="shared" si="14"/>
        <v>0</v>
      </c>
      <c r="O91" s="44">
        <f t="shared" si="15"/>
        <v>0</v>
      </c>
      <c r="P91" s="44">
        <f t="shared" si="15"/>
        <v>0</v>
      </c>
      <c r="Q91" s="44">
        <f t="shared" si="15"/>
        <v>0</v>
      </c>
      <c r="R91" s="44">
        <f t="shared" si="15"/>
        <v>7.061669130909462E-2</v>
      </c>
      <c r="S91" s="44">
        <f t="shared" si="15"/>
        <v>0</v>
      </c>
      <c r="T91" s="44">
        <f t="shared" si="15"/>
        <v>0</v>
      </c>
      <c r="U91" s="44">
        <f t="shared" si="15"/>
        <v>0</v>
      </c>
      <c r="V91" s="44">
        <f t="shared" si="15"/>
        <v>0</v>
      </c>
      <c r="W91" s="44">
        <f t="shared" si="15"/>
        <v>0</v>
      </c>
      <c r="X91" s="44">
        <f t="shared" si="15"/>
        <v>0</v>
      </c>
      <c r="Y91" s="44">
        <f t="shared" si="15"/>
        <v>0</v>
      </c>
      <c r="Z91" s="44">
        <f t="shared" si="15"/>
        <v>0</v>
      </c>
      <c r="AA91" s="44">
        <f t="shared" si="15"/>
        <v>0</v>
      </c>
      <c r="AB91" s="44">
        <f t="shared" si="15"/>
        <v>0</v>
      </c>
      <c r="AC91" s="44">
        <f t="shared" si="15"/>
        <v>0</v>
      </c>
      <c r="AD91" s="44">
        <f t="shared" si="15"/>
        <v>0</v>
      </c>
      <c r="AE91" s="44">
        <f t="shared" si="13"/>
        <v>3.530834565454731E-2</v>
      </c>
      <c r="AF91" s="44">
        <f t="shared" si="12"/>
        <v>0</v>
      </c>
      <c r="AG91" s="44">
        <f>Table1[[#This Row],[Column2]]/$D$141*0.5</f>
        <v>2.9449026416107034E-2</v>
      </c>
      <c r="AH91" s="44">
        <f>Table1[[#This Row],[Column29]]/$D$141*1.5</f>
        <v>8.8347079248321109E-2</v>
      </c>
    </row>
    <row r="92" spans="3:34">
      <c r="C92" s="44" t="s">
        <v>435</v>
      </c>
      <c r="D92" s="44">
        <v>1.6816569955652803E-2</v>
      </c>
      <c r="E92" s="44">
        <f t="shared" si="14"/>
        <v>0</v>
      </c>
      <c r="F92" s="44">
        <f t="shared" si="14"/>
        <v>0</v>
      </c>
      <c r="G92" s="44">
        <f t="shared" si="14"/>
        <v>0</v>
      </c>
      <c r="H92" s="44">
        <f t="shared" si="14"/>
        <v>0</v>
      </c>
      <c r="I92" s="44">
        <f t="shared" si="14"/>
        <v>0</v>
      </c>
      <c r="J92" s="44">
        <f t="shared" si="14"/>
        <v>0</v>
      </c>
      <c r="K92" s="44">
        <f t="shared" si="14"/>
        <v>1.6816569955652803E-2</v>
      </c>
      <c r="L92" s="44">
        <f t="shared" si="14"/>
        <v>0</v>
      </c>
      <c r="M92" s="44">
        <f t="shared" si="14"/>
        <v>0</v>
      </c>
      <c r="N92" s="44">
        <f t="shared" si="14"/>
        <v>0</v>
      </c>
      <c r="O92" s="44">
        <f t="shared" si="15"/>
        <v>0</v>
      </c>
      <c r="P92" s="44">
        <f t="shared" si="15"/>
        <v>0</v>
      </c>
      <c r="Q92" s="44">
        <f t="shared" si="15"/>
        <v>0</v>
      </c>
      <c r="R92" s="44">
        <f t="shared" si="15"/>
        <v>1.6816569955652803E-2</v>
      </c>
      <c r="S92" s="44">
        <f t="shared" si="15"/>
        <v>1.6816569955652803E-2</v>
      </c>
      <c r="T92" s="44">
        <f t="shared" si="15"/>
        <v>0</v>
      </c>
      <c r="U92" s="44">
        <f t="shared" si="15"/>
        <v>0</v>
      </c>
      <c r="V92" s="44">
        <f t="shared" si="15"/>
        <v>0</v>
      </c>
      <c r="W92" s="44">
        <f t="shared" si="15"/>
        <v>0</v>
      </c>
      <c r="X92" s="44">
        <f t="shared" si="15"/>
        <v>0</v>
      </c>
      <c r="Y92" s="44">
        <f t="shared" si="15"/>
        <v>0</v>
      </c>
      <c r="Z92" s="44">
        <f t="shared" si="15"/>
        <v>0</v>
      </c>
      <c r="AA92" s="44">
        <f t="shared" si="15"/>
        <v>0</v>
      </c>
      <c r="AB92" s="44">
        <f t="shared" si="15"/>
        <v>0</v>
      </c>
      <c r="AC92" s="44">
        <f t="shared" si="15"/>
        <v>0</v>
      </c>
      <c r="AD92" s="44">
        <f t="shared" si="15"/>
        <v>0</v>
      </c>
      <c r="AE92" s="44">
        <f t="shared" si="13"/>
        <v>1.6816569955652803E-2</v>
      </c>
      <c r="AF92" s="44">
        <f t="shared" si="12"/>
        <v>0</v>
      </c>
      <c r="AG92" s="44">
        <f>Table1[[#This Row],[Column2]]/$D$141*0.5</f>
        <v>1.4025908143576564E-2</v>
      </c>
      <c r="AH92" s="44">
        <f>Table1[[#This Row],[Column29]]/$D$141*1.5</f>
        <v>4.2077724430729692E-2</v>
      </c>
    </row>
    <row r="93" spans="3:34">
      <c r="C93" s="44" t="s">
        <v>436</v>
      </c>
      <c r="D93" s="44">
        <v>6.5646648810753763E-3</v>
      </c>
      <c r="E93" s="44">
        <f t="shared" si="14"/>
        <v>0</v>
      </c>
      <c r="F93" s="44">
        <f t="shared" si="14"/>
        <v>0</v>
      </c>
      <c r="G93" s="44">
        <f t="shared" si="14"/>
        <v>0</v>
      </c>
      <c r="H93" s="44">
        <f t="shared" si="14"/>
        <v>0</v>
      </c>
      <c r="I93" s="44">
        <f t="shared" si="14"/>
        <v>0</v>
      </c>
      <c r="J93" s="44">
        <f t="shared" si="14"/>
        <v>0</v>
      </c>
      <c r="K93" s="44">
        <f t="shared" si="14"/>
        <v>6.5646648810753763E-3</v>
      </c>
      <c r="L93" s="44">
        <f t="shared" si="14"/>
        <v>0</v>
      </c>
      <c r="M93" s="44">
        <f t="shared" si="14"/>
        <v>0</v>
      </c>
      <c r="N93" s="44">
        <f t="shared" si="14"/>
        <v>0</v>
      </c>
      <c r="O93" s="44">
        <f t="shared" si="15"/>
        <v>0</v>
      </c>
      <c r="P93" s="44">
        <f t="shared" si="15"/>
        <v>0</v>
      </c>
      <c r="Q93" s="44">
        <f t="shared" si="15"/>
        <v>0</v>
      </c>
      <c r="R93" s="44">
        <f t="shared" si="15"/>
        <v>6.5646648810753763E-3</v>
      </c>
      <c r="S93" s="44">
        <f t="shared" si="15"/>
        <v>0</v>
      </c>
      <c r="T93" s="44">
        <f t="shared" si="15"/>
        <v>6.5646648810753763E-3</v>
      </c>
      <c r="U93" s="44">
        <f t="shared" si="15"/>
        <v>0</v>
      </c>
      <c r="V93" s="44">
        <f t="shared" si="15"/>
        <v>0</v>
      </c>
      <c r="W93" s="44">
        <f t="shared" si="15"/>
        <v>0</v>
      </c>
      <c r="X93" s="44">
        <f t="shared" si="15"/>
        <v>0</v>
      </c>
      <c r="Y93" s="44">
        <f t="shared" si="15"/>
        <v>0</v>
      </c>
      <c r="Z93" s="44">
        <f t="shared" si="15"/>
        <v>0</v>
      </c>
      <c r="AA93" s="44">
        <f t="shared" si="15"/>
        <v>0</v>
      </c>
      <c r="AB93" s="44">
        <f t="shared" si="15"/>
        <v>0</v>
      </c>
      <c r="AC93" s="44">
        <f t="shared" si="15"/>
        <v>0</v>
      </c>
      <c r="AD93" s="44">
        <f t="shared" si="15"/>
        <v>0</v>
      </c>
      <c r="AE93" s="44">
        <f t="shared" si="13"/>
        <v>6.5646648810753763E-3</v>
      </c>
      <c r="AF93" s="44">
        <f t="shared" si="12"/>
        <v>0</v>
      </c>
      <c r="AG93" s="44">
        <f>Table1[[#This Row],[Column2]]/$D$141*0.5</f>
        <v>5.4752774708599558E-3</v>
      </c>
      <c r="AH93" s="44">
        <f>Table1[[#This Row],[Column29]]/$D$141*1.5</f>
        <v>1.6425832412579867E-2</v>
      </c>
    </row>
    <row r="94" spans="3:34">
      <c r="C94" s="44" t="s">
        <v>437</v>
      </c>
      <c r="D94" s="44">
        <v>3.62298549118509E-3</v>
      </c>
      <c r="E94" s="44">
        <f t="shared" si="14"/>
        <v>0</v>
      </c>
      <c r="F94" s="44">
        <f t="shared" si="14"/>
        <v>0</v>
      </c>
      <c r="G94" s="44">
        <f t="shared" si="14"/>
        <v>0</v>
      </c>
      <c r="H94" s="44">
        <f t="shared" si="14"/>
        <v>0</v>
      </c>
      <c r="I94" s="44">
        <f t="shared" si="14"/>
        <v>0</v>
      </c>
      <c r="J94" s="44">
        <f t="shared" si="14"/>
        <v>0</v>
      </c>
      <c r="K94" s="44">
        <f t="shared" si="14"/>
        <v>3.62298549118509E-3</v>
      </c>
      <c r="L94" s="44">
        <f t="shared" si="14"/>
        <v>0</v>
      </c>
      <c r="M94" s="44">
        <f t="shared" si="14"/>
        <v>0</v>
      </c>
      <c r="N94" s="44">
        <f t="shared" si="14"/>
        <v>0</v>
      </c>
      <c r="O94" s="44">
        <f t="shared" si="15"/>
        <v>0</v>
      </c>
      <c r="P94" s="44">
        <f t="shared" si="15"/>
        <v>0</v>
      </c>
      <c r="Q94" s="44">
        <f t="shared" si="15"/>
        <v>0</v>
      </c>
      <c r="R94" s="44">
        <f t="shared" si="15"/>
        <v>3.62298549118509E-3</v>
      </c>
      <c r="S94" s="44">
        <f t="shared" si="15"/>
        <v>0</v>
      </c>
      <c r="T94" s="44">
        <f t="shared" si="15"/>
        <v>0</v>
      </c>
      <c r="U94" s="44">
        <f t="shared" si="15"/>
        <v>3.62298549118509E-3</v>
      </c>
      <c r="V94" s="44">
        <f t="shared" si="15"/>
        <v>0</v>
      </c>
      <c r="W94" s="44">
        <f t="shared" si="15"/>
        <v>0</v>
      </c>
      <c r="X94" s="44">
        <f t="shared" si="15"/>
        <v>0</v>
      </c>
      <c r="Y94" s="44">
        <f t="shared" si="15"/>
        <v>0</v>
      </c>
      <c r="Z94" s="44">
        <f t="shared" si="15"/>
        <v>0</v>
      </c>
      <c r="AA94" s="44">
        <f t="shared" si="15"/>
        <v>0</v>
      </c>
      <c r="AB94" s="44">
        <f t="shared" si="15"/>
        <v>0</v>
      </c>
      <c r="AC94" s="44">
        <f t="shared" si="15"/>
        <v>0</v>
      </c>
      <c r="AD94" s="44">
        <f t="shared" si="15"/>
        <v>0</v>
      </c>
      <c r="AE94" s="44">
        <f t="shared" si="13"/>
        <v>3.62298549118509E-3</v>
      </c>
      <c r="AF94" s="44">
        <f t="shared" si="12"/>
        <v>0</v>
      </c>
      <c r="AG94" s="44">
        <f>Table1[[#This Row],[Column2]]/$D$141*0.5</f>
        <v>3.0217613840919605E-3</v>
      </c>
      <c r="AH94" s="44">
        <f>Table1[[#This Row],[Column29]]/$D$141*1.5</f>
        <v>9.065284152275881E-3</v>
      </c>
    </row>
    <row r="95" spans="3:34">
      <c r="C95" s="44" t="s">
        <v>438</v>
      </c>
      <c r="D95" s="44">
        <v>1.0345494068099274E-3</v>
      </c>
      <c r="E95" s="44">
        <f t="shared" si="14"/>
        <v>0</v>
      </c>
      <c r="F95" s="44">
        <f t="shared" si="14"/>
        <v>0</v>
      </c>
      <c r="G95" s="44">
        <f t="shared" si="14"/>
        <v>0</v>
      </c>
      <c r="H95" s="44">
        <f t="shared" si="14"/>
        <v>0</v>
      </c>
      <c r="I95" s="44">
        <f t="shared" si="14"/>
        <v>0</v>
      </c>
      <c r="J95" s="44">
        <f t="shared" si="14"/>
        <v>0</v>
      </c>
      <c r="K95" s="44">
        <f t="shared" si="14"/>
        <v>1.0345494068099274E-3</v>
      </c>
      <c r="L95" s="44">
        <f t="shared" si="14"/>
        <v>0</v>
      </c>
      <c r="M95" s="44">
        <f t="shared" si="14"/>
        <v>0</v>
      </c>
      <c r="N95" s="44">
        <f t="shared" si="14"/>
        <v>0</v>
      </c>
      <c r="O95" s="44">
        <f t="shared" si="15"/>
        <v>0</v>
      </c>
      <c r="P95" s="44">
        <f t="shared" si="15"/>
        <v>0</v>
      </c>
      <c r="Q95" s="44">
        <f t="shared" si="15"/>
        <v>0</v>
      </c>
      <c r="R95" s="44">
        <f t="shared" si="15"/>
        <v>1.0345494068099274E-3</v>
      </c>
      <c r="S95" s="44">
        <f t="shared" si="15"/>
        <v>0</v>
      </c>
      <c r="T95" s="44">
        <f t="shared" si="15"/>
        <v>0</v>
      </c>
      <c r="U95" s="44">
        <f t="shared" si="15"/>
        <v>0</v>
      </c>
      <c r="V95" s="44">
        <f t="shared" si="15"/>
        <v>0</v>
      </c>
      <c r="W95" s="44">
        <f t="shared" si="15"/>
        <v>0</v>
      </c>
      <c r="X95" s="44">
        <f t="shared" si="15"/>
        <v>1.0345494068099274E-3</v>
      </c>
      <c r="Y95" s="44">
        <f t="shared" si="15"/>
        <v>0</v>
      </c>
      <c r="Z95" s="44">
        <f t="shared" si="15"/>
        <v>0</v>
      </c>
      <c r="AA95" s="44">
        <f t="shared" si="15"/>
        <v>0</v>
      </c>
      <c r="AB95" s="44">
        <f t="shared" si="15"/>
        <v>0</v>
      </c>
      <c r="AC95" s="44">
        <f t="shared" si="15"/>
        <v>0</v>
      </c>
      <c r="AD95" s="44">
        <f t="shared" si="15"/>
        <v>0</v>
      </c>
      <c r="AE95" s="44">
        <f t="shared" si="13"/>
        <v>1.0345494068099274E-3</v>
      </c>
      <c r="AF95" s="44">
        <f t="shared" si="12"/>
        <v>0</v>
      </c>
      <c r="AG95" s="44">
        <f>Table1[[#This Row],[Column2]]/$D$141*0.5</f>
        <v>8.6286888397416831E-4</v>
      </c>
      <c r="AH95" s="44">
        <f>Table1[[#This Row],[Column29]]/$D$141*1.5</f>
        <v>2.5886066519225049E-3</v>
      </c>
    </row>
    <row r="96" spans="3:34">
      <c r="C96" s="44" t="s">
        <v>439</v>
      </c>
      <c r="D96" s="44">
        <v>4.2384899646501755E-3</v>
      </c>
      <c r="E96" s="44">
        <f t="shared" si="14"/>
        <v>0</v>
      </c>
      <c r="F96" s="44">
        <f t="shared" si="14"/>
        <v>0</v>
      </c>
      <c r="G96" s="44">
        <f t="shared" si="14"/>
        <v>0</v>
      </c>
      <c r="H96" s="44">
        <f t="shared" si="14"/>
        <v>0</v>
      </c>
      <c r="I96" s="44">
        <f t="shared" si="14"/>
        <v>0</v>
      </c>
      <c r="J96" s="44">
        <f t="shared" si="14"/>
        <v>0</v>
      </c>
      <c r="K96" s="44">
        <f t="shared" si="14"/>
        <v>4.2384899646501755E-3</v>
      </c>
      <c r="L96" s="44">
        <f t="shared" si="14"/>
        <v>0</v>
      </c>
      <c r="M96" s="44">
        <f t="shared" si="14"/>
        <v>0</v>
      </c>
      <c r="N96" s="44">
        <f t="shared" si="14"/>
        <v>0</v>
      </c>
      <c r="O96" s="44">
        <f t="shared" si="15"/>
        <v>0</v>
      </c>
      <c r="P96" s="44">
        <f t="shared" si="15"/>
        <v>0</v>
      </c>
      <c r="Q96" s="44">
        <f t="shared" si="15"/>
        <v>0</v>
      </c>
      <c r="R96" s="44">
        <f t="shared" si="15"/>
        <v>4.2384899646501755E-3</v>
      </c>
      <c r="S96" s="44">
        <f t="shared" si="15"/>
        <v>0</v>
      </c>
      <c r="T96" s="44">
        <f t="shared" si="15"/>
        <v>0</v>
      </c>
      <c r="U96" s="44">
        <f t="shared" si="15"/>
        <v>0</v>
      </c>
      <c r="V96" s="44">
        <f t="shared" si="15"/>
        <v>0</v>
      </c>
      <c r="W96" s="44">
        <f t="shared" si="15"/>
        <v>0</v>
      </c>
      <c r="X96" s="44">
        <f t="shared" si="15"/>
        <v>0</v>
      </c>
      <c r="Y96" s="44">
        <f t="shared" si="15"/>
        <v>0</v>
      </c>
      <c r="Z96" s="44">
        <f t="shared" si="15"/>
        <v>0</v>
      </c>
      <c r="AA96" s="44">
        <f t="shared" si="15"/>
        <v>4.2384899646501755E-3</v>
      </c>
      <c r="AB96" s="44">
        <f t="shared" si="15"/>
        <v>0</v>
      </c>
      <c r="AC96" s="44">
        <f t="shared" si="15"/>
        <v>0</v>
      </c>
      <c r="AD96" s="44">
        <f t="shared" si="15"/>
        <v>0</v>
      </c>
      <c r="AE96" s="44">
        <f t="shared" si="13"/>
        <v>4.2384899646501755E-3</v>
      </c>
      <c r="AF96" s="44">
        <f t="shared" si="12"/>
        <v>0</v>
      </c>
      <c r="AG96" s="44">
        <f>Table1[[#This Row],[Column2]]/$D$141*0.5</f>
        <v>3.5351246460144552E-3</v>
      </c>
      <c r="AH96" s="44">
        <f>Table1[[#This Row],[Column29]]/$D$141*1.5</f>
        <v>1.0605373938043366E-2</v>
      </c>
    </row>
    <row r="97" spans="3:34">
      <c r="C97" s="44" t="s">
        <v>440</v>
      </c>
      <c r="D97" s="44">
        <v>1.5926457556904449E-3</v>
      </c>
      <c r="E97" s="44">
        <f t="shared" si="14"/>
        <v>0</v>
      </c>
      <c r="F97" s="44">
        <f t="shared" si="14"/>
        <v>0</v>
      </c>
      <c r="G97" s="44">
        <f t="shared" si="14"/>
        <v>0</v>
      </c>
      <c r="H97" s="44">
        <f t="shared" si="14"/>
        <v>0</v>
      </c>
      <c r="I97" s="44">
        <f t="shared" si="14"/>
        <v>0</v>
      </c>
      <c r="J97" s="44">
        <f t="shared" si="14"/>
        <v>0</v>
      </c>
      <c r="K97" s="44">
        <f t="shared" si="14"/>
        <v>1.5926457556904449E-3</v>
      </c>
      <c r="L97" s="44">
        <f t="shared" si="14"/>
        <v>0</v>
      </c>
      <c r="M97" s="44">
        <f t="shared" si="14"/>
        <v>0</v>
      </c>
      <c r="N97" s="44">
        <f t="shared" si="14"/>
        <v>0</v>
      </c>
      <c r="O97" s="44">
        <f t="shared" si="15"/>
        <v>0</v>
      </c>
      <c r="P97" s="44">
        <f t="shared" si="15"/>
        <v>0</v>
      </c>
      <c r="Q97" s="44">
        <f t="shared" si="15"/>
        <v>0</v>
      </c>
      <c r="R97" s="44">
        <f t="shared" si="15"/>
        <v>1.5926457556904449E-3</v>
      </c>
      <c r="S97" s="44">
        <f t="shared" si="15"/>
        <v>0</v>
      </c>
      <c r="T97" s="44">
        <f t="shared" si="15"/>
        <v>0</v>
      </c>
      <c r="U97" s="44">
        <f t="shared" si="15"/>
        <v>0</v>
      </c>
      <c r="V97" s="44">
        <f t="shared" si="15"/>
        <v>0</v>
      </c>
      <c r="W97" s="44">
        <f t="shared" si="15"/>
        <v>0</v>
      </c>
      <c r="X97" s="44">
        <f t="shared" si="15"/>
        <v>0</v>
      </c>
      <c r="Y97" s="44">
        <f t="shared" si="15"/>
        <v>0</v>
      </c>
      <c r="Z97" s="44">
        <f t="shared" si="15"/>
        <v>0</v>
      </c>
      <c r="AA97" s="44">
        <f t="shared" si="15"/>
        <v>0</v>
      </c>
      <c r="AB97" s="44">
        <f t="shared" si="15"/>
        <v>1.5926457556904449E-3</v>
      </c>
      <c r="AC97" s="44">
        <f t="shared" si="15"/>
        <v>0</v>
      </c>
      <c r="AD97" s="44">
        <f t="shared" si="15"/>
        <v>0</v>
      </c>
      <c r="AE97" s="44">
        <f t="shared" si="13"/>
        <v>1.5926457556904451E-3</v>
      </c>
      <c r="AF97" s="44">
        <f t="shared" si="12"/>
        <v>0</v>
      </c>
      <c r="AG97" s="44">
        <f>Table1[[#This Row],[Column2]]/$D$141*0.5</f>
        <v>1.3283507358206753E-3</v>
      </c>
      <c r="AH97" s="44">
        <f>Table1[[#This Row],[Column29]]/$D$141*1.5</f>
        <v>3.9850522074620261E-3</v>
      </c>
    </row>
    <row r="98" spans="3:34">
      <c r="C98" s="44" t="s">
        <v>441</v>
      </c>
      <c r="D98" s="44">
        <v>2.3375190368520923E-3</v>
      </c>
      <c r="E98" s="44">
        <f t="shared" si="14"/>
        <v>0</v>
      </c>
      <c r="F98" s="44">
        <f t="shared" si="14"/>
        <v>0</v>
      </c>
      <c r="G98" s="44">
        <f t="shared" si="14"/>
        <v>0</v>
      </c>
      <c r="H98" s="44">
        <f t="shared" si="14"/>
        <v>0</v>
      </c>
      <c r="I98" s="44">
        <f t="shared" si="14"/>
        <v>0</v>
      </c>
      <c r="J98" s="44">
        <f t="shared" si="14"/>
        <v>0</v>
      </c>
      <c r="K98" s="44">
        <f t="shared" si="14"/>
        <v>2.3375190368520923E-3</v>
      </c>
      <c r="L98" s="44">
        <f t="shared" si="14"/>
        <v>0</v>
      </c>
      <c r="M98" s="44">
        <f t="shared" si="14"/>
        <v>0</v>
      </c>
      <c r="N98" s="44">
        <f t="shared" si="14"/>
        <v>0</v>
      </c>
      <c r="O98" s="44">
        <f t="shared" si="15"/>
        <v>0</v>
      </c>
      <c r="P98" s="44">
        <f t="shared" si="15"/>
        <v>0</v>
      </c>
      <c r="Q98" s="44">
        <f t="shared" si="15"/>
        <v>0</v>
      </c>
      <c r="R98" s="44">
        <f t="shared" si="15"/>
        <v>2.3375190368520923E-3</v>
      </c>
      <c r="S98" s="44">
        <f t="shared" si="15"/>
        <v>0</v>
      </c>
      <c r="T98" s="44">
        <f t="shared" si="15"/>
        <v>0</v>
      </c>
      <c r="U98" s="44">
        <f t="shared" si="15"/>
        <v>0</v>
      </c>
      <c r="V98" s="44">
        <f t="shared" si="15"/>
        <v>0</v>
      </c>
      <c r="W98" s="44">
        <f t="shared" si="15"/>
        <v>0</v>
      </c>
      <c r="X98" s="44">
        <f t="shared" si="15"/>
        <v>0</v>
      </c>
      <c r="Y98" s="44">
        <f t="shared" si="15"/>
        <v>0</v>
      </c>
      <c r="Z98" s="44">
        <f t="shared" si="15"/>
        <v>0</v>
      </c>
      <c r="AA98" s="44">
        <f t="shared" si="15"/>
        <v>0</v>
      </c>
      <c r="AB98" s="44">
        <f t="shared" si="15"/>
        <v>0</v>
      </c>
      <c r="AC98" s="44">
        <f t="shared" si="15"/>
        <v>2.3375190368520923E-3</v>
      </c>
      <c r="AD98" s="44">
        <f t="shared" si="15"/>
        <v>0</v>
      </c>
      <c r="AE98" s="44">
        <f t="shared" si="13"/>
        <v>2.3375190368520923E-3</v>
      </c>
      <c r="AF98" s="44">
        <f t="shared" si="12"/>
        <v>0</v>
      </c>
      <c r="AG98" s="44">
        <f>Table1[[#This Row],[Column2]]/$D$141*0.5</f>
        <v>1.9496144208485406E-3</v>
      </c>
      <c r="AH98" s="44">
        <f>Table1[[#This Row],[Column29]]/$D$141*1.5</f>
        <v>5.8488432625456218E-3</v>
      </c>
    </row>
    <row r="99" spans="3:34">
      <c r="C99" s="44" t="s">
        <v>442</v>
      </c>
      <c r="D99" s="44">
        <v>7.313978411394014E-3</v>
      </c>
      <c r="E99" s="44">
        <f t="shared" si="14"/>
        <v>0</v>
      </c>
      <c r="F99" s="44">
        <f t="shared" si="14"/>
        <v>0</v>
      </c>
      <c r="G99" s="44">
        <f t="shared" si="14"/>
        <v>0</v>
      </c>
      <c r="H99" s="44">
        <f t="shared" si="14"/>
        <v>0</v>
      </c>
      <c r="I99" s="44">
        <f t="shared" si="14"/>
        <v>0</v>
      </c>
      <c r="J99" s="44">
        <f t="shared" si="14"/>
        <v>0</v>
      </c>
      <c r="K99" s="44">
        <f t="shared" si="14"/>
        <v>7.313978411394014E-3</v>
      </c>
      <c r="L99" s="44">
        <f t="shared" si="14"/>
        <v>0</v>
      </c>
      <c r="M99" s="44">
        <f t="shared" si="14"/>
        <v>0</v>
      </c>
      <c r="N99" s="44">
        <f t="shared" si="14"/>
        <v>0</v>
      </c>
      <c r="O99" s="44">
        <f t="shared" si="15"/>
        <v>0</v>
      </c>
      <c r="P99" s="44">
        <f t="shared" si="15"/>
        <v>0</v>
      </c>
      <c r="Q99" s="44">
        <f t="shared" si="15"/>
        <v>0</v>
      </c>
      <c r="R99" s="44">
        <f t="shared" si="15"/>
        <v>7.313978411394014E-3</v>
      </c>
      <c r="S99" s="44">
        <f t="shared" si="15"/>
        <v>0</v>
      </c>
      <c r="T99" s="44">
        <f t="shared" si="15"/>
        <v>0</v>
      </c>
      <c r="U99" s="44">
        <f t="shared" si="15"/>
        <v>0</v>
      </c>
      <c r="V99" s="44">
        <f t="shared" si="15"/>
        <v>0</v>
      </c>
      <c r="W99" s="44">
        <f t="shared" si="15"/>
        <v>0</v>
      </c>
      <c r="X99" s="44">
        <f t="shared" si="15"/>
        <v>0</v>
      </c>
      <c r="Y99" s="44">
        <f t="shared" si="15"/>
        <v>0</v>
      </c>
      <c r="Z99" s="44">
        <f t="shared" si="15"/>
        <v>0</v>
      </c>
      <c r="AA99" s="44">
        <f t="shared" si="15"/>
        <v>0</v>
      </c>
      <c r="AB99" s="44">
        <f t="shared" si="15"/>
        <v>0</v>
      </c>
      <c r="AC99" s="44">
        <f t="shared" si="15"/>
        <v>0</v>
      </c>
      <c r="AD99" s="44">
        <f t="shared" si="15"/>
        <v>7.313978411394014E-3</v>
      </c>
      <c r="AE99" s="44">
        <f t="shared" si="13"/>
        <v>7.313978411394014E-3</v>
      </c>
      <c r="AF99" s="44">
        <f t="shared" si="12"/>
        <v>0</v>
      </c>
      <c r="AG99" s="44">
        <f>Table1[[#This Row],[Column2]]/$D$141*0.5</f>
        <v>6.1002445583637583E-3</v>
      </c>
      <c r="AH99" s="44">
        <f>Table1[[#This Row],[Column29]]/$D$141*1.5</f>
        <v>1.8300733675091274E-2</v>
      </c>
    </row>
    <row r="100" spans="3:34">
      <c r="C100" s="44" t="s">
        <v>443</v>
      </c>
      <c r="D100" s="44">
        <v>5.9524261392483353E-3</v>
      </c>
      <c r="E100" s="44">
        <f>((LEN($C100)-LEN(SUBSTITUTE($C100,E$3,"")))/4)*$D100</f>
        <v>0</v>
      </c>
      <c r="F100" s="44">
        <f t="shared" ref="E100:T115" si="16">((LEN($C100)-LEN(SUBSTITUTE($C100,F$3,"")))/4)*$D100</f>
        <v>0</v>
      </c>
      <c r="G100" s="44">
        <f t="shared" si="16"/>
        <v>0</v>
      </c>
      <c r="H100" s="44">
        <f t="shared" si="16"/>
        <v>0</v>
      </c>
      <c r="I100" s="44">
        <f t="shared" si="16"/>
        <v>0</v>
      </c>
      <c r="J100" s="44">
        <f t="shared" si="16"/>
        <v>0</v>
      </c>
      <c r="K100" s="44">
        <f t="shared" si="16"/>
        <v>5.9524261392483353E-3</v>
      </c>
      <c r="L100" s="44">
        <f t="shared" si="16"/>
        <v>5.9524261392483353E-3</v>
      </c>
      <c r="M100" s="44">
        <f t="shared" si="16"/>
        <v>0</v>
      </c>
      <c r="N100" s="44">
        <f t="shared" si="16"/>
        <v>0</v>
      </c>
      <c r="O100" s="44">
        <f t="shared" si="16"/>
        <v>0</v>
      </c>
      <c r="P100" s="44">
        <f t="shared" si="16"/>
        <v>0</v>
      </c>
      <c r="Q100" s="44">
        <f t="shared" si="16"/>
        <v>0</v>
      </c>
      <c r="R100" s="44">
        <f t="shared" si="16"/>
        <v>5.9524261392483353E-3</v>
      </c>
      <c r="S100" s="44">
        <f t="shared" si="16"/>
        <v>1.7857278417745006E-2</v>
      </c>
      <c r="T100" s="44">
        <f t="shared" si="16"/>
        <v>0</v>
      </c>
      <c r="U100" s="44">
        <f t="shared" ref="O100:AD115" si="17">((LEN($C100)-LEN(SUBSTITUTE($C100,U$3,"")))/4)*$D100</f>
        <v>0</v>
      </c>
      <c r="V100" s="44">
        <f t="shared" si="17"/>
        <v>0</v>
      </c>
      <c r="W100" s="44">
        <f t="shared" si="17"/>
        <v>0</v>
      </c>
      <c r="X100" s="44">
        <f t="shared" si="17"/>
        <v>0</v>
      </c>
      <c r="Y100" s="44">
        <f t="shared" si="17"/>
        <v>0</v>
      </c>
      <c r="Z100" s="44">
        <f t="shared" si="17"/>
        <v>0</v>
      </c>
      <c r="AA100" s="44">
        <f t="shared" si="17"/>
        <v>0</v>
      </c>
      <c r="AB100" s="44">
        <f t="shared" si="17"/>
        <v>0</v>
      </c>
      <c r="AC100" s="44">
        <f t="shared" si="17"/>
        <v>0</v>
      </c>
      <c r="AD100" s="44">
        <f t="shared" si="17"/>
        <v>0</v>
      </c>
      <c r="AE100" s="44">
        <f t="shared" si="13"/>
        <v>5.9524261392483353E-3</v>
      </c>
      <c r="AF100" s="44">
        <f t="shared" si="12"/>
        <v>0</v>
      </c>
      <c r="AG100" s="44">
        <f>Table1[[#This Row],[Column2]]/$D$141*0.5</f>
        <v>4.964638001726215E-3</v>
      </c>
      <c r="AH100" s="44">
        <f>Table1[[#This Row],[Column29]]/$D$141*1.5</f>
        <v>1.4893914005178645E-2</v>
      </c>
    </row>
    <row r="101" spans="3:34">
      <c r="C101" s="44" t="s">
        <v>444</v>
      </c>
      <c r="D101" s="44">
        <v>2.9572632320928843E-3</v>
      </c>
      <c r="E101" s="44">
        <f t="shared" si="16"/>
        <v>0</v>
      </c>
      <c r="F101" s="44">
        <f t="shared" si="16"/>
        <v>0</v>
      </c>
      <c r="G101" s="44">
        <f t="shared" si="16"/>
        <v>0</v>
      </c>
      <c r="H101" s="44">
        <f t="shared" si="16"/>
        <v>0</v>
      </c>
      <c r="I101" s="44">
        <f t="shared" si="16"/>
        <v>0</v>
      </c>
      <c r="J101" s="44">
        <f t="shared" si="16"/>
        <v>0</v>
      </c>
      <c r="K101" s="44">
        <f t="shared" si="16"/>
        <v>2.9572632320928843E-3</v>
      </c>
      <c r="L101" s="44">
        <f t="shared" si="16"/>
        <v>2.9572632320928843E-3</v>
      </c>
      <c r="M101" s="44">
        <f t="shared" si="16"/>
        <v>0</v>
      </c>
      <c r="N101" s="44">
        <f t="shared" si="16"/>
        <v>0</v>
      </c>
      <c r="O101" s="44">
        <f t="shared" si="17"/>
        <v>0</v>
      </c>
      <c r="P101" s="44">
        <f t="shared" si="17"/>
        <v>0</v>
      </c>
      <c r="Q101" s="44">
        <f t="shared" si="17"/>
        <v>0</v>
      </c>
      <c r="R101" s="44">
        <f t="shared" si="17"/>
        <v>0</v>
      </c>
      <c r="S101" s="44">
        <f t="shared" si="17"/>
        <v>8.8717896962786525E-3</v>
      </c>
      <c r="T101" s="44">
        <f t="shared" si="17"/>
        <v>2.9572632320928843E-3</v>
      </c>
      <c r="U101" s="44">
        <f t="shared" si="17"/>
        <v>0</v>
      </c>
      <c r="V101" s="44">
        <f t="shared" si="17"/>
        <v>0</v>
      </c>
      <c r="W101" s="44">
        <f t="shared" si="17"/>
        <v>0</v>
      </c>
      <c r="X101" s="44">
        <f t="shared" si="17"/>
        <v>0</v>
      </c>
      <c r="Y101" s="44">
        <f t="shared" si="17"/>
        <v>0</v>
      </c>
      <c r="Z101" s="44">
        <f t="shared" si="17"/>
        <v>0</v>
      </c>
      <c r="AA101" s="44">
        <f t="shared" si="17"/>
        <v>0</v>
      </c>
      <c r="AB101" s="44">
        <f t="shared" si="17"/>
        <v>0</v>
      </c>
      <c r="AC101" s="44">
        <f t="shared" si="17"/>
        <v>0</v>
      </c>
      <c r="AD101" s="44">
        <f t="shared" si="17"/>
        <v>0</v>
      </c>
      <c r="AE101" s="44">
        <f t="shared" si="13"/>
        <v>2.9572632320928843E-3</v>
      </c>
      <c r="AF101" s="44">
        <f t="shared" si="12"/>
        <v>0</v>
      </c>
      <c r="AG101" s="44">
        <f>Table1[[#This Row],[Column2]]/$D$141*0.5</f>
        <v>2.4665138348125754E-3</v>
      </c>
      <c r="AH101" s="44">
        <f>Table1[[#This Row],[Column29]]/$D$141*1.5</f>
        <v>7.3995415044377268E-3</v>
      </c>
    </row>
    <row r="102" spans="3:34">
      <c r="C102" s="44" t="s">
        <v>445</v>
      </c>
      <c r="D102" s="44">
        <v>2.5271892927774542E-3</v>
      </c>
      <c r="E102" s="44">
        <f t="shared" si="16"/>
        <v>0</v>
      </c>
      <c r="F102" s="44">
        <f t="shared" si="16"/>
        <v>0</v>
      </c>
      <c r="G102" s="44">
        <f t="shared" si="16"/>
        <v>0</v>
      </c>
      <c r="H102" s="44">
        <f t="shared" si="16"/>
        <v>0</v>
      </c>
      <c r="I102" s="44">
        <f t="shared" si="16"/>
        <v>0</v>
      </c>
      <c r="J102" s="44">
        <f t="shared" si="16"/>
        <v>0</v>
      </c>
      <c r="K102" s="44">
        <f t="shared" si="16"/>
        <v>2.5271892927774542E-3</v>
      </c>
      <c r="L102" s="44">
        <f t="shared" si="16"/>
        <v>0</v>
      </c>
      <c r="M102" s="44">
        <f t="shared" si="16"/>
        <v>0</v>
      </c>
      <c r="N102" s="44">
        <f t="shared" si="16"/>
        <v>0</v>
      </c>
      <c r="O102" s="44">
        <f t="shared" si="17"/>
        <v>0</v>
      </c>
      <c r="P102" s="44">
        <f t="shared" si="17"/>
        <v>0</v>
      </c>
      <c r="Q102" s="44">
        <f t="shared" si="17"/>
        <v>0</v>
      </c>
      <c r="R102" s="44">
        <f t="shared" si="17"/>
        <v>0</v>
      </c>
      <c r="S102" s="44">
        <f t="shared" si="17"/>
        <v>2.5271892927774542E-3</v>
      </c>
      <c r="T102" s="44">
        <f t="shared" si="17"/>
        <v>2.5271892927774542E-3</v>
      </c>
      <c r="U102" s="44">
        <f t="shared" si="17"/>
        <v>0</v>
      </c>
      <c r="V102" s="44">
        <f t="shared" si="17"/>
        <v>0</v>
      </c>
      <c r="W102" s="44">
        <f t="shared" si="17"/>
        <v>0</v>
      </c>
      <c r="X102" s="44">
        <f t="shared" si="17"/>
        <v>0</v>
      </c>
      <c r="Y102" s="44">
        <f t="shared" si="17"/>
        <v>0</v>
      </c>
      <c r="Z102" s="44">
        <f t="shared" si="17"/>
        <v>0</v>
      </c>
      <c r="AA102" s="44">
        <f t="shared" si="17"/>
        <v>0</v>
      </c>
      <c r="AB102" s="44">
        <f t="shared" si="17"/>
        <v>0</v>
      </c>
      <c r="AC102" s="44">
        <f t="shared" si="17"/>
        <v>0</v>
      </c>
      <c r="AD102" s="44">
        <f t="shared" si="17"/>
        <v>0</v>
      </c>
      <c r="AE102" s="44">
        <f t="shared" si="13"/>
        <v>2.5271892927774542E-3</v>
      </c>
      <c r="AF102" s="44">
        <f t="shared" si="12"/>
        <v>0</v>
      </c>
      <c r="AG102" s="44">
        <f>Table1[[#This Row],[Column2]]/$D$141*0.5</f>
        <v>2.1078094388690578E-3</v>
      </c>
      <c r="AH102" s="44">
        <f>Table1[[#This Row],[Column29]]/$D$141*1.5</f>
        <v>6.3234283166071735E-3</v>
      </c>
    </row>
    <row r="103" spans="3:34">
      <c r="C103" s="44" t="s">
        <v>446</v>
      </c>
      <c r="D103" s="44">
        <v>9.5989592743498504E-4</v>
      </c>
      <c r="E103" s="44">
        <f t="shared" si="16"/>
        <v>0</v>
      </c>
      <c r="F103" s="44">
        <f t="shared" si="16"/>
        <v>0</v>
      </c>
      <c r="G103" s="44">
        <f t="shared" si="16"/>
        <v>0</v>
      </c>
      <c r="H103" s="44">
        <f t="shared" si="16"/>
        <v>0</v>
      </c>
      <c r="I103" s="44">
        <f t="shared" si="16"/>
        <v>0</v>
      </c>
      <c r="J103" s="44">
        <f t="shared" si="16"/>
        <v>0</v>
      </c>
      <c r="K103" s="44">
        <f t="shared" si="16"/>
        <v>9.5989592743498504E-4</v>
      </c>
      <c r="L103" s="44">
        <f t="shared" si="16"/>
        <v>0</v>
      </c>
      <c r="M103" s="44">
        <f t="shared" si="16"/>
        <v>0</v>
      </c>
      <c r="N103" s="44">
        <f t="shared" si="16"/>
        <v>0</v>
      </c>
      <c r="O103" s="44">
        <f t="shared" si="17"/>
        <v>0</v>
      </c>
      <c r="P103" s="44">
        <f t="shared" si="17"/>
        <v>0</v>
      </c>
      <c r="Q103" s="44">
        <f t="shared" si="17"/>
        <v>0</v>
      </c>
      <c r="R103" s="44">
        <f t="shared" si="17"/>
        <v>0</v>
      </c>
      <c r="S103" s="44">
        <f t="shared" si="17"/>
        <v>9.5989592743498504E-4</v>
      </c>
      <c r="T103" s="44">
        <f t="shared" si="17"/>
        <v>0</v>
      </c>
      <c r="U103" s="44">
        <f t="shared" si="17"/>
        <v>0</v>
      </c>
      <c r="V103" s="44">
        <f t="shared" si="17"/>
        <v>0</v>
      </c>
      <c r="W103" s="44">
        <f t="shared" si="17"/>
        <v>0</v>
      </c>
      <c r="X103" s="44">
        <f t="shared" si="17"/>
        <v>9.5989592743498504E-4</v>
      </c>
      <c r="Y103" s="44">
        <f t="shared" si="17"/>
        <v>0</v>
      </c>
      <c r="Z103" s="44">
        <f t="shared" si="17"/>
        <v>0</v>
      </c>
      <c r="AA103" s="44">
        <f t="shared" si="17"/>
        <v>0</v>
      </c>
      <c r="AB103" s="44">
        <f t="shared" si="17"/>
        <v>0</v>
      </c>
      <c r="AC103" s="44">
        <f t="shared" si="17"/>
        <v>0</v>
      </c>
      <c r="AD103" s="44">
        <f t="shared" si="17"/>
        <v>0</v>
      </c>
      <c r="AE103" s="44">
        <f t="shared" si="13"/>
        <v>9.5989592743498493E-4</v>
      </c>
      <c r="AF103" s="44">
        <f t="shared" si="12"/>
        <v>0</v>
      </c>
      <c r="AG103" s="44">
        <f>Table1[[#This Row],[Column2]]/$D$141*0.5</f>
        <v>8.0060393654002423E-4</v>
      </c>
      <c r="AH103" s="44">
        <f>Table1[[#This Row],[Column29]]/$D$141*1.5</f>
        <v>2.4018118096200726E-3</v>
      </c>
    </row>
    <row r="104" spans="3:34">
      <c r="C104" s="44" t="s">
        <v>447</v>
      </c>
      <c r="D104" s="44">
        <v>8.2714680102535982E-4</v>
      </c>
      <c r="E104" s="44">
        <f t="shared" si="16"/>
        <v>0</v>
      </c>
      <c r="F104" s="44">
        <f t="shared" si="16"/>
        <v>0</v>
      </c>
      <c r="G104" s="44">
        <f t="shared" si="16"/>
        <v>0</v>
      </c>
      <c r="H104" s="44">
        <f t="shared" si="16"/>
        <v>0</v>
      </c>
      <c r="I104" s="44">
        <f t="shared" si="16"/>
        <v>0</v>
      </c>
      <c r="J104" s="44">
        <f t="shared" si="16"/>
        <v>0</v>
      </c>
      <c r="K104" s="44">
        <f t="shared" si="16"/>
        <v>8.2714680102535982E-4</v>
      </c>
      <c r="L104" s="44">
        <f t="shared" si="16"/>
        <v>0</v>
      </c>
      <c r="M104" s="44">
        <f t="shared" si="16"/>
        <v>0</v>
      </c>
      <c r="N104" s="44">
        <f t="shared" si="16"/>
        <v>0</v>
      </c>
      <c r="O104" s="44">
        <f t="shared" si="17"/>
        <v>0</v>
      </c>
      <c r="P104" s="44">
        <f t="shared" si="17"/>
        <v>0</v>
      </c>
      <c r="Q104" s="44">
        <f t="shared" si="17"/>
        <v>0</v>
      </c>
      <c r="R104" s="44">
        <f t="shared" si="17"/>
        <v>0</v>
      </c>
      <c r="S104" s="44">
        <f t="shared" si="17"/>
        <v>0</v>
      </c>
      <c r="T104" s="44">
        <f t="shared" si="17"/>
        <v>8.2714680102535982E-4</v>
      </c>
      <c r="U104" s="44">
        <f t="shared" si="17"/>
        <v>8.2714680102535982E-4</v>
      </c>
      <c r="V104" s="44">
        <f t="shared" si="17"/>
        <v>0</v>
      </c>
      <c r="W104" s="44">
        <f t="shared" si="17"/>
        <v>0</v>
      </c>
      <c r="X104" s="44">
        <f t="shared" si="17"/>
        <v>0</v>
      </c>
      <c r="Y104" s="44">
        <f t="shared" si="17"/>
        <v>0</v>
      </c>
      <c r="Z104" s="44">
        <f t="shared" si="17"/>
        <v>0</v>
      </c>
      <c r="AA104" s="44">
        <f t="shared" si="17"/>
        <v>0</v>
      </c>
      <c r="AB104" s="44">
        <f t="shared" si="17"/>
        <v>0</v>
      </c>
      <c r="AC104" s="44">
        <f t="shared" si="17"/>
        <v>0</v>
      </c>
      <c r="AD104" s="44">
        <f t="shared" si="17"/>
        <v>0</v>
      </c>
      <c r="AE104" s="44">
        <f t="shared" si="13"/>
        <v>8.2714680102535982E-4</v>
      </c>
      <c r="AF104" s="44">
        <f t="shared" si="12"/>
        <v>0</v>
      </c>
      <c r="AG104" s="44">
        <f>Table1[[#This Row],[Column2]]/$D$141*0.5</f>
        <v>6.8988414896910169E-4</v>
      </c>
      <c r="AH104" s="44">
        <f>Table1[[#This Row],[Column29]]/$D$141*1.5</f>
        <v>2.0696524469073049E-3</v>
      </c>
    </row>
    <row r="105" spans="3:34">
      <c r="C105" s="44" t="s">
        <v>448</v>
      </c>
      <c r="D105" s="44">
        <v>1.9101665405683657E-4</v>
      </c>
      <c r="E105" s="44">
        <f t="shared" si="16"/>
        <v>0</v>
      </c>
      <c r="F105" s="44">
        <f t="shared" si="16"/>
        <v>0</v>
      </c>
      <c r="G105" s="44">
        <f t="shared" si="16"/>
        <v>0</v>
      </c>
      <c r="H105" s="44">
        <f t="shared" si="16"/>
        <v>0</v>
      </c>
      <c r="I105" s="44">
        <f t="shared" si="16"/>
        <v>0</v>
      </c>
      <c r="J105" s="44">
        <f t="shared" si="16"/>
        <v>0</v>
      </c>
      <c r="K105" s="44">
        <f t="shared" si="16"/>
        <v>1.9101665405683657E-4</v>
      </c>
      <c r="L105" s="44">
        <f t="shared" si="16"/>
        <v>0</v>
      </c>
      <c r="M105" s="44">
        <f t="shared" si="16"/>
        <v>0</v>
      </c>
      <c r="N105" s="44">
        <f t="shared" si="16"/>
        <v>0</v>
      </c>
      <c r="O105" s="44">
        <f t="shared" si="17"/>
        <v>0</v>
      </c>
      <c r="P105" s="44">
        <f t="shared" si="17"/>
        <v>0</v>
      </c>
      <c r="Q105" s="44">
        <f t="shared" si="17"/>
        <v>0</v>
      </c>
      <c r="R105" s="44">
        <f t="shared" si="17"/>
        <v>0</v>
      </c>
      <c r="S105" s="44">
        <f t="shared" si="17"/>
        <v>0</v>
      </c>
      <c r="T105" s="44">
        <f t="shared" si="17"/>
        <v>1.9101665405683657E-4</v>
      </c>
      <c r="U105" s="44">
        <f t="shared" si="17"/>
        <v>0</v>
      </c>
      <c r="V105" s="44">
        <f t="shared" si="17"/>
        <v>1.9101665405683657E-4</v>
      </c>
      <c r="W105" s="44">
        <f t="shared" si="17"/>
        <v>0</v>
      </c>
      <c r="X105" s="44">
        <f t="shared" si="17"/>
        <v>0</v>
      </c>
      <c r="Y105" s="44">
        <f t="shared" si="17"/>
        <v>0</v>
      </c>
      <c r="Z105" s="44">
        <f t="shared" si="17"/>
        <v>0</v>
      </c>
      <c r="AA105" s="44">
        <f t="shared" si="17"/>
        <v>0</v>
      </c>
      <c r="AB105" s="44">
        <f t="shared" si="17"/>
        <v>0</v>
      </c>
      <c r="AC105" s="44">
        <f t="shared" si="17"/>
        <v>0</v>
      </c>
      <c r="AD105" s="44">
        <f t="shared" si="17"/>
        <v>0</v>
      </c>
      <c r="AE105" s="44">
        <f t="shared" si="13"/>
        <v>1.9101665405683657E-4</v>
      </c>
      <c r="AF105" s="44">
        <f t="shared" si="12"/>
        <v>0</v>
      </c>
      <c r="AG105" s="44">
        <f>Table1[[#This Row],[Column2]]/$D$141*0.5</f>
        <v>1.5931798522289846E-4</v>
      </c>
      <c r="AH105" s="44">
        <f>Table1[[#This Row],[Column29]]/$D$141*1.5</f>
        <v>4.7795395566869537E-4</v>
      </c>
    </row>
    <row r="106" spans="3:34">
      <c r="C106" s="44" t="s">
        <v>449</v>
      </c>
      <c r="D106" s="44">
        <v>6.7824089703804181E-4</v>
      </c>
      <c r="E106" s="44">
        <f t="shared" si="16"/>
        <v>0</v>
      </c>
      <c r="F106" s="44">
        <f t="shared" si="16"/>
        <v>0</v>
      </c>
      <c r="G106" s="44">
        <f t="shared" si="16"/>
        <v>0</v>
      </c>
      <c r="H106" s="44">
        <f t="shared" si="16"/>
        <v>0</v>
      </c>
      <c r="I106" s="44">
        <f t="shared" si="16"/>
        <v>0</v>
      </c>
      <c r="J106" s="44">
        <f t="shared" si="16"/>
        <v>0</v>
      </c>
      <c r="K106" s="44">
        <f t="shared" si="16"/>
        <v>6.7824089703804181E-4</v>
      </c>
      <c r="L106" s="44">
        <f t="shared" si="16"/>
        <v>0</v>
      </c>
      <c r="M106" s="44">
        <f t="shared" si="16"/>
        <v>0</v>
      </c>
      <c r="N106" s="44">
        <f t="shared" si="16"/>
        <v>0</v>
      </c>
      <c r="O106" s="44">
        <f t="shared" si="17"/>
        <v>0</v>
      </c>
      <c r="P106" s="44">
        <f t="shared" si="17"/>
        <v>0</v>
      </c>
      <c r="Q106" s="44">
        <f t="shared" si="17"/>
        <v>0</v>
      </c>
      <c r="R106" s="44">
        <f t="shared" si="17"/>
        <v>0</v>
      </c>
      <c r="S106" s="44">
        <f t="shared" si="17"/>
        <v>0</v>
      </c>
      <c r="T106" s="44">
        <f t="shared" si="17"/>
        <v>0</v>
      </c>
      <c r="U106" s="44">
        <f t="shared" si="17"/>
        <v>1.3564817940760836E-3</v>
      </c>
      <c r="V106" s="44">
        <f t="shared" si="17"/>
        <v>0</v>
      </c>
      <c r="W106" s="44">
        <f t="shared" si="17"/>
        <v>0</v>
      </c>
      <c r="X106" s="44">
        <f t="shared" si="17"/>
        <v>0</v>
      </c>
      <c r="Y106" s="44">
        <f t="shared" si="17"/>
        <v>0</v>
      </c>
      <c r="Z106" s="44">
        <f t="shared" si="17"/>
        <v>0</v>
      </c>
      <c r="AA106" s="44">
        <f t="shared" si="17"/>
        <v>0</v>
      </c>
      <c r="AB106" s="44">
        <f t="shared" si="17"/>
        <v>0</v>
      </c>
      <c r="AC106" s="44">
        <f t="shared" si="17"/>
        <v>0</v>
      </c>
      <c r="AD106" s="44">
        <f t="shared" si="17"/>
        <v>0</v>
      </c>
      <c r="AE106" s="44">
        <f t="shared" si="13"/>
        <v>6.782408970380417E-4</v>
      </c>
      <c r="AF106" s="44">
        <f t="shared" si="12"/>
        <v>0</v>
      </c>
      <c r="AG106" s="44">
        <f>Table1[[#This Row],[Column2]]/$D$141*0.5</f>
        <v>5.6568875496960762E-4</v>
      </c>
      <c r="AH106" s="44">
        <f>Table1[[#This Row],[Column29]]/$D$141*1.5</f>
        <v>1.6970662649088224E-3</v>
      </c>
    </row>
    <row r="107" spans="3:34">
      <c r="C107" s="44" t="s">
        <v>450</v>
      </c>
      <c r="D107" s="44">
        <v>2.7179194791467432E-3</v>
      </c>
      <c r="E107" s="44">
        <f t="shared" si="16"/>
        <v>0</v>
      </c>
      <c r="F107" s="44">
        <f t="shared" si="16"/>
        <v>0</v>
      </c>
      <c r="G107" s="44">
        <f t="shared" si="16"/>
        <v>0</v>
      </c>
      <c r="H107" s="44">
        <f t="shared" si="16"/>
        <v>0</v>
      </c>
      <c r="I107" s="44">
        <f t="shared" si="16"/>
        <v>0</v>
      </c>
      <c r="J107" s="44">
        <f t="shared" si="16"/>
        <v>0</v>
      </c>
      <c r="K107" s="44">
        <f t="shared" si="16"/>
        <v>2.7179194791467432E-3</v>
      </c>
      <c r="L107" s="44">
        <f t="shared" si="16"/>
        <v>0</v>
      </c>
      <c r="M107" s="44">
        <f t="shared" si="16"/>
        <v>0</v>
      </c>
      <c r="N107" s="44">
        <f t="shared" si="16"/>
        <v>0</v>
      </c>
      <c r="O107" s="44">
        <f t="shared" si="17"/>
        <v>0</v>
      </c>
      <c r="P107" s="44">
        <f t="shared" si="17"/>
        <v>0</v>
      </c>
      <c r="Q107" s="44">
        <f t="shared" si="17"/>
        <v>0</v>
      </c>
      <c r="R107" s="44">
        <f t="shared" si="17"/>
        <v>5.4358389582934864E-3</v>
      </c>
      <c r="S107" s="44">
        <f t="shared" si="17"/>
        <v>0</v>
      </c>
      <c r="T107" s="44">
        <f t="shared" si="17"/>
        <v>0</v>
      </c>
      <c r="U107" s="44">
        <f t="shared" si="17"/>
        <v>0</v>
      </c>
      <c r="V107" s="44">
        <f t="shared" si="17"/>
        <v>0</v>
      </c>
      <c r="W107" s="44">
        <f t="shared" si="17"/>
        <v>0</v>
      </c>
      <c r="X107" s="44">
        <f t="shared" si="17"/>
        <v>2.7179194791467432E-3</v>
      </c>
      <c r="Y107" s="44">
        <f t="shared" si="17"/>
        <v>0</v>
      </c>
      <c r="Z107" s="44">
        <f t="shared" si="17"/>
        <v>0</v>
      </c>
      <c r="AA107" s="44">
        <f t="shared" si="17"/>
        <v>0</v>
      </c>
      <c r="AB107" s="44">
        <f t="shared" si="17"/>
        <v>0</v>
      </c>
      <c r="AC107" s="44">
        <f t="shared" si="17"/>
        <v>0</v>
      </c>
      <c r="AD107" s="44">
        <f t="shared" si="17"/>
        <v>5.4358389582934864E-3</v>
      </c>
      <c r="AE107" s="44">
        <f t="shared" si="13"/>
        <v>2.7179194791467436E-3</v>
      </c>
      <c r="AF107" s="44">
        <f t="shared" si="12"/>
        <v>0</v>
      </c>
      <c r="AG107" s="44">
        <f>Table1[[#This Row],[Column2]]/$D$141*0.5</f>
        <v>2.2668884948999603E-3</v>
      </c>
      <c r="AH107" s="44">
        <f>Table1[[#This Row],[Column29]]/$D$141*1.5</f>
        <v>6.8006654846998818E-3</v>
      </c>
    </row>
    <row r="108" spans="3:34">
      <c r="C108" s="44" t="s">
        <v>451</v>
      </c>
      <c r="D108" s="44">
        <v>6.3126019628021151E-4</v>
      </c>
      <c r="E108" s="44">
        <f t="shared" si="16"/>
        <v>0</v>
      </c>
      <c r="F108" s="44">
        <f t="shared" si="16"/>
        <v>0</v>
      </c>
      <c r="G108" s="44">
        <f t="shared" si="16"/>
        <v>0</v>
      </c>
      <c r="H108" s="44">
        <f t="shared" si="16"/>
        <v>0</v>
      </c>
      <c r="I108" s="44">
        <f t="shared" si="16"/>
        <v>0</v>
      </c>
      <c r="J108" s="44">
        <f t="shared" si="16"/>
        <v>0</v>
      </c>
      <c r="K108" s="44">
        <f t="shared" si="16"/>
        <v>6.3126019628021151E-4</v>
      </c>
      <c r="L108" s="44">
        <f t="shared" si="16"/>
        <v>0</v>
      </c>
      <c r="M108" s="44">
        <f t="shared" si="16"/>
        <v>0</v>
      </c>
      <c r="N108" s="44">
        <f t="shared" si="16"/>
        <v>0</v>
      </c>
      <c r="O108" s="44">
        <f t="shared" si="17"/>
        <v>0</v>
      </c>
      <c r="P108" s="44">
        <f t="shared" si="17"/>
        <v>0</v>
      </c>
      <c r="Q108" s="44">
        <f t="shared" si="17"/>
        <v>0</v>
      </c>
      <c r="R108" s="44">
        <f t="shared" si="17"/>
        <v>0</v>
      </c>
      <c r="S108" s="44">
        <f t="shared" si="17"/>
        <v>0</v>
      </c>
      <c r="T108" s="44">
        <f t="shared" si="17"/>
        <v>0</v>
      </c>
      <c r="U108" s="44">
        <f t="shared" si="17"/>
        <v>0</v>
      </c>
      <c r="V108" s="44">
        <f t="shared" si="17"/>
        <v>0</v>
      </c>
      <c r="W108" s="44">
        <f t="shared" si="17"/>
        <v>0</v>
      </c>
      <c r="X108" s="44">
        <f t="shared" si="17"/>
        <v>0</v>
      </c>
      <c r="Y108" s="44">
        <f t="shared" si="17"/>
        <v>6.3126019628021151E-4</v>
      </c>
      <c r="Z108" s="44">
        <f t="shared" si="17"/>
        <v>6.3126019628021151E-4</v>
      </c>
      <c r="AA108" s="44">
        <f t="shared" si="17"/>
        <v>0</v>
      </c>
      <c r="AB108" s="44">
        <f t="shared" si="17"/>
        <v>0</v>
      </c>
      <c r="AC108" s="44">
        <f t="shared" si="17"/>
        <v>0</v>
      </c>
      <c r="AD108" s="44">
        <f t="shared" si="17"/>
        <v>0</v>
      </c>
      <c r="AE108" s="44">
        <f t="shared" si="13"/>
        <v>6.3126019628021151E-4</v>
      </c>
      <c r="AF108" s="44">
        <f t="shared" si="12"/>
        <v>0</v>
      </c>
      <c r="AG108" s="44">
        <f>Table1[[#This Row],[Column2]]/$D$141*0.5</f>
        <v>5.2650436748227206E-4</v>
      </c>
      <c r="AH108" s="44">
        <f>Table1[[#This Row],[Column29]]/$D$141*1.5</f>
        <v>1.5795131024468161E-3</v>
      </c>
    </row>
    <row r="109" spans="3:34">
      <c r="C109" s="44" t="s">
        <v>452</v>
      </c>
      <c r="D109" s="44">
        <v>1.2225237740250069E-2</v>
      </c>
      <c r="E109" s="44">
        <f t="shared" si="16"/>
        <v>0</v>
      </c>
      <c r="F109" s="44">
        <f t="shared" si="16"/>
        <v>0</v>
      </c>
      <c r="G109" s="44">
        <f t="shared" si="16"/>
        <v>0</v>
      </c>
      <c r="H109" s="44">
        <f t="shared" si="16"/>
        <v>0</v>
      </c>
      <c r="I109" s="44">
        <f t="shared" si="16"/>
        <v>0</v>
      </c>
      <c r="J109" s="44">
        <f t="shared" si="16"/>
        <v>0</v>
      </c>
      <c r="K109" s="44">
        <f t="shared" si="16"/>
        <v>0</v>
      </c>
      <c r="L109" s="44">
        <f t="shared" si="16"/>
        <v>3.6675713220750208E-2</v>
      </c>
      <c r="M109" s="44">
        <f t="shared" si="16"/>
        <v>0</v>
      </c>
      <c r="N109" s="44">
        <f t="shared" si="16"/>
        <v>0</v>
      </c>
      <c r="O109" s="44">
        <f t="shared" si="17"/>
        <v>0</v>
      </c>
      <c r="P109" s="44">
        <f t="shared" si="17"/>
        <v>0</v>
      </c>
      <c r="Q109" s="44">
        <f t="shared" si="17"/>
        <v>0</v>
      </c>
      <c r="R109" s="44">
        <f t="shared" si="17"/>
        <v>0</v>
      </c>
      <c r="S109" s="44">
        <f t="shared" si="17"/>
        <v>0</v>
      </c>
      <c r="T109" s="44">
        <f t="shared" si="17"/>
        <v>0</v>
      </c>
      <c r="U109" s="44">
        <f t="shared" si="17"/>
        <v>0</v>
      </c>
      <c r="V109" s="44">
        <f t="shared" si="17"/>
        <v>0</v>
      </c>
      <c r="W109" s="44">
        <f t="shared" si="17"/>
        <v>0</v>
      </c>
      <c r="X109" s="44">
        <f t="shared" si="17"/>
        <v>0</v>
      </c>
      <c r="Y109" s="44">
        <f t="shared" si="17"/>
        <v>0</v>
      </c>
      <c r="Z109" s="44">
        <f t="shared" si="17"/>
        <v>0</v>
      </c>
      <c r="AA109" s="44">
        <f t="shared" si="17"/>
        <v>0</v>
      </c>
      <c r="AB109" s="44">
        <f t="shared" si="17"/>
        <v>0</v>
      </c>
      <c r="AC109" s="44">
        <f t="shared" si="17"/>
        <v>0</v>
      </c>
      <c r="AD109" s="44">
        <f t="shared" si="17"/>
        <v>0</v>
      </c>
      <c r="AE109" s="44">
        <f t="shared" si="13"/>
        <v>1.2225237740250069E-2</v>
      </c>
      <c r="AF109" s="44">
        <f t="shared" si="12"/>
        <v>0</v>
      </c>
      <c r="AG109" s="44">
        <f>Table1[[#This Row],[Column2]]/$D$141*0.5</f>
        <v>1.0196494411780698E-2</v>
      </c>
      <c r="AH109" s="44">
        <f>Table1[[#This Row],[Column29]]/$D$141*1.5</f>
        <v>3.0589483235342094E-2</v>
      </c>
    </row>
    <row r="110" spans="3:34">
      <c r="C110" s="44" t="s">
        <v>453</v>
      </c>
      <c r="D110" s="44">
        <v>2.9439711313906693E-3</v>
      </c>
      <c r="E110" s="44">
        <f t="shared" si="16"/>
        <v>0</v>
      </c>
      <c r="F110" s="44">
        <f t="shared" si="16"/>
        <v>0</v>
      </c>
      <c r="G110" s="44">
        <f t="shared" si="16"/>
        <v>0</v>
      </c>
      <c r="H110" s="44">
        <f t="shared" si="16"/>
        <v>0</v>
      </c>
      <c r="I110" s="44">
        <f t="shared" si="16"/>
        <v>0</v>
      </c>
      <c r="J110" s="44">
        <f t="shared" si="16"/>
        <v>0</v>
      </c>
      <c r="K110" s="44">
        <f t="shared" si="16"/>
        <v>0</v>
      </c>
      <c r="L110" s="44">
        <f t="shared" si="16"/>
        <v>5.8879422627813385E-3</v>
      </c>
      <c r="M110" s="44">
        <f t="shared" si="16"/>
        <v>0</v>
      </c>
      <c r="N110" s="44">
        <f t="shared" si="16"/>
        <v>0</v>
      </c>
      <c r="O110" s="44">
        <f t="shared" si="17"/>
        <v>0</v>
      </c>
      <c r="P110" s="44">
        <f t="shared" si="17"/>
        <v>0</v>
      </c>
      <c r="Q110" s="44">
        <f t="shared" si="17"/>
        <v>0</v>
      </c>
      <c r="R110" s="44">
        <f t="shared" si="17"/>
        <v>0</v>
      </c>
      <c r="S110" s="44">
        <f t="shared" si="17"/>
        <v>0</v>
      </c>
      <c r="T110" s="44">
        <f t="shared" si="17"/>
        <v>0</v>
      </c>
      <c r="U110" s="44">
        <f t="shared" si="17"/>
        <v>0</v>
      </c>
      <c r="V110" s="44">
        <f t="shared" si="17"/>
        <v>0</v>
      </c>
      <c r="W110" s="44">
        <f t="shared" si="17"/>
        <v>0</v>
      </c>
      <c r="X110" s="44">
        <f t="shared" si="17"/>
        <v>0</v>
      </c>
      <c r="Y110" s="44">
        <f t="shared" si="17"/>
        <v>0</v>
      </c>
      <c r="Z110" s="44">
        <f t="shared" si="17"/>
        <v>0</v>
      </c>
      <c r="AA110" s="44">
        <f t="shared" si="17"/>
        <v>2.9439711313906693E-3</v>
      </c>
      <c r="AB110" s="44">
        <f t="shared" si="17"/>
        <v>0</v>
      </c>
      <c r="AC110" s="44">
        <f t="shared" si="17"/>
        <v>0</v>
      </c>
      <c r="AD110" s="44">
        <f t="shared" si="17"/>
        <v>0</v>
      </c>
      <c r="AE110" s="44">
        <f t="shared" si="13"/>
        <v>2.9439711313906693E-3</v>
      </c>
      <c r="AF110" s="44">
        <f t="shared" si="12"/>
        <v>0</v>
      </c>
      <c r="AG110" s="44">
        <f>Table1[[#This Row],[Column2]]/$D$141*0.5</f>
        <v>2.4554275203039636E-3</v>
      </c>
      <c r="AH110" s="44">
        <f>Table1[[#This Row],[Column29]]/$D$141*1.5</f>
        <v>7.3662825609118908E-3</v>
      </c>
    </row>
    <row r="111" spans="3:34">
      <c r="C111" s="44" t="s">
        <v>454</v>
      </c>
      <c r="D111" s="44">
        <v>1.0127205690187893E-3</v>
      </c>
      <c r="E111" s="44">
        <f t="shared" si="16"/>
        <v>0</v>
      </c>
      <c r="F111" s="44">
        <f t="shared" si="16"/>
        <v>0</v>
      </c>
      <c r="G111" s="44">
        <f t="shared" si="16"/>
        <v>0</v>
      </c>
      <c r="H111" s="44">
        <f t="shared" si="16"/>
        <v>0</v>
      </c>
      <c r="I111" s="44">
        <f t="shared" si="16"/>
        <v>0</v>
      </c>
      <c r="J111" s="44">
        <f t="shared" si="16"/>
        <v>0</v>
      </c>
      <c r="K111" s="44">
        <f t="shared" si="16"/>
        <v>0</v>
      </c>
      <c r="L111" s="44">
        <f t="shared" si="16"/>
        <v>3.0381617070563676E-3</v>
      </c>
      <c r="M111" s="44">
        <f t="shared" si="16"/>
        <v>0</v>
      </c>
      <c r="N111" s="44">
        <f t="shared" si="16"/>
        <v>0</v>
      </c>
      <c r="O111" s="44">
        <f t="shared" si="17"/>
        <v>0</v>
      </c>
      <c r="P111" s="44">
        <f t="shared" si="17"/>
        <v>0</v>
      </c>
      <c r="Q111" s="44">
        <f t="shared" si="17"/>
        <v>0</v>
      </c>
      <c r="R111" s="44">
        <f t="shared" si="17"/>
        <v>0</v>
      </c>
      <c r="S111" s="44">
        <f t="shared" si="17"/>
        <v>0</v>
      </c>
      <c r="T111" s="44">
        <f t="shared" si="17"/>
        <v>2.0254411380375785E-3</v>
      </c>
      <c r="U111" s="44">
        <f t="shared" si="17"/>
        <v>0</v>
      </c>
      <c r="V111" s="44">
        <f t="shared" si="17"/>
        <v>0</v>
      </c>
      <c r="W111" s="44">
        <f t="shared" si="17"/>
        <v>0</v>
      </c>
      <c r="X111" s="44">
        <f t="shared" si="17"/>
        <v>0</v>
      </c>
      <c r="Y111" s="44">
        <f t="shared" si="17"/>
        <v>0</v>
      </c>
      <c r="Z111" s="44">
        <f t="shared" si="17"/>
        <v>0</v>
      </c>
      <c r="AA111" s="44">
        <f t="shared" si="17"/>
        <v>1.0127205690187893E-3</v>
      </c>
      <c r="AB111" s="44">
        <f t="shared" si="17"/>
        <v>0</v>
      </c>
      <c r="AC111" s="44">
        <f t="shared" si="17"/>
        <v>0</v>
      </c>
      <c r="AD111" s="44">
        <f t="shared" si="17"/>
        <v>0</v>
      </c>
      <c r="AE111" s="44">
        <f t="shared" si="13"/>
        <v>1.0127205690187893E-3</v>
      </c>
      <c r="AF111" s="44">
        <f t="shared" si="12"/>
        <v>0</v>
      </c>
      <c r="AG111" s="44">
        <f>Table1[[#This Row],[Column2]]/$D$141*0.5</f>
        <v>8.4466247954407712E-4</v>
      </c>
      <c r="AH111" s="44">
        <f>Table1[[#This Row],[Column29]]/$D$141*1.5</f>
        <v>2.5339874386322314E-3</v>
      </c>
    </row>
    <row r="112" spans="3:34">
      <c r="C112" s="44" t="s">
        <v>455</v>
      </c>
      <c r="D112" s="44">
        <v>2.0387905322773035E-4</v>
      </c>
      <c r="E112" s="44">
        <f t="shared" si="16"/>
        <v>0</v>
      </c>
      <c r="F112" s="44">
        <f t="shared" si="16"/>
        <v>0</v>
      </c>
      <c r="G112" s="44">
        <f t="shared" si="16"/>
        <v>0</v>
      </c>
      <c r="H112" s="44">
        <f t="shared" si="16"/>
        <v>0</v>
      </c>
      <c r="I112" s="44">
        <f t="shared" si="16"/>
        <v>0</v>
      </c>
      <c r="J112" s="44">
        <f t="shared" si="16"/>
        <v>0</v>
      </c>
      <c r="K112" s="44">
        <f t="shared" si="16"/>
        <v>0</v>
      </c>
      <c r="L112" s="44">
        <f t="shared" si="16"/>
        <v>2.0387905322773035E-4</v>
      </c>
      <c r="M112" s="44">
        <f t="shared" si="16"/>
        <v>2.0387905322773035E-4</v>
      </c>
      <c r="N112" s="44">
        <f t="shared" si="16"/>
        <v>0</v>
      </c>
      <c r="O112" s="44">
        <f t="shared" si="17"/>
        <v>0</v>
      </c>
      <c r="P112" s="44">
        <f t="shared" si="17"/>
        <v>0</v>
      </c>
      <c r="Q112" s="44">
        <f t="shared" si="17"/>
        <v>0</v>
      </c>
      <c r="R112" s="44">
        <f t="shared" si="17"/>
        <v>0</v>
      </c>
      <c r="S112" s="44">
        <f t="shared" si="17"/>
        <v>0</v>
      </c>
      <c r="T112" s="44">
        <f t="shared" si="17"/>
        <v>0</v>
      </c>
      <c r="U112" s="44">
        <f t="shared" si="17"/>
        <v>0</v>
      </c>
      <c r="V112" s="44">
        <f t="shared" si="17"/>
        <v>0</v>
      </c>
      <c r="W112" s="44">
        <f t="shared" si="17"/>
        <v>0</v>
      </c>
      <c r="X112" s="44">
        <f t="shared" si="17"/>
        <v>0</v>
      </c>
      <c r="Y112" s="44">
        <f t="shared" si="17"/>
        <v>0</v>
      </c>
      <c r="Z112" s="44">
        <f t="shared" si="17"/>
        <v>2.0387905322773035E-4</v>
      </c>
      <c r="AA112" s="44">
        <f t="shared" si="17"/>
        <v>0</v>
      </c>
      <c r="AB112" s="44">
        <f t="shared" si="17"/>
        <v>0</v>
      </c>
      <c r="AC112" s="44">
        <f t="shared" si="17"/>
        <v>0</v>
      </c>
      <c r="AD112" s="44">
        <f t="shared" si="17"/>
        <v>0</v>
      </c>
      <c r="AE112" s="44">
        <f t="shared" si="13"/>
        <v>2.0387905322773037E-4</v>
      </c>
      <c r="AF112" s="44">
        <f t="shared" si="12"/>
        <v>0</v>
      </c>
      <c r="AG112" s="44">
        <f>Table1[[#This Row],[Column2]]/$D$141*0.5</f>
        <v>1.7004590594351654E-4</v>
      </c>
      <c r="AH112" s="44">
        <f>Table1[[#This Row],[Column29]]/$D$141*1.5</f>
        <v>5.1013771783054969E-4</v>
      </c>
    </row>
    <row r="113" spans="3:34">
      <c r="C113" s="44" t="s">
        <v>456</v>
      </c>
      <c r="D113" s="44">
        <v>6.868377923413496E-3</v>
      </c>
      <c r="E113" s="44">
        <f t="shared" si="16"/>
        <v>0</v>
      </c>
      <c r="F113" s="44">
        <f t="shared" si="16"/>
        <v>0</v>
      </c>
      <c r="G113" s="44">
        <f t="shared" si="16"/>
        <v>0</v>
      </c>
      <c r="H113" s="44">
        <f t="shared" si="16"/>
        <v>0</v>
      </c>
      <c r="I113" s="44">
        <f t="shared" si="16"/>
        <v>0</v>
      </c>
      <c r="J113" s="44">
        <f t="shared" si="16"/>
        <v>0</v>
      </c>
      <c r="K113" s="44">
        <f t="shared" si="16"/>
        <v>0</v>
      </c>
      <c r="L113" s="44">
        <f t="shared" si="16"/>
        <v>6.868377923413496E-3</v>
      </c>
      <c r="M113" s="44">
        <f t="shared" si="16"/>
        <v>0</v>
      </c>
      <c r="N113" s="44">
        <f t="shared" si="16"/>
        <v>0</v>
      </c>
      <c r="O113" s="44">
        <f t="shared" si="17"/>
        <v>0</v>
      </c>
      <c r="P113" s="44">
        <f t="shared" si="17"/>
        <v>0</v>
      </c>
      <c r="Q113" s="44">
        <f t="shared" si="17"/>
        <v>0</v>
      </c>
      <c r="R113" s="44">
        <f t="shared" si="17"/>
        <v>1.3736755846826992E-2</v>
      </c>
      <c r="S113" s="44">
        <f t="shared" si="17"/>
        <v>0</v>
      </c>
      <c r="T113" s="44">
        <f t="shared" si="17"/>
        <v>0</v>
      </c>
      <c r="U113" s="44">
        <f t="shared" si="17"/>
        <v>0</v>
      </c>
      <c r="V113" s="44">
        <f t="shared" si="17"/>
        <v>0</v>
      </c>
      <c r="W113" s="44">
        <f t="shared" si="17"/>
        <v>0</v>
      </c>
      <c r="X113" s="44">
        <f t="shared" si="17"/>
        <v>0</v>
      </c>
      <c r="Y113" s="44">
        <f t="shared" si="17"/>
        <v>0</v>
      </c>
      <c r="Z113" s="44">
        <f t="shared" si="17"/>
        <v>0</v>
      </c>
      <c r="AA113" s="44">
        <f t="shared" si="17"/>
        <v>0</v>
      </c>
      <c r="AB113" s="44">
        <f t="shared" si="17"/>
        <v>0</v>
      </c>
      <c r="AC113" s="44">
        <f t="shared" si="17"/>
        <v>0</v>
      </c>
      <c r="AD113" s="44">
        <f t="shared" si="17"/>
        <v>0</v>
      </c>
      <c r="AE113" s="44">
        <f t="shared" si="13"/>
        <v>6.868377923413496E-3</v>
      </c>
      <c r="AF113" s="44">
        <f t="shared" si="12"/>
        <v>0</v>
      </c>
      <c r="AG113" s="44">
        <f>Table1[[#This Row],[Column2]]/$D$141*0.5</f>
        <v>5.7285902002140602E-3</v>
      </c>
      <c r="AH113" s="44">
        <f>Table1[[#This Row],[Column29]]/$D$141*1.5</f>
        <v>1.7185770600642181E-2</v>
      </c>
    </row>
    <row r="114" spans="3:34">
      <c r="C114" s="44" t="s">
        <v>457</v>
      </c>
      <c r="D114" s="44">
        <v>3.4001709238104536E-3</v>
      </c>
      <c r="E114" s="44">
        <f t="shared" si="16"/>
        <v>0</v>
      </c>
      <c r="F114" s="44">
        <f t="shared" si="16"/>
        <v>0</v>
      </c>
      <c r="G114" s="44">
        <f t="shared" si="16"/>
        <v>0</v>
      </c>
      <c r="H114" s="44">
        <f t="shared" si="16"/>
        <v>0</v>
      </c>
      <c r="I114" s="44">
        <f t="shared" si="16"/>
        <v>0</v>
      </c>
      <c r="J114" s="44">
        <f t="shared" si="16"/>
        <v>0</v>
      </c>
      <c r="K114" s="44">
        <f t="shared" si="16"/>
        <v>0</v>
      </c>
      <c r="L114" s="44">
        <f t="shared" si="16"/>
        <v>3.4001709238104536E-3</v>
      </c>
      <c r="M114" s="44">
        <f t="shared" si="16"/>
        <v>0</v>
      </c>
      <c r="N114" s="44">
        <f t="shared" si="16"/>
        <v>0</v>
      </c>
      <c r="O114" s="44">
        <f t="shared" si="17"/>
        <v>0</v>
      </c>
      <c r="P114" s="44">
        <f t="shared" si="17"/>
        <v>0</v>
      </c>
      <c r="Q114" s="44">
        <f t="shared" si="17"/>
        <v>0</v>
      </c>
      <c r="R114" s="44">
        <f t="shared" si="17"/>
        <v>3.4001709238104536E-3</v>
      </c>
      <c r="S114" s="44">
        <f t="shared" si="17"/>
        <v>3.4001709238104536E-3</v>
      </c>
      <c r="T114" s="44">
        <f t="shared" si="17"/>
        <v>0</v>
      </c>
      <c r="U114" s="44">
        <f t="shared" si="17"/>
        <v>0</v>
      </c>
      <c r="V114" s="44">
        <f t="shared" si="17"/>
        <v>0</v>
      </c>
      <c r="W114" s="44">
        <f t="shared" si="17"/>
        <v>0</v>
      </c>
      <c r="X114" s="44">
        <f t="shared" si="17"/>
        <v>0</v>
      </c>
      <c r="Y114" s="44">
        <f t="shared" si="17"/>
        <v>0</v>
      </c>
      <c r="Z114" s="44">
        <f t="shared" si="17"/>
        <v>0</v>
      </c>
      <c r="AA114" s="44">
        <f t="shared" si="17"/>
        <v>0</v>
      </c>
      <c r="AB114" s="44">
        <f t="shared" si="17"/>
        <v>0</v>
      </c>
      <c r="AC114" s="44">
        <f t="shared" si="17"/>
        <v>0</v>
      </c>
      <c r="AD114" s="44">
        <f t="shared" si="17"/>
        <v>0</v>
      </c>
      <c r="AE114" s="44">
        <f t="shared" si="13"/>
        <v>3.400170923810454E-3</v>
      </c>
      <c r="AF114" s="44">
        <f t="shared" si="12"/>
        <v>0</v>
      </c>
      <c r="AG114" s="44">
        <f>Table1[[#This Row],[Column2]]/$D$141*0.5</f>
        <v>2.8359222585575116E-3</v>
      </c>
      <c r="AH114" s="44">
        <f>Table1[[#This Row],[Column29]]/$D$141*1.5</f>
        <v>8.5077667756725366E-3</v>
      </c>
    </row>
    <row r="115" spans="3:34">
      <c r="C115" s="44" t="s">
        <v>458</v>
      </c>
      <c r="D115" s="44">
        <v>5.61448020824826E-4</v>
      </c>
      <c r="E115" s="44">
        <f t="shared" si="16"/>
        <v>0</v>
      </c>
      <c r="F115" s="44">
        <f t="shared" si="16"/>
        <v>0</v>
      </c>
      <c r="G115" s="44">
        <f t="shared" si="16"/>
        <v>0</v>
      </c>
      <c r="H115" s="44">
        <f t="shared" si="16"/>
        <v>0</v>
      </c>
      <c r="I115" s="44">
        <f t="shared" si="16"/>
        <v>0</v>
      </c>
      <c r="J115" s="44">
        <f t="shared" si="16"/>
        <v>0</v>
      </c>
      <c r="K115" s="44">
        <f t="shared" si="16"/>
        <v>0</v>
      </c>
      <c r="L115" s="44">
        <f t="shared" si="16"/>
        <v>5.61448020824826E-4</v>
      </c>
      <c r="M115" s="44">
        <f t="shared" si="16"/>
        <v>0</v>
      </c>
      <c r="N115" s="44">
        <f t="shared" si="16"/>
        <v>0</v>
      </c>
      <c r="O115" s="44">
        <f t="shared" si="17"/>
        <v>0</v>
      </c>
      <c r="P115" s="44">
        <f t="shared" si="17"/>
        <v>0</v>
      </c>
      <c r="Q115" s="44">
        <f t="shared" si="17"/>
        <v>0</v>
      </c>
      <c r="R115" s="44">
        <f t="shared" si="17"/>
        <v>5.61448020824826E-4</v>
      </c>
      <c r="S115" s="44">
        <f t="shared" si="17"/>
        <v>0</v>
      </c>
      <c r="T115" s="44">
        <f t="shared" si="17"/>
        <v>0</v>
      </c>
      <c r="U115" s="44">
        <f t="shared" si="17"/>
        <v>0</v>
      </c>
      <c r="V115" s="44">
        <f t="shared" si="17"/>
        <v>0</v>
      </c>
      <c r="W115" s="44">
        <f t="shared" si="17"/>
        <v>0</v>
      </c>
      <c r="X115" s="44">
        <f t="shared" si="17"/>
        <v>5.61448020824826E-4</v>
      </c>
      <c r="Y115" s="44">
        <f t="shared" si="17"/>
        <v>0</v>
      </c>
      <c r="Z115" s="44">
        <f t="shared" si="17"/>
        <v>0</v>
      </c>
      <c r="AA115" s="44">
        <f t="shared" si="17"/>
        <v>0</v>
      </c>
      <c r="AB115" s="44">
        <f t="shared" si="17"/>
        <v>0</v>
      </c>
      <c r="AC115" s="44">
        <f t="shared" si="17"/>
        <v>0</v>
      </c>
      <c r="AD115" s="44">
        <f t="shared" si="17"/>
        <v>0</v>
      </c>
      <c r="AE115" s="44">
        <f t="shared" si="13"/>
        <v>5.61448020824826E-4</v>
      </c>
      <c r="AF115" s="44">
        <f t="shared" si="12"/>
        <v>0</v>
      </c>
      <c r="AG115" s="44">
        <f>Table1[[#This Row],[Column2]]/$D$141*0.5</f>
        <v>4.6827732339285938E-4</v>
      </c>
      <c r="AH115" s="44">
        <f>Table1[[#This Row],[Column29]]/$D$141*1.5</f>
        <v>1.4048319701785781E-3</v>
      </c>
    </row>
    <row r="116" spans="3:34">
      <c r="C116" s="44" t="s">
        <v>459</v>
      </c>
      <c r="D116" s="44">
        <v>1.6288380833352271E-2</v>
      </c>
      <c r="E116" s="44">
        <f t="shared" ref="E116:T131" si="18">((LEN($C116)-LEN(SUBSTITUTE($C116,E$3,"")))/4)*$D116</f>
        <v>0</v>
      </c>
      <c r="F116" s="44">
        <f t="shared" si="18"/>
        <v>0</v>
      </c>
      <c r="G116" s="44">
        <f t="shared" si="18"/>
        <v>0</v>
      </c>
      <c r="H116" s="44">
        <f t="shared" si="18"/>
        <v>0</v>
      </c>
      <c r="I116" s="44">
        <f t="shared" si="18"/>
        <v>0</v>
      </c>
      <c r="J116" s="44">
        <f t="shared" si="18"/>
        <v>0</v>
      </c>
      <c r="K116" s="44">
        <f t="shared" si="18"/>
        <v>0</v>
      </c>
      <c r="L116" s="44">
        <f t="shared" si="18"/>
        <v>1.6288380833352271E-2</v>
      </c>
      <c r="M116" s="44">
        <f t="shared" si="18"/>
        <v>0</v>
      </c>
      <c r="N116" s="44">
        <f t="shared" si="18"/>
        <v>0</v>
      </c>
      <c r="O116" s="44">
        <f t="shared" si="18"/>
        <v>0</v>
      </c>
      <c r="P116" s="44">
        <f t="shared" si="18"/>
        <v>0</v>
      </c>
      <c r="Q116" s="44">
        <f t="shared" si="18"/>
        <v>0</v>
      </c>
      <c r="R116" s="44">
        <f t="shared" si="18"/>
        <v>4.8865142500056816E-2</v>
      </c>
      <c r="S116" s="44">
        <f t="shared" si="18"/>
        <v>1.6288380833352271E-2</v>
      </c>
      <c r="T116" s="44">
        <f t="shared" si="18"/>
        <v>0</v>
      </c>
      <c r="U116" s="44">
        <f t="shared" ref="O116:AD131" si="19">((LEN($C116)-LEN(SUBSTITUTE($C116,U$3,"")))/4)*$D116</f>
        <v>0</v>
      </c>
      <c r="V116" s="44">
        <f t="shared" si="19"/>
        <v>0</v>
      </c>
      <c r="W116" s="44">
        <f t="shared" si="19"/>
        <v>0</v>
      </c>
      <c r="X116" s="44">
        <f t="shared" si="19"/>
        <v>1.6288380833352271E-2</v>
      </c>
      <c r="Y116" s="44">
        <f t="shared" si="19"/>
        <v>0</v>
      </c>
      <c r="Z116" s="44">
        <f t="shared" si="19"/>
        <v>0</v>
      </c>
      <c r="AA116" s="44">
        <f t="shared" si="19"/>
        <v>0</v>
      </c>
      <c r="AB116" s="44">
        <f t="shared" si="19"/>
        <v>0</v>
      </c>
      <c r="AC116" s="44">
        <f t="shared" si="19"/>
        <v>0</v>
      </c>
      <c r="AD116" s="44">
        <f t="shared" si="19"/>
        <v>0</v>
      </c>
      <c r="AE116" s="44">
        <f t="shared" si="13"/>
        <v>1.6288380833352271E-2</v>
      </c>
      <c r="AF116" s="44">
        <f t="shared" si="12"/>
        <v>0</v>
      </c>
      <c r="AG116" s="44">
        <f>Table1[[#This Row],[Column2]]/$D$141*0.5</f>
        <v>1.3585370499374434E-2</v>
      </c>
      <c r="AH116" s="44">
        <f>Table1[[#This Row],[Column29]]/$D$141*1.5</f>
        <v>4.0756111498123304E-2</v>
      </c>
    </row>
    <row r="117" spans="3:34">
      <c r="C117" s="44" t="s">
        <v>460</v>
      </c>
      <c r="D117" s="44">
        <v>1.0127205690187893E-3</v>
      </c>
      <c r="E117" s="44">
        <f t="shared" si="18"/>
        <v>0</v>
      </c>
      <c r="F117" s="44">
        <f t="shared" si="18"/>
        <v>0</v>
      </c>
      <c r="G117" s="44">
        <f t="shared" si="18"/>
        <v>0</v>
      </c>
      <c r="H117" s="44">
        <f t="shared" si="18"/>
        <v>0</v>
      </c>
      <c r="I117" s="44">
        <f t="shared" si="18"/>
        <v>0</v>
      </c>
      <c r="J117" s="44">
        <f t="shared" si="18"/>
        <v>0</v>
      </c>
      <c r="K117" s="44">
        <f t="shared" si="18"/>
        <v>0</v>
      </c>
      <c r="L117" s="44">
        <f t="shared" si="18"/>
        <v>1.0127205690187893E-3</v>
      </c>
      <c r="M117" s="44">
        <f t="shared" si="18"/>
        <v>0</v>
      </c>
      <c r="N117" s="44">
        <f t="shared" si="18"/>
        <v>0</v>
      </c>
      <c r="O117" s="44">
        <f t="shared" si="19"/>
        <v>0</v>
      </c>
      <c r="P117" s="44">
        <f t="shared" si="19"/>
        <v>0</v>
      </c>
      <c r="Q117" s="44">
        <f t="shared" si="19"/>
        <v>0</v>
      </c>
      <c r="R117" s="44">
        <f t="shared" si="19"/>
        <v>0</v>
      </c>
      <c r="S117" s="44">
        <f t="shared" si="19"/>
        <v>1.0127205690187893E-3</v>
      </c>
      <c r="T117" s="44">
        <f t="shared" si="19"/>
        <v>0</v>
      </c>
      <c r="U117" s="44">
        <f t="shared" si="19"/>
        <v>1.0127205690187893E-3</v>
      </c>
      <c r="V117" s="44">
        <f t="shared" si="19"/>
        <v>0</v>
      </c>
      <c r="W117" s="44">
        <f t="shared" si="19"/>
        <v>0</v>
      </c>
      <c r="X117" s="44">
        <f t="shared" si="19"/>
        <v>0</v>
      </c>
      <c r="Y117" s="44">
        <f t="shared" si="19"/>
        <v>0</v>
      </c>
      <c r="Z117" s="44">
        <f t="shared" si="19"/>
        <v>0</v>
      </c>
      <c r="AA117" s="44">
        <f t="shared" si="19"/>
        <v>0</v>
      </c>
      <c r="AB117" s="44">
        <f t="shared" si="19"/>
        <v>0</v>
      </c>
      <c r="AC117" s="44">
        <f t="shared" si="19"/>
        <v>0</v>
      </c>
      <c r="AD117" s="44">
        <f t="shared" si="19"/>
        <v>0</v>
      </c>
      <c r="AE117" s="44">
        <f t="shared" si="13"/>
        <v>1.0127205690187893E-3</v>
      </c>
      <c r="AF117" s="44">
        <f t="shared" si="12"/>
        <v>0</v>
      </c>
      <c r="AG117" s="44">
        <f>Table1[[#This Row],[Column2]]/$D$141*0.5</f>
        <v>8.4466247954407712E-4</v>
      </c>
      <c r="AH117" s="44">
        <f>Table1[[#This Row],[Column29]]/$D$141*1.5</f>
        <v>2.5339874386322314E-3</v>
      </c>
    </row>
    <row r="118" spans="3:34">
      <c r="C118" s="44" t="s">
        <v>461</v>
      </c>
      <c r="D118" s="44">
        <v>4.9782354742047179E-4</v>
      </c>
      <c r="E118" s="44">
        <f t="shared" si="18"/>
        <v>0</v>
      </c>
      <c r="F118" s="44">
        <f t="shared" si="18"/>
        <v>0</v>
      </c>
      <c r="G118" s="44">
        <f t="shared" si="18"/>
        <v>0</v>
      </c>
      <c r="H118" s="44">
        <f t="shared" si="18"/>
        <v>0</v>
      </c>
      <c r="I118" s="44">
        <f t="shared" si="18"/>
        <v>0</v>
      </c>
      <c r="J118" s="44">
        <f t="shared" si="18"/>
        <v>0</v>
      </c>
      <c r="K118" s="44">
        <f t="shared" si="18"/>
        <v>0</v>
      </c>
      <c r="L118" s="44">
        <f t="shared" si="18"/>
        <v>0</v>
      </c>
      <c r="M118" s="44">
        <f t="shared" si="18"/>
        <v>4.9782354742047179E-4</v>
      </c>
      <c r="N118" s="44">
        <f t="shared" si="18"/>
        <v>0</v>
      </c>
      <c r="O118" s="44">
        <f t="shared" si="19"/>
        <v>0</v>
      </c>
      <c r="P118" s="44">
        <f t="shared" si="19"/>
        <v>0</v>
      </c>
      <c r="Q118" s="44">
        <f t="shared" si="19"/>
        <v>0</v>
      </c>
      <c r="R118" s="44">
        <f t="shared" si="19"/>
        <v>9.9564709484094359E-4</v>
      </c>
      <c r="S118" s="44">
        <f t="shared" si="19"/>
        <v>0</v>
      </c>
      <c r="T118" s="44">
        <f t="shared" si="19"/>
        <v>0</v>
      </c>
      <c r="U118" s="44">
        <f t="shared" si="19"/>
        <v>0</v>
      </c>
      <c r="V118" s="44">
        <f t="shared" si="19"/>
        <v>0</v>
      </c>
      <c r="W118" s="44">
        <f t="shared" si="19"/>
        <v>0</v>
      </c>
      <c r="X118" s="44">
        <f t="shared" si="19"/>
        <v>0</v>
      </c>
      <c r="Y118" s="44">
        <f t="shared" si="19"/>
        <v>0</v>
      </c>
      <c r="Z118" s="44">
        <f t="shared" si="19"/>
        <v>0</v>
      </c>
      <c r="AA118" s="44">
        <f t="shared" si="19"/>
        <v>0</v>
      </c>
      <c r="AB118" s="44">
        <f t="shared" si="19"/>
        <v>0</v>
      </c>
      <c r="AC118" s="44">
        <f t="shared" si="19"/>
        <v>0</v>
      </c>
      <c r="AD118" s="44">
        <f t="shared" si="19"/>
        <v>0</v>
      </c>
      <c r="AE118" s="44">
        <f t="shared" si="13"/>
        <v>4.9782354742047179E-4</v>
      </c>
      <c r="AF118" s="44">
        <f t="shared" si="12"/>
        <v>0</v>
      </c>
      <c r="AG118" s="44">
        <f>Table1[[#This Row],[Column2]]/$D$141*0.5</f>
        <v>4.1521114985055928E-4</v>
      </c>
      <c r="AH118" s="44">
        <f>Table1[[#This Row],[Column29]]/$D$141*1.5</f>
        <v>1.2456334495516779E-3</v>
      </c>
    </row>
    <row r="119" spans="3:34">
      <c r="C119" s="44" t="s">
        <v>462</v>
      </c>
      <c r="D119" s="44">
        <v>6.7374335434354222E-4</v>
      </c>
      <c r="E119" s="44">
        <f t="shared" si="18"/>
        <v>0</v>
      </c>
      <c r="F119" s="44">
        <f t="shared" si="18"/>
        <v>0</v>
      </c>
      <c r="G119" s="44">
        <f t="shared" si="18"/>
        <v>0</v>
      </c>
      <c r="H119" s="44">
        <f t="shared" si="18"/>
        <v>0</v>
      </c>
      <c r="I119" s="44">
        <f t="shared" si="18"/>
        <v>0</v>
      </c>
      <c r="J119" s="44">
        <f t="shared" si="18"/>
        <v>0</v>
      </c>
      <c r="K119" s="44">
        <f t="shared" si="18"/>
        <v>0</v>
      </c>
      <c r="L119" s="44">
        <f t="shared" si="18"/>
        <v>0</v>
      </c>
      <c r="M119" s="44">
        <f t="shared" si="18"/>
        <v>6.7374335434354222E-4</v>
      </c>
      <c r="N119" s="44">
        <f t="shared" si="18"/>
        <v>0</v>
      </c>
      <c r="O119" s="44">
        <f t="shared" si="19"/>
        <v>0</v>
      </c>
      <c r="P119" s="44">
        <f t="shared" si="19"/>
        <v>0</v>
      </c>
      <c r="Q119" s="44">
        <f t="shared" si="19"/>
        <v>0</v>
      </c>
      <c r="R119" s="44">
        <f t="shared" si="19"/>
        <v>6.7374335434354222E-4</v>
      </c>
      <c r="S119" s="44">
        <f t="shared" si="19"/>
        <v>6.7374335434354222E-4</v>
      </c>
      <c r="T119" s="44">
        <f t="shared" si="19"/>
        <v>0</v>
      </c>
      <c r="U119" s="44">
        <f t="shared" si="19"/>
        <v>0</v>
      </c>
      <c r="V119" s="44">
        <f t="shared" si="19"/>
        <v>0</v>
      </c>
      <c r="W119" s="44">
        <f t="shared" si="19"/>
        <v>0</v>
      </c>
      <c r="X119" s="44">
        <f t="shared" si="19"/>
        <v>0</v>
      </c>
      <c r="Y119" s="44">
        <f t="shared" si="19"/>
        <v>0</v>
      </c>
      <c r="Z119" s="44">
        <f t="shared" si="19"/>
        <v>0</v>
      </c>
      <c r="AA119" s="44">
        <f t="shared" si="19"/>
        <v>0</v>
      </c>
      <c r="AB119" s="44">
        <f t="shared" si="19"/>
        <v>0</v>
      </c>
      <c r="AC119" s="44">
        <f t="shared" si="19"/>
        <v>0</v>
      </c>
      <c r="AD119" s="44">
        <f t="shared" si="19"/>
        <v>0</v>
      </c>
      <c r="AE119" s="44">
        <f t="shared" si="13"/>
        <v>6.7374335434354211E-4</v>
      </c>
      <c r="AF119" s="44">
        <f t="shared" si="12"/>
        <v>0</v>
      </c>
      <c r="AG119" s="44">
        <f>Table1[[#This Row],[Column2]]/$D$141*0.5</f>
        <v>5.619375666552713E-4</v>
      </c>
      <c r="AH119" s="44">
        <f>Table1[[#This Row],[Column29]]/$D$141*1.5</f>
        <v>1.6858126999658137E-3</v>
      </c>
    </row>
    <row r="120" spans="3:34">
      <c r="C120" s="44" t="s">
        <v>463</v>
      </c>
      <c r="D120" s="44">
        <v>6.7824089703804181E-4</v>
      </c>
      <c r="E120" s="44">
        <f t="shared" si="18"/>
        <v>0</v>
      </c>
      <c r="F120" s="44">
        <f t="shared" si="18"/>
        <v>0</v>
      </c>
      <c r="G120" s="44">
        <f t="shared" si="18"/>
        <v>0</v>
      </c>
      <c r="H120" s="44">
        <f t="shared" si="18"/>
        <v>0</v>
      </c>
      <c r="I120" s="44">
        <f t="shared" si="18"/>
        <v>0</v>
      </c>
      <c r="J120" s="44">
        <f t="shared" si="18"/>
        <v>0</v>
      </c>
      <c r="K120" s="44">
        <f t="shared" si="18"/>
        <v>0</v>
      </c>
      <c r="L120" s="44">
        <f t="shared" si="18"/>
        <v>0</v>
      </c>
      <c r="M120" s="44">
        <f t="shared" si="18"/>
        <v>0</v>
      </c>
      <c r="N120" s="44">
        <f t="shared" si="18"/>
        <v>6.7824089703804181E-4</v>
      </c>
      <c r="O120" s="44">
        <f t="shared" si="19"/>
        <v>0</v>
      </c>
      <c r="P120" s="44">
        <f t="shared" si="19"/>
        <v>0</v>
      </c>
      <c r="Q120" s="44">
        <f t="shared" si="19"/>
        <v>0</v>
      </c>
      <c r="R120" s="44">
        <f t="shared" si="19"/>
        <v>6.7824089703804181E-4</v>
      </c>
      <c r="S120" s="44">
        <f t="shared" si="19"/>
        <v>0</v>
      </c>
      <c r="T120" s="44">
        <f t="shared" si="19"/>
        <v>0</v>
      </c>
      <c r="U120" s="44">
        <f t="shared" si="19"/>
        <v>6.7824089703804181E-4</v>
      </c>
      <c r="V120" s="44">
        <f t="shared" si="19"/>
        <v>0</v>
      </c>
      <c r="W120" s="44">
        <f t="shared" si="19"/>
        <v>0</v>
      </c>
      <c r="X120" s="44">
        <f t="shared" si="19"/>
        <v>0</v>
      </c>
      <c r="Y120" s="44">
        <f t="shared" si="19"/>
        <v>0</v>
      </c>
      <c r="Z120" s="44">
        <f t="shared" si="19"/>
        <v>0</v>
      </c>
      <c r="AA120" s="44">
        <f t="shared" si="19"/>
        <v>0</v>
      </c>
      <c r="AB120" s="44">
        <f t="shared" si="19"/>
        <v>0</v>
      </c>
      <c r="AC120" s="44">
        <f t="shared" si="19"/>
        <v>0</v>
      </c>
      <c r="AD120" s="44">
        <f t="shared" si="19"/>
        <v>0</v>
      </c>
      <c r="AE120" s="44">
        <f t="shared" si="13"/>
        <v>6.782408970380417E-4</v>
      </c>
      <c r="AF120" s="44">
        <f t="shared" si="12"/>
        <v>0</v>
      </c>
      <c r="AG120" s="44">
        <f>Table1[[#This Row],[Column2]]/$D$141*0.5</f>
        <v>5.6568875496960762E-4</v>
      </c>
      <c r="AH120" s="44">
        <f>Table1[[#This Row],[Column29]]/$D$141*1.5</f>
        <v>1.6970662649088224E-3</v>
      </c>
    </row>
    <row r="121" spans="3:34">
      <c r="C121" s="44" t="s">
        <v>464</v>
      </c>
      <c r="D121" s="44">
        <v>1.4527062903233715E-3</v>
      </c>
      <c r="E121" s="44">
        <f t="shared" si="18"/>
        <v>0</v>
      </c>
      <c r="F121" s="44">
        <f t="shared" si="18"/>
        <v>0</v>
      </c>
      <c r="G121" s="44">
        <f t="shared" si="18"/>
        <v>0</v>
      </c>
      <c r="H121" s="44">
        <f t="shared" si="18"/>
        <v>0</v>
      </c>
      <c r="I121" s="44">
        <f t="shared" si="18"/>
        <v>0</v>
      </c>
      <c r="J121" s="44">
        <f t="shared" si="18"/>
        <v>0</v>
      </c>
      <c r="K121" s="44">
        <f t="shared" si="18"/>
        <v>0</v>
      </c>
      <c r="L121" s="44">
        <f t="shared" si="18"/>
        <v>0</v>
      </c>
      <c r="M121" s="44">
        <f t="shared" si="18"/>
        <v>0</v>
      </c>
      <c r="N121" s="44">
        <f t="shared" si="18"/>
        <v>0</v>
      </c>
      <c r="O121" s="44">
        <f t="shared" si="19"/>
        <v>0</v>
      </c>
      <c r="P121" s="44">
        <f t="shared" si="19"/>
        <v>0</v>
      </c>
      <c r="Q121" s="44">
        <f t="shared" si="19"/>
        <v>1.4527062903233715E-3</v>
      </c>
      <c r="R121" s="44">
        <f t="shared" si="19"/>
        <v>2.9054125806467429E-3</v>
      </c>
      <c r="S121" s="44">
        <f t="shared" si="19"/>
        <v>0</v>
      </c>
      <c r="T121" s="44">
        <f t="shared" si="19"/>
        <v>0</v>
      </c>
      <c r="U121" s="44">
        <f t="shared" si="19"/>
        <v>0</v>
      </c>
      <c r="V121" s="44">
        <f t="shared" si="19"/>
        <v>0</v>
      </c>
      <c r="W121" s="44">
        <f t="shared" si="19"/>
        <v>0</v>
      </c>
      <c r="X121" s="44">
        <f t="shared" si="19"/>
        <v>0</v>
      </c>
      <c r="Y121" s="44">
        <f t="shared" si="19"/>
        <v>0</v>
      </c>
      <c r="Z121" s="44">
        <f t="shared" si="19"/>
        <v>0</v>
      </c>
      <c r="AA121" s="44">
        <f t="shared" si="19"/>
        <v>0</v>
      </c>
      <c r="AB121" s="44">
        <f t="shared" si="19"/>
        <v>0</v>
      </c>
      <c r="AC121" s="44">
        <f t="shared" si="19"/>
        <v>0</v>
      </c>
      <c r="AD121" s="44">
        <f t="shared" si="19"/>
        <v>0</v>
      </c>
      <c r="AE121" s="44">
        <f t="shared" si="13"/>
        <v>1.4527062903233717E-3</v>
      </c>
      <c r="AF121" s="44">
        <f t="shared" si="12"/>
        <v>0</v>
      </c>
      <c r="AG121" s="44">
        <f>Table1[[#This Row],[Column2]]/$D$141*0.5</f>
        <v>1.2116338255306546E-3</v>
      </c>
      <c r="AH121" s="44">
        <f>Table1[[#This Row],[Column29]]/$D$141*1.5</f>
        <v>3.6349014765919641E-3</v>
      </c>
    </row>
    <row r="122" spans="3:34">
      <c r="C122" s="44" t="s">
        <v>465</v>
      </c>
      <c r="D122" s="44">
        <v>1.6257642850478395E-2</v>
      </c>
      <c r="E122" s="44">
        <f t="shared" si="18"/>
        <v>0</v>
      </c>
      <c r="F122" s="44">
        <f t="shared" si="18"/>
        <v>0</v>
      </c>
      <c r="G122" s="44">
        <f t="shared" si="18"/>
        <v>0</v>
      </c>
      <c r="H122" s="44">
        <f t="shared" si="18"/>
        <v>0</v>
      </c>
      <c r="I122" s="44">
        <f t="shared" si="18"/>
        <v>0</v>
      </c>
      <c r="J122" s="44">
        <f t="shared" si="18"/>
        <v>0</v>
      </c>
      <c r="K122" s="44">
        <f t="shared" si="18"/>
        <v>0</v>
      </c>
      <c r="L122" s="44">
        <f t="shared" si="18"/>
        <v>0</v>
      </c>
      <c r="M122" s="44">
        <f t="shared" si="18"/>
        <v>0</v>
      </c>
      <c r="N122" s="44">
        <f t="shared" si="18"/>
        <v>0</v>
      </c>
      <c r="O122" s="44">
        <f t="shared" si="19"/>
        <v>0</v>
      </c>
      <c r="P122" s="44">
        <f t="shared" si="19"/>
        <v>0</v>
      </c>
      <c r="Q122" s="44">
        <f t="shared" si="19"/>
        <v>0</v>
      </c>
      <c r="R122" s="44">
        <f t="shared" si="19"/>
        <v>4.8772928551435182E-2</v>
      </c>
      <c r="S122" s="44">
        <f t="shared" si="19"/>
        <v>0</v>
      </c>
      <c r="T122" s="44">
        <f t="shared" si="19"/>
        <v>0</v>
      </c>
      <c r="U122" s="44">
        <f t="shared" si="19"/>
        <v>0</v>
      </c>
      <c r="V122" s="44">
        <f t="shared" si="19"/>
        <v>0</v>
      </c>
      <c r="W122" s="44">
        <f t="shared" si="19"/>
        <v>0</v>
      </c>
      <c r="X122" s="44">
        <f t="shared" si="19"/>
        <v>0</v>
      </c>
      <c r="Y122" s="44">
        <f t="shared" si="19"/>
        <v>0</v>
      </c>
      <c r="Z122" s="44">
        <f t="shared" si="19"/>
        <v>0</v>
      </c>
      <c r="AA122" s="44">
        <f t="shared" si="19"/>
        <v>0</v>
      </c>
      <c r="AB122" s="44">
        <f t="shared" si="19"/>
        <v>0</v>
      </c>
      <c r="AC122" s="44">
        <f t="shared" si="19"/>
        <v>0</v>
      </c>
      <c r="AD122" s="44">
        <f t="shared" si="19"/>
        <v>0</v>
      </c>
      <c r="AE122" s="44">
        <f t="shared" si="13"/>
        <v>1.6257642850478395E-2</v>
      </c>
      <c r="AF122" s="44">
        <f t="shared" si="12"/>
        <v>0</v>
      </c>
      <c r="AG122" s="44">
        <f>Table1[[#This Row],[Column2]]/$D$141*0.5</f>
        <v>1.3559733397073268E-2</v>
      </c>
      <c r="AH122" s="44">
        <f>Table1[[#This Row],[Column29]]/$D$141*1.5</f>
        <v>4.0679200191219803E-2</v>
      </c>
    </row>
    <row r="123" spans="3:34">
      <c r="C123" s="44" t="s">
        <v>466</v>
      </c>
      <c r="D123" s="44">
        <v>1.6288380833352271E-2</v>
      </c>
      <c r="E123" s="44">
        <f t="shared" si="18"/>
        <v>0</v>
      </c>
      <c r="F123" s="44">
        <f t="shared" si="18"/>
        <v>0</v>
      </c>
      <c r="G123" s="44">
        <f t="shared" si="18"/>
        <v>0</v>
      </c>
      <c r="H123" s="44">
        <f t="shared" si="18"/>
        <v>0</v>
      </c>
      <c r="I123" s="44">
        <f t="shared" si="18"/>
        <v>0</v>
      </c>
      <c r="J123" s="44">
        <f t="shared" si="18"/>
        <v>0</v>
      </c>
      <c r="K123" s="44">
        <f t="shared" si="18"/>
        <v>0</v>
      </c>
      <c r="L123" s="44">
        <f t="shared" si="18"/>
        <v>0</v>
      </c>
      <c r="M123" s="44">
        <f t="shared" si="18"/>
        <v>0</v>
      </c>
      <c r="N123" s="44">
        <f t="shared" si="18"/>
        <v>0</v>
      </c>
      <c r="O123" s="44">
        <f t="shared" si="19"/>
        <v>0</v>
      </c>
      <c r="P123" s="44">
        <f t="shared" si="19"/>
        <v>0</v>
      </c>
      <c r="Q123" s="44">
        <f t="shared" si="19"/>
        <v>0</v>
      </c>
      <c r="R123" s="44">
        <f t="shared" si="19"/>
        <v>3.2576761666704541E-2</v>
      </c>
      <c r="S123" s="44">
        <f t="shared" si="19"/>
        <v>1.6288380833352271E-2</v>
      </c>
      <c r="T123" s="44">
        <f t="shared" si="19"/>
        <v>0</v>
      </c>
      <c r="U123" s="44">
        <f t="shared" si="19"/>
        <v>0</v>
      </c>
      <c r="V123" s="44">
        <f t="shared" si="19"/>
        <v>0</v>
      </c>
      <c r="W123" s="44">
        <f t="shared" si="19"/>
        <v>0</v>
      </c>
      <c r="X123" s="44">
        <f t="shared" si="19"/>
        <v>0</v>
      </c>
      <c r="Y123" s="44">
        <f t="shared" si="19"/>
        <v>0</v>
      </c>
      <c r="Z123" s="44">
        <f t="shared" si="19"/>
        <v>0</v>
      </c>
      <c r="AA123" s="44">
        <f t="shared" si="19"/>
        <v>0</v>
      </c>
      <c r="AB123" s="44">
        <f t="shared" si="19"/>
        <v>0</v>
      </c>
      <c r="AC123" s="44">
        <f t="shared" si="19"/>
        <v>0</v>
      </c>
      <c r="AD123" s="44">
        <f t="shared" si="19"/>
        <v>0</v>
      </c>
      <c r="AE123" s="44">
        <f t="shared" si="13"/>
        <v>1.6288380833352271E-2</v>
      </c>
      <c r="AF123" s="44">
        <f t="shared" si="12"/>
        <v>0</v>
      </c>
      <c r="AG123" s="44">
        <f>Table1[[#This Row],[Column2]]/$D$141*0.5</f>
        <v>1.3585370499374434E-2</v>
      </c>
      <c r="AH123" s="44">
        <f>Table1[[#This Row],[Column29]]/$D$141*1.5</f>
        <v>4.0756111498123304E-2</v>
      </c>
    </row>
    <row r="124" spans="3:34">
      <c r="C124" s="44" t="s">
        <v>467</v>
      </c>
      <c r="D124" s="44">
        <v>4.6091218587994481E-3</v>
      </c>
      <c r="E124" s="44">
        <f t="shared" si="18"/>
        <v>0</v>
      </c>
      <c r="F124" s="44">
        <f t="shared" si="18"/>
        <v>0</v>
      </c>
      <c r="G124" s="44">
        <f t="shared" si="18"/>
        <v>0</v>
      </c>
      <c r="H124" s="44">
        <f t="shared" si="18"/>
        <v>0</v>
      </c>
      <c r="I124" s="44">
        <f t="shared" si="18"/>
        <v>0</v>
      </c>
      <c r="J124" s="44">
        <f t="shared" si="18"/>
        <v>0</v>
      </c>
      <c r="K124" s="44">
        <f t="shared" si="18"/>
        <v>0</v>
      </c>
      <c r="L124" s="44">
        <f t="shared" si="18"/>
        <v>0</v>
      </c>
      <c r="M124" s="44">
        <f t="shared" si="18"/>
        <v>0</v>
      </c>
      <c r="N124" s="44">
        <f t="shared" si="18"/>
        <v>0</v>
      </c>
      <c r="O124" s="44">
        <f t="shared" si="19"/>
        <v>0</v>
      </c>
      <c r="P124" s="44">
        <f t="shared" si="19"/>
        <v>0</v>
      </c>
      <c r="Q124" s="44">
        <f t="shared" si="19"/>
        <v>0</v>
      </c>
      <c r="R124" s="44">
        <f t="shared" si="19"/>
        <v>9.2182437175988962E-3</v>
      </c>
      <c r="S124" s="44">
        <f t="shared" si="19"/>
        <v>0</v>
      </c>
      <c r="T124" s="44">
        <f t="shared" si="19"/>
        <v>4.6091218587994481E-3</v>
      </c>
      <c r="U124" s="44">
        <f t="shared" si="19"/>
        <v>0</v>
      </c>
      <c r="V124" s="44">
        <f t="shared" si="19"/>
        <v>0</v>
      </c>
      <c r="W124" s="44">
        <f t="shared" si="19"/>
        <v>0</v>
      </c>
      <c r="X124" s="44">
        <f t="shared" si="19"/>
        <v>0</v>
      </c>
      <c r="Y124" s="44">
        <f t="shared" si="19"/>
        <v>0</v>
      </c>
      <c r="Z124" s="44">
        <f t="shared" si="19"/>
        <v>0</v>
      </c>
      <c r="AA124" s="44">
        <f t="shared" si="19"/>
        <v>0</v>
      </c>
      <c r="AB124" s="44">
        <f t="shared" si="19"/>
        <v>0</v>
      </c>
      <c r="AC124" s="44">
        <f t="shared" si="19"/>
        <v>0</v>
      </c>
      <c r="AD124" s="44">
        <f t="shared" si="19"/>
        <v>0</v>
      </c>
      <c r="AE124" s="44">
        <f t="shared" si="13"/>
        <v>4.6091218587994481E-3</v>
      </c>
      <c r="AF124" s="44">
        <f t="shared" si="12"/>
        <v>0</v>
      </c>
      <c r="AG124" s="44">
        <f>Table1[[#This Row],[Column2]]/$D$141*0.5</f>
        <v>3.844251234618813E-3</v>
      </c>
      <c r="AH124" s="44">
        <f>Table1[[#This Row],[Column29]]/$D$141*1.5</f>
        <v>1.1532753703856438E-2</v>
      </c>
    </row>
    <row r="125" spans="3:34">
      <c r="C125" s="44" t="s">
        <v>468</v>
      </c>
      <c r="D125" s="44">
        <v>6.3006562602313746E-3</v>
      </c>
      <c r="E125" s="44">
        <f t="shared" si="18"/>
        <v>0</v>
      </c>
      <c r="F125" s="44">
        <f t="shared" si="18"/>
        <v>0</v>
      </c>
      <c r="G125" s="44">
        <f t="shared" si="18"/>
        <v>0</v>
      </c>
      <c r="H125" s="44">
        <f t="shared" si="18"/>
        <v>0</v>
      </c>
      <c r="I125" s="44">
        <f t="shared" si="18"/>
        <v>0</v>
      </c>
      <c r="J125" s="44">
        <f t="shared" si="18"/>
        <v>0</v>
      </c>
      <c r="K125" s="44">
        <f t="shared" si="18"/>
        <v>0</v>
      </c>
      <c r="L125" s="44">
        <f t="shared" si="18"/>
        <v>0</v>
      </c>
      <c r="M125" s="44">
        <f t="shared" si="18"/>
        <v>0</v>
      </c>
      <c r="N125" s="44">
        <f t="shared" si="18"/>
        <v>0</v>
      </c>
      <c r="O125" s="44">
        <f t="shared" si="19"/>
        <v>0</v>
      </c>
      <c r="P125" s="44">
        <f t="shared" si="19"/>
        <v>0</v>
      </c>
      <c r="Q125" s="44">
        <f t="shared" si="19"/>
        <v>0</v>
      </c>
      <c r="R125" s="44">
        <f t="shared" si="19"/>
        <v>1.2601312520462749E-2</v>
      </c>
      <c r="S125" s="44">
        <f t="shared" si="19"/>
        <v>0</v>
      </c>
      <c r="T125" s="44">
        <f t="shared" si="19"/>
        <v>0</v>
      </c>
      <c r="U125" s="44">
        <f t="shared" si="19"/>
        <v>6.3006562602313746E-3</v>
      </c>
      <c r="V125" s="44">
        <f t="shared" si="19"/>
        <v>0</v>
      </c>
      <c r="W125" s="44">
        <f t="shared" si="19"/>
        <v>0</v>
      </c>
      <c r="X125" s="44">
        <f t="shared" si="19"/>
        <v>0</v>
      </c>
      <c r="Y125" s="44">
        <f t="shared" si="19"/>
        <v>0</v>
      </c>
      <c r="Z125" s="44">
        <f t="shared" si="19"/>
        <v>0</v>
      </c>
      <c r="AA125" s="44">
        <f t="shared" si="19"/>
        <v>0</v>
      </c>
      <c r="AB125" s="44">
        <f t="shared" si="19"/>
        <v>0</v>
      </c>
      <c r="AC125" s="44">
        <f t="shared" si="19"/>
        <v>0</v>
      </c>
      <c r="AD125" s="44">
        <f t="shared" si="19"/>
        <v>0</v>
      </c>
      <c r="AE125" s="44">
        <f t="shared" si="13"/>
        <v>6.3006562602313755E-3</v>
      </c>
      <c r="AF125" s="44">
        <f t="shared" si="12"/>
        <v>0</v>
      </c>
      <c r="AG125" s="44">
        <f>Table1[[#This Row],[Column2]]/$D$141*0.5</f>
        <v>5.2550803275164893E-3</v>
      </c>
      <c r="AH125" s="44">
        <f>Table1[[#This Row],[Column29]]/$D$141*1.5</f>
        <v>1.5765240982549472E-2</v>
      </c>
    </row>
    <row r="126" spans="3:34">
      <c r="C126" s="44" t="s">
        <v>469</v>
      </c>
      <c r="D126" s="44">
        <v>2.7179194791467432E-3</v>
      </c>
      <c r="E126" s="44">
        <f t="shared" si="18"/>
        <v>0</v>
      </c>
      <c r="F126" s="44">
        <f t="shared" si="18"/>
        <v>0</v>
      </c>
      <c r="G126" s="44">
        <f t="shared" si="18"/>
        <v>0</v>
      </c>
      <c r="H126" s="44">
        <f t="shared" si="18"/>
        <v>0</v>
      </c>
      <c r="I126" s="44">
        <f t="shared" si="18"/>
        <v>0</v>
      </c>
      <c r="J126" s="44">
        <f t="shared" si="18"/>
        <v>0</v>
      </c>
      <c r="K126" s="44">
        <f t="shared" si="18"/>
        <v>0</v>
      </c>
      <c r="L126" s="44">
        <f t="shared" si="18"/>
        <v>0</v>
      </c>
      <c r="M126" s="44">
        <f t="shared" si="18"/>
        <v>0</v>
      </c>
      <c r="N126" s="44">
        <f t="shared" si="18"/>
        <v>0</v>
      </c>
      <c r="O126" s="44">
        <f t="shared" si="19"/>
        <v>0</v>
      </c>
      <c r="P126" s="44">
        <f t="shared" si="19"/>
        <v>0</v>
      </c>
      <c r="Q126" s="44">
        <f t="shared" si="19"/>
        <v>0</v>
      </c>
      <c r="R126" s="44">
        <f t="shared" si="19"/>
        <v>5.4358389582934864E-3</v>
      </c>
      <c r="S126" s="44">
        <f t="shared" si="19"/>
        <v>0</v>
      </c>
      <c r="T126" s="44">
        <f t="shared" si="19"/>
        <v>0</v>
      </c>
      <c r="U126" s="44">
        <f t="shared" si="19"/>
        <v>0</v>
      </c>
      <c r="V126" s="44">
        <f t="shared" si="19"/>
        <v>0</v>
      </c>
      <c r="W126" s="44">
        <f t="shared" si="19"/>
        <v>0</v>
      </c>
      <c r="X126" s="44">
        <f t="shared" si="19"/>
        <v>0</v>
      </c>
      <c r="Y126" s="44">
        <f t="shared" si="19"/>
        <v>0</v>
      </c>
      <c r="Z126" s="44">
        <f t="shared" si="19"/>
        <v>0</v>
      </c>
      <c r="AA126" s="44">
        <f t="shared" si="19"/>
        <v>0</v>
      </c>
      <c r="AB126" s="44">
        <f t="shared" si="19"/>
        <v>0</v>
      </c>
      <c r="AC126" s="44">
        <f t="shared" si="19"/>
        <v>0</v>
      </c>
      <c r="AD126" s="44">
        <f t="shared" si="19"/>
        <v>2.7179194791467432E-3</v>
      </c>
      <c r="AE126" s="44">
        <f t="shared" si="13"/>
        <v>2.7179194791467436E-3</v>
      </c>
      <c r="AF126" s="44">
        <f t="shared" si="12"/>
        <v>0</v>
      </c>
      <c r="AG126" s="44">
        <f>Table1[[#This Row],[Column2]]/$D$141*0.5</f>
        <v>2.2668884948999603E-3</v>
      </c>
      <c r="AH126" s="44">
        <f>Table1[[#This Row],[Column29]]/$D$141*1.5</f>
        <v>6.8006654846998818E-3</v>
      </c>
    </row>
    <row r="127" spans="3:34">
      <c r="C127" s="44" t="s">
        <v>470</v>
      </c>
      <c r="D127" s="44">
        <v>7.5382253172063896E-3</v>
      </c>
      <c r="E127" s="44">
        <f t="shared" si="18"/>
        <v>0</v>
      </c>
      <c r="F127" s="44">
        <f t="shared" si="18"/>
        <v>0</v>
      </c>
      <c r="G127" s="44">
        <f t="shared" si="18"/>
        <v>0</v>
      </c>
      <c r="H127" s="44">
        <f t="shared" si="18"/>
        <v>0</v>
      </c>
      <c r="I127" s="44">
        <f t="shared" si="18"/>
        <v>0</v>
      </c>
      <c r="J127" s="44">
        <f t="shared" si="18"/>
        <v>0</v>
      </c>
      <c r="K127" s="44">
        <f t="shared" si="18"/>
        <v>0</v>
      </c>
      <c r="L127" s="44">
        <f t="shared" si="18"/>
        <v>0</v>
      </c>
      <c r="M127" s="44">
        <f t="shared" si="18"/>
        <v>0</v>
      </c>
      <c r="N127" s="44">
        <f t="shared" si="18"/>
        <v>0</v>
      </c>
      <c r="O127" s="44">
        <f t="shared" si="19"/>
        <v>0</v>
      </c>
      <c r="P127" s="44">
        <f t="shared" si="19"/>
        <v>0</v>
      </c>
      <c r="Q127" s="44">
        <f t="shared" si="19"/>
        <v>0</v>
      </c>
      <c r="R127" s="44">
        <f t="shared" si="19"/>
        <v>7.5382253172063896E-3</v>
      </c>
      <c r="S127" s="44">
        <f t="shared" si="19"/>
        <v>1.5076450634412779E-2</v>
      </c>
      <c r="T127" s="44">
        <f t="shared" si="19"/>
        <v>0</v>
      </c>
      <c r="U127" s="44">
        <f t="shared" si="19"/>
        <v>0</v>
      </c>
      <c r="V127" s="44">
        <f t="shared" si="19"/>
        <v>0</v>
      </c>
      <c r="W127" s="44">
        <f t="shared" si="19"/>
        <v>0</v>
      </c>
      <c r="X127" s="44">
        <f t="shared" si="19"/>
        <v>0</v>
      </c>
      <c r="Y127" s="44">
        <f t="shared" si="19"/>
        <v>0</v>
      </c>
      <c r="Z127" s="44">
        <f t="shared" si="19"/>
        <v>0</v>
      </c>
      <c r="AA127" s="44">
        <f t="shared" si="19"/>
        <v>0</v>
      </c>
      <c r="AB127" s="44">
        <f t="shared" si="19"/>
        <v>0</v>
      </c>
      <c r="AC127" s="44">
        <f t="shared" si="19"/>
        <v>0</v>
      </c>
      <c r="AD127" s="44">
        <f t="shared" si="19"/>
        <v>0</v>
      </c>
      <c r="AE127" s="44">
        <f t="shared" si="13"/>
        <v>7.5382253172063896E-3</v>
      </c>
      <c r="AF127" s="44">
        <f t="shared" si="12"/>
        <v>0</v>
      </c>
      <c r="AG127" s="44">
        <f>Table1[[#This Row],[Column2]]/$D$141*0.5</f>
        <v>6.2872783298581871E-3</v>
      </c>
      <c r="AH127" s="44">
        <f>Table1[[#This Row],[Column29]]/$D$141*1.5</f>
        <v>1.8861834989574562E-2</v>
      </c>
    </row>
    <row r="128" spans="3:34">
      <c r="C128" s="44" t="s">
        <v>471</v>
      </c>
      <c r="D128" s="44">
        <v>1.9338001247910549E-3</v>
      </c>
      <c r="E128" s="44">
        <f t="shared" si="18"/>
        <v>0</v>
      </c>
      <c r="F128" s="44">
        <f t="shared" si="18"/>
        <v>0</v>
      </c>
      <c r="G128" s="44">
        <f t="shared" si="18"/>
        <v>0</v>
      </c>
      <c r="H128" s="44">
        <f t="shared" si="18"/>
        <v>0</v>
      </c>
      <c r="I128" s="44">
        <f t="shared" si="18"/>
        <v>0</v>
      </c>
      <c r="J128" s="44">
        <f t="shared" si="18"/>
        <v>0</v>
      </c>
      <c r="K128" s="44">
        <f t="shared" si="18"/>
        <v>0</v>
      </c>
      <c r="L128" s="44">
        <f t="shared" si="18"/>
        <v>0</v>
      </c>
      <c r="M128" s="44">
        <f t="shared" si="18"/>
        <v>0</v>
      </c>
      <c r="N128" s="44">
        <f t="shared" si="18"/>
        <v>0</v>
      </c>
      <c r="O128" s="44">
        <f t="shared" si="19"/>
        <v>0</v>
      </c>
      <c r="P128" s="44">
        <f t="shared" si="19"/>
        <v>0</v>
      </c>
      <c r="Q128" s="44">
        <f t="shared" si="19"/>
        <v>0</v>
      </c>
      <c r="R128" s="44">
        <f t="shared" si="19"/>
        <v>1.9338001247910549E-3</v>
      </c>
      <c r="S128" s="44">
        <f t="shared" si="19"/>
        <v>1.9338001247910549E-3</v>
      </c>
      <c r="T128" s="44">
        <f t="shared" si="19"/>
        <v>1.9338001247910549E-3</v>
      </c>
      <c r="U128" s="44">
        <f t="shared" si="19"/>
        <v>0</v>
      </c>
      <c r="V128" s="44">
        <f t="shared" si="19"/>
        <v>0</v>
      </c>
      <c r="W128" s="44">
        <f t="shared" si="19"/>
        <v>0</v>
      </c>
      <c r="X128" s="44">
        <f t="shared" si="19"/>
        <v>0</v>
      </c>
      <c r="Y128" s="44">
        <f t="shared" si="19"/>
        <v>0</v>
      </c>
      <c r="Z128" s="44">
        <f t="shared" si="19"/>
        <v>0</v>
      </c>
      <c r="AA128" s="44">
        <f t="shared" si="19"/>
        <v>0</v>
      </c>
      <c r="AB128" s="44">
        <f t="shared" si="19"/>
        <v>0</v>
      </c>
      <c r="AC128" s="44">
        <f t="shared" si="19"/>
        <v>0</v>
      </c>
      <c r="AD128" s="44">
        <f t="shared" si="19"/>
        <v>0</v>
      </c>
      <c r="AE128" s="44">
        <f t="shared" si="13"/>
        <v>1.9338001247910547E-3</v>
      </c>
      <c r="AF128" s="44">
        <f t="shared" si="12"/>
        <v>0</v>
      </c>
      <c r="AG128" s="44">
        <f>Table1[[#This Row],[Column2]]/$D$141*0.5</f>
        <v>1.6128915105686505E-3</v>
      </c>
      <c r="AH128" s="44">
        <f>Table1[[#This Row],[Column29]]/$D$141*1.5</f>
        <v>4.8386745317059512E-3</v>
      </c>
    </row>
    <row r="129" spans="3:34">
      <c r="C129" s="44" t="s">
        <v>472</v>
      </c>
      <c r="D129" s="44">
        <v>4.2491179158581967E-3</v>
      </c>
      <c r="E129" s="44">
        <f t="shared" si="18"/>
        <v>0</v>
      </c>
      <c r="F129" s="44">
        <f t="shared" si="18"/>
        <v>0</v>
      </c>
      <c r="G129" s="44">
        <f t="shared" si="18"/>
        <v>0</v>
      </c>
      <c r="H129" s="44">
        <f t="shared" si="18"/>
        <v>0</v>
      </c>
      <c r="I129" s="44">
        <f t="shared" si="18"/>
        <v>0</v>
      </c>
      <c r="J129" s="44">
        <f t="shared" si="18"/>
        <v>0</v>
      </c>
      <c r="K129" s="44">
        <f t="shared" si="18"/>
        <v>0</v>
      </c>
      <c r="L129" s="44">
        <f t="shared" si="18"/>
        <v>0</v>
      </c>
      <c r="M129" s="44">
        <f t="shared" si="18"/>
        <v>0</v>
      </c>
      <c r="N129" s="44">
        <f t="shared" si="18"/>
        <v>0</v>
      </c>
      <c r="O129" s="44">
        <f t="shared" si="19"/>
        <v>0</v>
      </c>
      <c r="P129" s="44">
        <f t="shared" si="19"/>
        <v>0</v>
      </c>
      <c r="Q129" s="44">
        <f t="shared" si="19"/>
        <v>0</v>
      </c>
      <c r="R129" s="44">
        <f t="shared" si="19"/>
        <v>4.2491179158581967E-3</v>
      </c>
      <c r="S129" s="44">
        <f t="shared" si="19"/>
        <v>1.6996471663432787E-2</v>
      </c>
      <c r="T129" s="44">
        <f t="shared" si="19"/>
        <v>4.2491179158581967E-3</v>
      </c>
      <c r="U129" s="44">
        <f t="shared" si="19"/>
        <v>0</v>
      </c>
      <c r="V129" s="44">
        <f t="shared" si="19"/>
        <v>0</v>
      </c>
      <c r="W129" s="44">
        <f t="shared" si="19"/>
        <v>0</v>
      </c>
      <c r="X129" s="44">
        <f t="shared" si="19"/>
        <v>0</v>
      </c>
      <c r="Y129" s="44">
        <f t="shared" si="19"/>
        <v>0</v>
      </c>
      <c r="Z129" s="44">
        <f t="shared" si="19"/>
        <v>0</v>
      </c>
      <c r="AA129" s="44">
        <f t="shared" si="19"/>
        <v>0</v>
      </c>
      <c r="AB129" s="44">
        <f t="shared" si="19"/>
        <v>0</v>
      </c>
      <c r="AC129" s="44">
        <f t="shared" si="19"/>
        <v>0</v>
      </c>
      <c r="AD129" s="44">
        <f t="shared" si="19"/>
        <v>0</v>
      </c>
      <c r="AE129" s="44">
        <f t="shared" si="13"/>
        <v>4.2491179158581976E-3</v>
      </c>
      <c r="AF129" s="44">
        <f t="shared" si="12"/>
        <v>0</v>
      </c>
      <c r="AG129" s="44">
        <f>Table1[[#This Row],[Column2]]/$D$141*0.5</f>
        <v>3.5439889190375046E-3</v>
      </c>
      <c r="AH129" s="44">
        <f>Table1[[#This Row],[Column29]]/$D$141*1.5</f>
        <v>1.0631966757112516E-2</v>
      </c>
    </row>
    <row r="130" spans="3:34">
      <c r="C130" s="44" t="s">
        <v>473</v>
      </c>
      <c r="D130" s="44">
        <v>2.8975920127766895E-3</v>
      </c>
      <c r="E130" s="44">
        <f t="shared" si="18"/>
        <v>0</v>
      </c>
      <c r="F130" s="44">
        <f t="shared" si="18"/>
        <v>0</v>
      </c>
      <c r="G130" s="44">
        <f t="shared" si="18"/>
        <v>0</v>
      </c>
      <c r="H130" s="44">
        <f t="shared" si="18"/>
        <v>0</v>
      </c>
      <c r="I130" s="44">
        <f t="shared" si="18"/>
        <v>0</v>
      </c>
      <c r="J130" s="44">
        <f t="shared" si="18"/>
        <v>0</v>
      </c>
      <c r="K130" s="44">
        <f t="shared" si="18"/>
        <v>0</v>
      </c>
      <c r="L130" s="44">
        <f t="shared" si="18"/>
        <v>0</v>
      </c>
      <c r="M130" s="44">
        <f t="shared" si="18"/>
        <v>0</v>
      </c>
      <c r="N130" s="44">
        <f t="shared" si="18"/>
        <v>0</v>
      </c>
      <c r="O130" s="44">
        <f t="shared" si="19"/>
        <v>0</v>
      </c>
      <c r="P130" s="44">
        <f t="shared" si="19"/>
        <v>0</v>
      </c>
      <c r="Q130" s="44">
        <f t="shared" si="19"/>
        <v>0</v>
      </c>
      <c r="R130" s="44">
        <f t="shared" si="19"/>
        <v>2.8975920127766895E-3</v>
      </c>
      <c r="S130" s="44">
        <f t="shared" si="19"/>
        <v>2.8975920127766895E-3</v>
      </c>
      <c r="T130" s="44">
        <f t="shared" si="19"/>
        <v>0</v>
      </c>
      <c r="U130" s="44">
        <f t="shared" si="19"/>
        <v>2.8975920127766895E-3</v>
      </c>
      <c r="V130" s="44">
        <f t="shared" si="19"/>
        <v>0</v>
      </c>
      <c r="W130" s="44">
        <f t="shared" si="19"/>
        <v>0</v>
      </c>
      <c r="X130" s="44">
        <f t="shared" si="19"/>
        <v>0</v>
      </c>
      <c r="Y130" s="44">
        <f t="shared" si="19"/>
        <v>0</v>
      </c>
      <c r="Z130" s="44">
        <f t="shared" si="19"/>
        <v>0</v>
      </c>
      <c r="AA130" s="44">
        <f t="shared" si="19"/>
        <v>0</v>
      </c>
      <c r="AB130" s="44">
        <f t="shared" si="19"/>
        <v>0</v>
      </c>
      <c r="AC130" s="44">
        <f t="shared" si="19"/>
        <v>0</v>
      </c>
      <c r="AD130" s="44">
        <f t="shared" si="19"/>
        <v>0</v>
      </c>
      <c r="AE130" s="44">
        <f t="shared" si="13"/>
        <v>2.897592012776689E-3</v>
      </c>
      <c r="AF130" s="44">
        <f t="shared" si="12"/>
        <v>0</v>
      </c>
      <c r="AG130" s="44">
        <f>Table1[[#This Row],[Column2]]/$D$141*0.5</f>
        <v>2.4167448841198196E-3</v>
      </c>
      <c r="AH130" s="44">
        <f>Table1[[#This Row],[Column29]]/$D$141*1.5</f>
        <v>7.2502346523594576E-3</v>
      </c>
    </row>
    <row r="131" spans="3:34">
      <c r="C131" s="44" t="s">
        <v>474</v>
      </c>
      <c r="D131" s="44">
        <v>2.4385275434814272E-3</v>
      </c>
      <c r="E131" s="44">
        <f t="shared" si="18"/>
        <v>0</v>
      </c>
      <c r="F131" s="44">
        <f t="shared" si="18"/>
        <v>0</v>
      </c>
      <c r="G131" s="44">
        <f t="shared" si="18"/>
        <v>0</v>
      </c>
      <c r="H131" s="44">
        <f t="shared" si="18"/>
        <v>0</v>
      </c>
      <c r="I131" s="44">
        <f t="shared" si="18"/>
        <v>0</v>
      </c>
      <c r="J131" s="44">
        <f t="shared" si="18"/>
        <v>0</v>
      </c>
      <c r="K131" s="44">
        <f t="shared" si="18"/>
        <v>0</v>
      </c>
      <c r="L131" s="44">
        <f t="shared" si="18"/>
        <v>0</v>
      </c>
      <c r="M131" s="44">
        <f t="shared" si="18"/>
        <v>0</v>
      </c>
      <c r="N131" s="44">
        <f t="shared" si="18"/>
        <v>0</v>
      </c>
      <c r="O131" s="44">
        <f t="shared" si="19"/>
        <v>0</v>
      </c>
      <c r="P131" s="44">
        <f t="shared" si="19"/>
        <v>0</v>
      </c>
      <c r="Q131" s="44">
        <f t="shared" si="19"/>
        <v>0</v>
      </c>
      <c r="R131" s="44">
        <f t="shared" si="19"/>
        <v>4.8770550869628544E-3</v>
      </c>
      <c r="S131" s="44">
        <f t="shared" si="19"/>
        <v>2.4385275434814272E-3</v>
      </c>
      <c r="T131" s="44">
        <f t="shared" si="19"/>
        <v>4.8770550869628544E-3</v>
      </c>
      <c r="U131" s="44">
        <f t="shared" si="19"/>
        <v>2.4385275434814272E-3</v>
      </c>
      <c r="V131" s="44">
        <f t="shared" si="19"/>
        <v>0</v>
      </c>
      <c r="W131" s="44">
        <f t="shared" si="19"/>
        <v>0</v>
      </c>
      <c r="X131" s="44">
        <f t="shared" si="19"/>
        <v>0</v>
      </c>
      <c r="Y131" s="44">
        <f t="shared" si="19"/>
        <v>0</v>
      </c>
      <c r="Z131" s="44">
        <f t="shared" si="19"/>
        <v>0</v>
      </c>
      <c r="AA131" s="44">
        <f t="shared" si="19"/>
        <v>0</v>
      </c>
      <c r="AB131" s="44">
        <f t="shared" si="19"/>
        <v>0</v>
      </c>
      <c r="AC131" s="44">
        <f t="shared" si="19"/>
        <v>0</v>
      </c>
      <c r="AD131" s="44">
        <f t="shared" si="19"/>
        <v>0</v>
      </c>
      <c r="AE131" s="44">
        <f t="shared" si="13"/>
        <v>2.4385275434814272E-3</v>
      </c>
      <c r="AF131" s="44">
        <f t="shared" si="12"/>
        <v>0</v>
      </c>
      <c r="AG131" s="44">
        <f>Table1[[#This Row],[Column2]]/$D$141*0.5</f>
        <v>2.0338608539463118E-3</v>
      </c>
      <c r="AH131" s="44">
        <f>Table1[[#This Row],[Column29]]/$D$141*1.5</f>
        <v>6.101582561838936E-3</v>
      </c>
    </row>
    <row r="132" spans="3:34">
      <c r="C132" s="44" t="s">
        <v>475</v>
      </c>
      <c r="D132" s="44">
        <v>6.4566952096386317E-4</v>
      </c>
      <c r="E132" s="44">
        <f t="shared" ref="E132:T140" si="20">((LEN($C132)-LEN(SUBSTITUTE($C132,E$3,"")))/4)*$D132</f>
        <v>0</v>
      </c>
      <c r="F132" s="44">
        <f t="shared" si="20"/>
        <v>0</v>
      </c>
      <c r="G132" s="44">
        <f t="shared" si="20"/>
        <v>0</v>
      </c>
      <c r="H132" s="44">
        <f t="shared" si="20"/>
        <v>0</v>
      </c>
      <c r="I132" s="44">
        <f t="shared" si="20"/>
        <v>0</v>
      </c>
      <c r="J132" s="44">
        <f t="shared" si="20"/>
        <v>0</v>
      </c>
      <c r="K132" s="44">
        <f t="shared" si="20"/>
        <v>0</v>
      </c>
      <c r="L132" s="44">
        <f t="shared" si="20"/>
        <v>0</v>
      </c>
      <c r="M132" s="44">
        <f t="shared" si="20"/>
        <v>0</v>
      </c>
      <c r="N132" s="44">
        <f t="shared" si="20"/>
        <v>0</v>
      </c>
      <c r="O132" s="44">
        <f t="shared" si="20"/>
        <v>0</v>
      </c>
      <c r="P132" s="44">
        <f t="shared" si="20"/>
        <v>0</v>
      </c>
      <c r="Q132" s="44">
        <f t="shared" si="20"/>
        <v>0</v>
      </c>
      <c r="R132" s="44">
        <f t="shared" si="20"/>
        <v>1.2913390419277263E-3</v>
      </c>
      <c r="S132" s="44">
        <f t="shared" si="20"/>
        <v>6.4566952096386317E-4</v>
      </c>
      <c r="T132" s="44">
        <f t="shared" si="20"/>
        <v>6.4566952096386317E-4</v>
      </c>
      <c r="U132" s="44">
        <f t="shared" ref="O132:AD140" si="21">((LEN($C132)-LEN(SUBSTITUTE($C132,U$3,"")))/4)*$D132</f>
        <v>6.4566952096386317E-4</v>
      </c>
      <c r="V132" s="44">
        <f t="shared" si="21"/>
        <v>6.4566952096386317E-4</v>
      </c>
      <c r="W132" s="44">
        <f t="shared" si="21"/>
        <v>0</v>
      </c>
      <c r="X132" s="44">
        <f t="shared" si="21"/>
        <v>0</v>
      </c>
      <c r="Y132" s="44">
        <f t="shared" si="21"/>
        <v>0</v>
      </c>
      <c r="Z132" s="44">
        <f t="shared" si="21"/>
        <v>0</v>
      </c>
      <c r="AA132" s="44">
        <f t="shared" si="21"/>
        <v>0</v>
      </c>
      <c r="AB132" s="44">
        <f t="shared" si="21"/>
        <v>0</v>
      </c>
      <c r="AC132" s="44">
        <f t="shared" si="21"/>
        <v>0</v>
      </c>
      <c r="AD132" s="44">
        <f t="shared" si="21"/>
        <v>0</v>
      </c>
      <c r="AE132" s="44">
        <f t="shared" si="13"/>
        <v>6.4566952096386306E-4</v>
      </c>
      <c r="AF132" s="44">
        <f t="shared" ref="AF132:AF140" si="22">D132-AE132</f>
        <v>0</v>
      </c>
      <c r="AG132" s="44">
        <f>Table1[[#This Row],[Column2]]/$D$141*0.5</f>
        <v>5.3852250583966827E-4</v>
      </c>
      <c r="AH132" s="44">
        <f>Table1[[#This Row],[Column29]]/$D$141*1.5</f>
        <v>1.6155675175190045E-3</v>
      </c>
    </row>
    <row r="133" spans="3:34">
      <c r="C133" s="44" t="s">
        <v>476</v>
      </c>
      <c r="D133" s="44">
        <v>6.2959868369243468E-4</v>
      </c>
      <c r="E133" s="44">
        <f t="shared" si="20"/>
        <v>0</v>
      </c>
      <c r="F133" s="44">
        <f t="shared" si="20"/>
        <v>0</v>
      </c>
      <c r="G133" s="44">
        <f t="shared" si="20"/>
        <v>0</v>
      </c>
      <c r="H133" s="44">
        <f t="shared" si="20"/>
        <v>0</v>
      </c>
      <c r="I133" s="44">
        <f t="shared" si="20"/>
        <v>0</v>
      </c>
      <c r="J133" s="44">
        <f t="shared" si="20"/>
        <v>0</v>
      </c>
      <c r="K133" s="44">
        <f t="shared" si="20"/>
        <v>0</v>
      </c>
      <c r="L133" s="44">
        <f t="shared" si="20"/>
        <v>0</v>
      </c>
      <c r="M133" s="44">
        <f t="shared" si="20"/>
        <v>0</v>
      </c>
      <c r="N133" s="44">
        <f t="shared" si="20"/>
        <v>0</v>
      </c>
      <c r="O133" s="44">
        <f t="shared" si="21"/>
        <v>0</v>
      </c>
      <c r="P133" s="44">
        <f t="shared" si="21"/>
        <v>0</v>
      </c>
      <c r="Q133" s="44">
        <f t="shared" si="21"/>
        <v>0</v>
      </c>
      <c r="R133" s="44">
        <f t="shared" si="21"/>
        <v>6.2959868369243468E-4</v>
      </c>
      <c r="S133" s="44">
        <f t="shared" si="21"/>
        <v>0</v>
      </c>
      <c r="T133" s="44">
        <f t="shared" si="21"/>
        <v>6.2959868369243468E-4</v>
      </c>
      <c r="U133" s="44">
        <f t="shared" si="21"/>
        <v>6.2959868369243468E-4</v>
      </c>
      <c r="V133" s="44">
        <f t="shared" si="21"/>
        <v>0</v>
      </c>
      <c r="W133" s="44">
        <f t="shared" si="21"/>
        <v>0</v>
      </c>
      <c r="X133" s="44">
        <f t="shared" si="21"/>
        <v>0</v>
      </c>
      <c r="Y133" s="44">
        <f t="shared" si="21"/>
        <v>0</v>
      </c>
      <c r="Z133" s="44">
        <f t="shared" si="21"/>
        <v>0</v>
      </c>
      <c r="AA133" s="44">
        <f t="shared" si="21"/>
        <v>0</v>
      </c>
      <c r="AB133" s="44">
        <f t="shared" si="21"/>
        <v>0</v>
      </c>
      <c r="AC133" s="44">
        <f t="shared" si="21"/>
        <v>0</v>
      </c>
      <c r="AD133" s="44">
        <f t="shared" si="21"/>
        <v>0</v>
      </c>
      <c r="AE133" s="44">
        <f t="shared" ref="AE133:AE140" si="23">SUM(E133:AD133)/IF(ISNUMBER(SEARCH(";", C133)), IF(ISNUMBER(SEARCH(";", C133, SEARCH(";", C133)+1)), 9, 6), 3)</f>
        <v>6.2959868369243468E-4</v>
      </c>
      <c r="AF133" s="44">
        <f t="shared" si="22"/>
        <v>0</v>
      </c>
      <c r="AG133" s="44">
        <f>Table1[[#This Row],[Column2]]/$D$141*0.5</f>
        <v>5.2511857816869563E-4</v>
      </c>
      <c r="AH133" s="44">
        <f>Table1[[#This Row],[Column29]]/$D$141*1.5</f>
        <v>1.5753557345060869E-3</v>
      </c>
    </row>
    <row r="134" spans="3:34">
      <c r="C134" s="44" t="s">
        <v>477</v>
      </c>
      <c r="D134" s="44">
        <v>1.1815359772906755E-3</v>
      </c>
      <c r="E134" s="44">
        <f t="shared" si="20"/>
        <v>0</v>
      </c>
      <c r="F134" s="44">
        <f t="shared" si="20"/>
        <v>0</v>
      </c>
      <c r="G134" s="44">
        <f t="shared" si="20"/>
        <v>0</v>
      </c>
      <c r="H134" s="44">
        <f t="shared" si="20"/>
        <v>0</v>
      </c>
      <c r="I134" s="44">
        <f t="shared" si="20"/>
        <v>0</v>
      </c>
      <c r="J134" s="44">
        <f t="shared" si="20"/>
        <v>0</v>
      </c>
      <c r="K134" s="44">
        <f t="shared" si="20"/>
        <v>0</v>
      </c>
      <c r="L134" s="44">
        <f t="shared" si="20"/>
        <v>0</v>
      </c>
      <c r="M134" s="44">
        <f t="shared" si="20"/>
        <v>0</v>
      </c>
      <c r="N134" s="44">
        <f t="shared" si="20"/>
        <v>0</v>
      </c>
      <c r="O134" s="44">
        <f t="shared" si="21"/>
        <v>0</v>
      </c>
      <c r="P134" s="44">
        <f t="shared" si="21"/>
        <v>0</v>
      </c>
      <c r="Q134" s="44">
        <f t="shared" si="21"/>
        <v>0</v>
      </c>
      <c r="R134" s="44">
        <f t="shared" si="21"/>
        <v>1.1815359772906755E-3</v>
      </c>
      <c r="S134" s="44">
        <f t="shared" si="21"/>
        <v>2.363071954581351E-3</v>
      </c>
      <c r="T134" s="44">
        <f t="shared" si="21"/>
        <v>1.1815359772906755E-3</v>
      </c>
      <c r="U134" s="44">
        <f t="shared" si="21"/>
        <v>2.363071954581351E-3</v>
      </c>
      <c r="V134" s="44">
        <f t="shared" si="21"/>
        <v>0</v>
      </c>
      <c r="W134" s="44">
        <f t="shared" si="21"/>
        <v>0</v>
      </c>
      <c r="X134" s="44">
        <f t="shared" si="21"/>
        <v>0</v>
      </c>
      <c r="Y134" s="44">
        <f t="shared" si="21"/>
        <v>0</v>
      </c>
      <c r="Z134" s="44">
        <f t="shared" si="21"/>
        <v>0</v>
      </c>
      <c r="AA134" s="44">
        <f t="shared" si="21"/>
        <v>0</v>
      </c>
      <c r="AB134" s="44">
        <f t="shared" si="21"/>
        <v>0</v>
      </c>
      <c r="AC134" s="44">
        <f t="shared" si="21"/>
        <v>0</v>
      </c>
      <c r="AD134" s="44">
        <f t="shared" si="21"/>
        <v>0</v>
      </c>
      <c r="AE134" s="44">
        <f t="shared" si="23"/>
        <v>1.1815359772906755E-3</v>
      </c>
      <c r="AF134" s="44">
        <f t="shared" si="22"/>
        <v>0</v>
      </c>
      <c r="AG134" s="44">
        <f>Table1[[#This Row],[Column2]]/$D$141*0.5</f>
        <v>9.8546345238728953E-4</v>
      </c>
      <c r="AH134" s="44">
        <f>Table1[[#This Row],[Column29]]/$D$141*1.5</f>
        <v>2.9563903571618684E-3</v>
      </c>
    </row>
    <row r="135" spans="3:34">
      <c r="C135" s="44" t="s">
        <v>478</v>
      </c>
      <c r="D135" s="44">
        <v>8.1288071018548202E-4</v>
      </c>
      <c r="E135" s="44">
        <f t="shared" si="20"/>
        <v>0</v>
      </c>
      <c r="F135" s="44">
        <f t="shared" si="20"/>
        <v>0</v>
      </c>
      <c r="G135" s="44">
        <f t="shared" si="20"/>
        <v>0</v>
      </c>
      <c r="H135" s="44">
        <f t="shared" si="20"/>
        <v>0</v>
      </c>
      <c r="I135" s="44">
        <f t="shared" si="20"/>
        <v>0</v>
      </c>
      <c r="J135" s="44">
        <f t="shared" si="20"/>
        <v>0</v>
      </c>
      <c r="K135" s="44">
        <f t="shared" si="20"/>
        <v>0</v>
      </c>
      <c r="L135" s="44">
        <f t="shared" si="20"/>
        <v>0</v>
      </c>
      <c r="M135" s="44">
        <f t="shared" si="20"/>
        <v>0</v>
      </c>
      <c r="N135" s="44">
        <f t="shared" si="20"/>
        <v>0</v>
      </c>
      <c r="O135" s="44">
        <f t="shared" si="21"/>
        <v>0</v>
      </c>
      <c r="P135" s="44">
        <f t="shared" si="21"/>
        <v>0</v>
      </c>
      <c r="Q135" s="44">
        <f t="shared" si="21"/>
        <v>0</v>
      </c>
      <c r="R135" s="44">
        <f t="shared" si="21"/>
        <v>0</v>
      </c>
      <c r="S135" s="44">
        <f t="shared" si="21"/>
        <v>0</v>
      </c>
      <c r="T135" s="44">
        <f t="shared" si="21"/>
        <v>0</v>
      </c>
      <c r="U135" s="44">
        <f t="shared" si="21"/>
        <v>1.625761420370964E-3</v>
      </c>
      <c r="V135" s="44">
        <f t="shared" si="21"/>
        <v>0</v>
      </c>
      <c r="W135" s="44">
        <f t="shared" si="21"/>
        <v>0</v>
      </c>
      <c r="X135" s="44">
        <f t="shared" si="21"/>
        <v>0</v>
      </c>
      <c r="Y135" s="44">
        <f t="shared" si="21"/>
        <v>0</v>
      </c>
      <c r="Z135" s="44">
        <f t="shared" si="21"/>
        <v>0</v>
      </c>
      <c r="AA135" s="44">
        <f t="shared" si="21"/>
        <v>0</v>
      </c>
      <c r="AB135" s="44">
        <f t="shared" si="21"/>
        <v>0</v>
      </c>
      <c r="AC135" s="44">
        <f t="shared" si="21"/>
        <v>0</v>
      </c>
      <c r="AD135" s="44">
        <f t="shared" si="21"/>
        <v>8.1288071018548202E-4</v>
      </c>
      <c r="AE135" s="44">
        <f t="shared" si="23"/>
        <v>8.1288071018548213E-4</v>
      </c>
      <c r="AF135" s="44">
        <f t="shared" si="22"/>
        <v>0</v>
      </c>
      <c r="AG135" s="44">
        <f>Table1[[#This Row],[Column2]]/$D$141*0.5</f>
        <v>6.7798547520770336E-4</v>
      </c>
      <c r="AH135" s="44">
        <f>Table1[[#This Row],[Column29]]/$D$141*1.5</f>
        <v>2.0339564256231105E-3</v>
      </c>
    </row>
    <row r="136" spans="3:34">
      <c r="C136" s="44" t="s">
        <v>479</v>
      </c>
      <c r="D136" s="44">
        <v>4.3368343217853166E-3</v>
      </c>
      <c r="E136" s="44">
        <f t="shared" si="20"/>
        <v>0</v>
      </c>
      <c r="F136" s="44">
        <f t="shared" si="20"/>
        <v>0</v>
      </c>
      <c r="G136" s="44">
        <f t="shared" si="20"/>
        <v>0</v>
      </c>
      <c r="H136" s="44">
        <f t="shared" si="20"/>
        <v>0</v>
      </c>
      <c r="I136" s="44">
        <f t="shared" si="20"/>
        <v>0</v>
      </c>
      <c r="J136" s="44">
        <f t="shared" si="20"/>
        <v>0</v>
      </c>
      <c r="K136" s="44">
        <f t="shared" si="20"/>
        <v>0</v>
      </c>
      <c r="L136" s="44">
        <f t="shared" si="20"/>
        <v>0</v>
      </c>
      <c r="M136" s="44">
        <f t="shared" si="20"/>
        <v>0</v>
      </c>
      <c r="N136" s="44">
        <f t="shared" si="20"/>
        <v>0</v>
      </c>
      <c r="O136" s="44">
        <f t="shared" si="21"/>
        <v>0</v>
      </c>
      <c r="P136" s="44">
        <f t="shared" si="21"/>
        <v>0</v>
      </c>
      <c r="Q136" s="44">
        <f t="shared" si="21"/>
        <v>0</v>
      </c>
      <c r="R136" s="44">
        <f t="shared" si="21"/>
        <v>0</v>
      </c>
      <c r="S136" s="44">
        <f t="shared" si="21"/>
        <v>0</v>
      </c>
      <c r="T136" s="44">
        <f t="shared" si="21"/>
        <v>0</v>
      </c>
      <c r="U136" s="44">
        <f t="shared" si="21"/>
        <v>4.3368343217853166E-3</v>
      </c>
      <c r="V136" s="44">
        <f t="shared" si="21"/>
        <v>0</v>
      </c>
      <c r="W136" s="44">
        <f t="shared" si="21"/>
        <v>0</v>
      </c>
      <c r="X136" s="44">
        <f t="shared" si="21"/>
        <v>0</v>
      </c>
      <c r="Y136" s="44">
        <f t="shared" si="21"/>
        <v>0</v>
      </c>
      <c r="Z136" s="44">
        <f t="shared" si="21"/>
        <v>0</v>
      </c>
      <c r="AA136" s="44">
        <f t="shared" si="21"/>
        <v>4.3368343217853166E-3</v>
      </c>
      <c r="AB136" s="44">
        <f t="shared" si="21"/>
        <v>0</v>
      </c>
      <c r="AC136" s="44">
        <f t="shared" si="21"/>
        <v>0</v>
      </c>
      <c r="AD136" s="44">
        <f t="shared" si="21"/>
        <v>4.3368343217853166E-3</v>
      </c>
      <c r="AE136" s="44">
        <f>SUM(E136:AD136)/IF(ISNUMBER(SEARCH(";", C136)), IF(ISNUMBER(SEARCH(";", C136, SEARCH(";", C136)+1)), 9, 6), 3)</f>
        <v>4.3368343217853166E-3</v>
      </c>
      <c r="AF136" s="44">
        <f t="shared" si="22"/>
        <v>0</v>
      </c>
      <c r="AG136" s="44">
        <f>Table1[[#This Row],[Column2]]/$D$141*0.5</f>
        <v>3.6171490376266644E-3</v>
      </c>
      <c r="AH136" s="44">
        <f>Table1[[#This Row],[Column29]]/$D$141*1.5</f>
        <v>1.0851447112879994E-2</v>
      </c>
    </row>
    <row r="137" spans="3:34">
      <c r="C137" s="44" t="s">
        <v>480</v>
      </c>
      <c r="D137" s="44">
        <v>1.4227990637433869E-3</v>
      </c>
      <c r="E137" s="44">
        <f t="shared" si="20"/>
        <v>0</v>
      </c>
      <c r="F137" s="44">
        <f t="shared" si="20"/>
        <v>0</v>
      </c>
      <c r="G137" s="44">
        <f t="shared" si="20"/>
        <v>0</v>
      </c>
      <c r="H137" s="44">
        <f t="shared" si="20"/>
        <v>0</v>
      </c>
      <c r="I137" s="44">
        <f t="shared" si="20"/>
        <v>0</v>
      </c>
      <c r="J137" s="44">
        <f t="shared" si="20"/>
        <v>0</v>
      </c>
      <c r="K137" s="44">
        <f t="shared" si="20"/>
        <v>0</v>
      </c>
      <c r="L137" s="44">
        <f t="shared" si="20"/>
        <v>0</v>
      </c>
      <c r="M137" s="44">
        <f t="shared" si="20"/>
        <v>0</v>
      </c>
      <c r="N137" s="44">
        <f t="shared" si="20"/>
        <v>0</v>
      </c>
      <c r="O137" s="44">
        <f t="shared" si="21"/>
        <v>0</v>
      </c>
      <c r="P137" s="44">
        <f t="shared" si="21"/>
        <v>0</v>
      </c>
      <c r="Q137" s="44">
        <f t="shared" si="21"/>
        <v>0</v>
      </c>
      <c r="R137" s="44">
        <f t="shared" si="21"/>
        <v>0</v>
      </c>
      <c r="S137" s="44">
        <f t="shared" si="21"/>
        <v>0</v>
      </c>
      <c r="T137" s="44">
        <f t="shared" si="21"/>
        <v>0</v>
      </c>
      <c r="U137" s="44">
        <f t="shared" si="21"/>
        <v>0</v>
      </c>
      <c r="V137" s="44">
        <f t="shared" si="21"/>
        <v>0</v>
      </c>
      <c r="W137" s="44">
        <f t="shared" si="21"/>
        <v>0</v>
      </c>
      <c r="X137" s="44">
        <f t="shared" si="21"/>
        <v>1.4227990637433869E-3</v>
      </c>
      <c r="Y137" s="44">
        <f t="shared" si="21"/>
        <v>0</v>
      </c>
      <c r="Z137" s="44">
        <f t="shared" si="21"/>
        <v>0</v>
      </c>
      <c r="AA137" s="44">
        <f t="shared" si="21"/>
        <v>0</v>
      </c>
      <c r="AB137" s="44">
        <f t="shared" si="21"/>
        <v>0</v>
      </c>
      <c r="AC137" s="44">
        <f t="shared" si="21"/>
        <v>2.8455981274867737E-3</v>
      </c>
      <c r="AD137" s="44">
        <f t="shared" si="21"/>
        <v>0</v>
      </c>
      <c r="AE137" s="44">
        <f t="shared" si="23"/>
        <v>1.4227990637433869E-3</v>
      </c>
      <c r="AF137" s="44">
        <f t="shared" si="22"/>
        <v>0</v>
      </c>
      <c r="AG137" s="44">
        <f>Table1[[#This Row],[Column2]]/$D$141*0.5</f>
        <v>1.1866896178862776E-3</v>
      </c>
      <c r="AH137" s="44">
        <f>Table1[[#This Row],[Column29]]/$D$141*1.5</f>
        <v>3.5600688536588329E-3</v>
      </c>
    </row>
    <row r="138" spans="3:34">
      <c r="C138" s="44" t="s">
        <v>481</v>
      </c>
      <c r="D138" s="44">
        <v>8.7366915348311368E-4</v>
      </c>
      <c r="E138" s="44">
        <f t="shared" si="20"/>
        <v>0</v>
      </c>
      <c r="F138" s="44">
        <f t="shared" si="20"/>
        <v>0</v>
      </c>
      <c r="G138" s="44">
        <f t="shared" si="20"/>
        <v>0</v>
      </c>
      <c r="H138" s="44">
        <f t="shared" si="20"/>
        <v>0</v>
      </c>
      <c r="I138" s="44">
        <f t="shared" si="20"/>
        <v>0</v>
      </c>
      <c r="J138" s="44">
        <f t="shared" si="20"/>
        <v>0</v>
      </c>
      <c r="K138" s="44">
        <f t="shared" si="20"/>
        <v>0</v>
      </c>
      <c r="L138" s="44">
        <f t="shared" si="20"/>
        <v>0</v>
      </c>
      <c r="M138" s="44">
        <f t="shared" si="20"/>
        <v>0</v>
      </c>
      <c r="N138" s="44">
        <f t="shared" si="20"/>
        <v>0</v>
      </c>
      <c r="O138" s="44">
        <f t="shared" si="21"/>
        <v>0</v>
      </c>
      <c r="P138" s="44">
        <f t="shared" si="21"/>
        <v>0</v>
      </c>
      <c r="Q138" s="44">
        <f t="shared" si="21"/>
        <v>0</v>
      </c>
      <c r="R138" s="44">
        <f t="shared" si="21"/>
        <v>0</v>
      </c>
      <c r="S138" s="44">
        <f t="shared" si="21"/>
        <v>0</v>
      </c>
      <c r="T138" s="44">
        <f t="shared" si="21"/>
        <v>0</v>
      </c>
      <c r="U138" s="44">
        <f t="shared" si="21"/>
        <v>0</v>
      </c>
      <c r="V138" s="44">
        <f t="shared" si="21"/>
        <v>0</v>
      </c>
      <c r="W138" s="44">
        <f t="shared" si="21"/>
        <v>0</v>
      </c>
      <c r="X138" s="44">
        <f t="shared" si="21"/>
        <v>8.7366915348311368E-4</v>
      </c>
      <c r="Y138" s="44">
        <f t="shared" si="21"/>
        <v>0</v>
      </c>
      <c r="Z138" s="44">
        <f t="shared" si="21"/>
        <v>0</v>
      </c>
      <c r="AA138" s="44">
        <f t="shared" si="21"/>
        <v>0</v>
      </c>
      <c r="AB138" s="44">
        <f t="shared" si="21"/>
        <v>0</v>
      </c>
      <c r="AC138" s="44">
        <f t="shared" si="21"/>
        <v>8.7366915348311368E-4</v>
      </c>
      <c r="AD138" s="44">
        <f t="shared" si="21"/>
        <v>8.7366915348311368E-4</v>
      </c>
      <c r="AE138" s="44">
        <f t="shared" si="23"/>
        <v>8.7366915348311357E-4</v>
      </c>
      <c r="AF138" s="44">
        <f t="shared" si="22"/>
        <v>0</v>
      </c>
      <c r="AG138" s="44">
        <f>Table1[[#This Row],[Column2]]/$D$141*0.5</f>
        <v>7.2868624974924373E-4</v>
      </c>
      <c r="AH138" s="44">
        <f>Table1[[#This Row],[Column29]]/$D$141*1.5</f>
        <v>2.186058749247731E-3</v>
      </c>
    </row>
    <row r="139" spans="3:34">
      <c r="C139" s="44" t="s">
        <v>482</v>
      </c>
      <c r="D139" s="44">
        <v>3.9185914979656079E-3</v>
      </c>
      <c r="E139" s="44">
        <f t="shared" si="20"/>
        <v>0</v>
      </c>
      <c r="F139" s="44">
        <f t="shared" si="20"/>
        <v>0</v>
      </c>
      <c r="G139" s="44">
        <f t="shared" si="20"/>
        <v>0</v>
      </c>
      <c r="H139" s="44">
        <f t="shared" si="20"/>
        <v>0</v>
      </c>
      <c r="I139" s="44">
        <f t="shared" si="20"/>
        <v>0</v>
      </c>
      <c r="J139" s="44">
        <f t="shared" si="20"/>
        <v>0</v>
      </c>
      <c r="K139" s="44">
        <f t="shared" si="20"/>
        <v>0</v>
      </c>
      <c r="L139" s="44">
        <f t="shared" si="20"/>
        <v>0</v>
      </c>
      <c r="M139" s="44">
        <f t="shared" si="20"/>
        <v>0</v>
      </c>
      <c r="N139" s="44">
        <f t="shared" si="20"/>
        <v>0</v>
      </c>
      <c r="O139" s="44">
        <f t="shared" si="21"/>
        <v>0</v>
      </c>
      <c r="P139" s="44">
        <f t="shared" si="21"/>
        <v>0</v>
      </c>
      <c r="Q139" s="44">
        <f t="shared" si="21"/>
        <v>0</v>
      </c>
      <c r="R139" s="44">
        <f t="shared" si="21"/>
        <v>0</v>
      </c>
      <c r="S139" s="44">
        <f t="shared" si="21"/>
        <v>0</v>
      </c>
      <c r="T139" s="44">
        <f t="shared" si="21"/>
        <v>0</v>
      </c>
      <c r="U139" s="44">
        <f t="shared" si="21"/>
        <v>0</v>
      </c>
      <c r="V139" s="44">
        <f t="shared" si="21"/>
        <v>0</v>
      </c>
      <c r="W139" s="44">
        <f t="shared" si="21"/>
        <v>0</v>
      </c>
      <c r="X139" s="44">
        <f t="shared" si="21"/>
        <v>0</v>
      </c>
      <c r="Y139" s="44">
        <f t="shared" si="21"/>
        <v>0</v>
      </c>
      <c r="Z139" s="44">
        <f t="shared" si="21"/>
        <v>0</v>
      </c>
      <c r="AA139" s="44">
        <f t="shared" si="21"/>
        <v>1.1755774493896823E-2</v>
      </c>
      <c r="AB139" s="44">
        <f t="shared" si="21"/>
        <v>0</v>
      </c>
      <c r="AC139" s="44">
        <f t="shared" si="21"/>
        <v>0</v>
      </c>
      <c r="AD139" s="44">
        <f t="shared" si="21"/>
        <v>0</v>
      </c>
      <c r="AE139" s="44">
        <f t="shared" si="23"/>
        <v>3.9185914979656079E-3</v>
      </c>
      <c r="AF139" s="44">
        <f t="shared" si="22"/>
        <v>0</v>
      </c>
      <c r="AG139" s="44">
        <f>Table1[[#This Row],[Column2]]/$D$141*0.5</f>
        <v>3.2683124173125792E-3</v>
      </c>
      <c r="AH139" s="44">
        <f>Table1[[#This Row],[Column29]]/$D$141*1.5</f>
        <v>9.8049372519377377E-3</v>
      </c>
    </row>
    <row r="140" spans="3:34">
      <c r="C140" s="44" t="s">
        <v>483</v>
      </c>
      <c r="D140" s="44">
        <v>2.0078520220221468E-3</v>
      </c>
      <c r="E140" s="44">
        <f t="shared" si="20"/>
        <v>0</v>
      </c>
      <c r="F140" s="44">
        <f t="shared" si="20"/>
        <v>0</v>
      </c>
      <c r="G140" s="44">
        <f t="shared" si="20"/>
        <v>0</v>
      </c>
      <c r="H140" s="44">
        <f t="shared" si="20"/>
        <v>0</v>
      </c>
      <c r="I140" s="44">
        <f t="shared" si="20"/>
        <v>0</v>
      </c>
      <c r="J140" s="44">
        <f t="shared" si="20"/>
        <v>0</v>
      </c>
      <c r="K140" s="44">
        <f t="shared" si="20"/>
        <v>0</v>
      </c>
      <c r="L140" s="44">
        <f t="shared" si="20"/>
        <v>0</v>
      </c>
      <c r="M140" s="44">
        <f t="shared" si="20"/>
        <v>0</v>
      </c>
      <c r="N140" s="44">
        <f t="shared" si="20"/>
        <v>0</v>
      </c>
      <c r="O140" s="44">
        <f t="shared" si="21"/>
        <v>0</v>
      </c>
      <c r="P140" s="44">
        <f t="shared" si="21"/>
        <v>0</v>
      </c>
      <c r="Q140" s="44">
        <f t="shared" si="21"/>
        <v>0</v>
      </c>
      <c r="R140" s="44">
        <f t="shared" si="21"/>
        <v>0</v>
      </c>
      <c r="S140" s="44">
        <f t="shared" si="21"/>
        <v>0</v>
      </c>
      <c r="T140" s="44">
        <f t="shared" si="21"/>
        <v>0</v>
      </c>
      <c r="U140" s="44">
        <f t="shared" si="21"/>
        <v>0</v>
      </c>
      <c r="V140" s="44">
        <f t="shared" si="21"/>
        <v>0</v>
      </c>
      <c r="W140" s="44">
        <f t="shared" si="21"/>
        <v>0</v>
      </c>
      <c r="X140" s="44">
        <f t="shared" si="21"/>
        <v>0</v>
      </c>
      <c r="Y140" s="44">
        <f t="shared" si="21"/>
        <v>0</v>
      </c>
      <c r="Z140" s="44">
        <f t="shared" si="21"/>
        <v>0</v>
      </c>
      <c r="AA140" s="44">
        <f t="shared" si="21"/>
        <v>4.0157040440442935E-3</v>
      </c>
      <c r="AB140" s="44">
        <f t="shared" si="21"/>
        <v>0</v>
      </c>
      <c r="AC140" s="44">
        <f t="shared" si="21"/>
        <v>0</v>
      </c>
      <c r="AD140" s="44">
        <f t="shared" si="21"/>
        <v>2.0078520220221468E-3</v>
      </c>
      <c r="AE140" s="44">
        <f t="shared" si="23"/>
        <v>2.0078520220221468E-3</v>
      </c>
      <c r="AF140" s="44">
        <f t="shared" si="22"/>
        <v>0</v>
      </c>
      <c r="AG140" s="44">
        <f>Table1[[#This Row],[Column2]]/$D$141*0.5</f>
        <v>1.6746547066996027E-3</v>
      </c>
      <c r="AH140" s="44">
        <f>Table1[[#This Row],[Column29]]/$D$141*1.5</f>
        <v>5.0239641200988082E-3</v>
      </c>
    </row>
    <row r="141" spans="3:34">
      <c r="D141" s="44">
        <f>SUM(D4:D140)</f>
        <v>0.5994823929940778</v>
      </c>
      <c r="E141" s="44">
        <f t="shared" ref="E141:AE141" si="24">SUM(E4:E140)</f>
        <v>1.8546433733678619E-2</v>
      </c>
      <c r="F141" s="44">
        <f t="shared" si="24"/>
        <v>4.2348231782495648E-3</v>
      </c>
      <c r="G141" s="44">
        <f t="shared" si="24"/>
        <v>0.24726870964153708</v>
      </c>
      <c r="H141" s="44">
        <f t="shared" si="24"/>
        <v>7.9676690276092137E-3</v>
      </c>
      <c r="I141" s="44">
        <f t="shared" si="24"/>
        <v>9.2655882323199143E-2</v>
      </c>
      <c r="J141" s="44">
        <f t="shared" si="24"/>
        <v>8.7011695415752154E-4</v>
      </c>
      <c r="K141" s="44">
        <f t="shared" si="24"/>
        <v>0.65819325803453776</v>
      </c>
      <c r="L141" s="44">
        <f t="shared" si="24"/>
        <v>0.47523110136140634</v>
      </c>
      <c r="M141" s="44">
        <f t="shared" si="24"/>
        <v>2.1923945063404046E-2</v>
      </c>
      <c r="N141" s="44">
        <f t="shared" si="24"/>
        <v>1.1363943990869018E-2</v>
      </c>
      <c r="O141" s="44">
        <f t="shared" si="24"/>
        <v>2.30141551419045E-2</v>
      </c>
      <c r="P141" s="44">
        <f t="shared" si="24"/>
        <v>4.526650676231328E-2</v>
      </c>
      <c r="Q141" s="44">
        <f t="shared" si="24"/>
        <v>1.9210981475251878E-2</v>
      </c>
      <c r="R141" s="44">
        <f t="shared" si="24"/>
        <v>0.52582530552996387</v>
      </c>
      <c r="S141" s="44">
        <f t="shared" si="24"/>
        <v>0.17402422158779823</v>
      </c>
      <c r="T141" s="44">
        <f t="shared" si="24"/>
        <v>3.7300757068210635E-2</v>
      </c>
      <c r="U141" s="44">
        <f t="shared" si="24"/>
        <v>2.8735287270226784E-2</v>
      </c>
      <c r="V141" s="44">
        <f t="shared" si="24"/>
        <v>8.3668617502069976E-4</v>
      </c>
      <c r="W141" s="44">
        <f t="shared" si="24"/>
        <v>8.2015698944919494E-4</v>
      </c>
      <c r="X141" s="44">
        <f t="shared" si="24"/>
        <v>2.6596691395607847E-2</v>
      </c>
      <c r="Y141" s="44">
        <f t="shared" si="24"/>
        <v>3.1884426559439147E-3</v>
      </c>
      <c r="Z141" s="44">
        <f t="shared" si="24"/>
        <v>6.5187727575302277E-3</v>
      </c>
      <c r="AA141" s="44">
        <f t="shared" si="24"/>
        <v>4.3149453257797926E-2</v>
      </c>
      <c r="AB141" s="44">
        <f t="shared" si="24"/>
        <v>1.5926457556904449E-3</v>
      </c>
      <c r="AC141" s="44">
        <f t="shared" si="24"/>
        <v>9.0144506046774316E-3</v>
      </c>
      <c r="AD141" s="44">
        <f t="shared" si="24"/>
        <v>3.2254886572975892E-2</v>
      </c>
      <c r="AE141" s="44">
        <f t="shared" si="24"/>
        <v>0.5994823929940778</v>
      </c>
      <c r="AF141" s="44">
        <f>SUM(AF4:AF140)</f>
        <v>0</v>
      </c>
      <c r="AH141" s="44">
        <f>Table1[[#This Row],[Column29]]/$D$141*1.5</f>
        <v>1.5</v>
      </c>
    </row>
    <row r="142" spans="3:34">
      <c r="D142" s="44">
        <f>SUM(E141:AD141)</f>
        <v>2.5156052843090113</v>
      </c>
      <c r="E142" s="44">
        <f t="shared" ref="E142:AD142" si="25">E141/$D$142*100</f>
        <v>0.73725531781004228</v>
      </c>
      <c r="F142" s="44">
        <f t="shared" si="25"/>
        <v>0.16834211649435257</v>
      </c>
      <c r="G142" s="44">
        <f t="shared" si="25"/>
        <v>9.8293922017045308</v>
      </c>
      <c r="H142" s="44">
        <f t="shared" si="25"/>
        <v>0.31672969830788772</v>
      </c>
      <c r="I142" s="44">
        <f t="shared" si="25"/>
        <v>3.6832440646049105</v>
      </c>
      <c r="J142" s="44">
        <f t="shared" si="25"/>
        <v>3.4588771123388942E-2</v>
      </c>
      <c r="K142" s="44">
        <f t="shared" si="25"/>
        <v>26.164409104241919</v>
      </c>
      <c r="L142" s="44">
        <f t="shared" si="25"/>
        <v>18.891322272442405</v>
      </c>
      <c r="M142" s="44">
        <f t="shared" si="25"/>
        <v>0.87151769000302981</v>
      </c>
      <c r="N142" s="44">
        <f t="shared" si="25"/>
        <v>0.45173795991569787</v>
      </c>
      <c r="O142" s="44">
        <f t="shared" si="25"/>
        <v>0.91485557314791732</v>
      </c>
      <c r="P142" s="44">
        <f t="shared" si="25"/>
        <v>1.7994280360540393</v>
      </c>
      <c r="Q142" s="44">
        <f t="shared" si="25"/>
        <v>0.76367232948187924</v>
      </c>
      <c r="R142" s="44">
        <f t="shared" si="25"/>
        <v>20.902536213044968</v>
      </c>
      <c r="S142" s="44">
        <f t="shared" si="25"/>
        <v>6.9177872487892849</v>
      </c>
      <c r="T142" s="44">
        <f t="shared" si="25"/>
        <v>1.482774634831332</v>
      </c>
      <c r="U142" s="44">
        <f t="shared" si="25"/>
        <v>1.1422812413959378</v>
      </c>
      <c r="V142" s="44">
        <f t="shared" si="25"/>
        <v>3.3259835326292911E-2</v>
      </c>
      <c r="W142" s="44">
        <f t="shared" si="25"/>
        <v>3.2602769383769853E-2</v>
      </c>
      <c r="X142" s="44">
        <f t="shared" si="25"/>
        <v>1.0572680683056146</v>
      </c>
      <c r="Y142" s="44">
        <f t="shared" si="25"/>
        <v>0.12674653992149326</v>
      </c>
      <c r="Z142" s="44">
        <f t="shared" si="25"/>
        <v>0.2591333703340033</v>
      </c>
      <c r="AA142" s="44">
        <f t="shared" si="25"/>
        <v>1.7152712123376803</v>
      </c>
      <c r="AB142" s="44">
        <f t="shared" si="25"/>
        <v>6.3310638025150842E-2</v>
      </c>
      <c r="AC142" s="44">
        <f t="shared" si="25"/>
        <v>0.35834121755526238</v>
      </c>
      <c r="AD142" s="44">
        <f t="shared" si="25"/>
        <v>1.2821918754171997</v>
      </c>
      <c r="AH142" s="44">
        <f>Table1[[#This Row],[Column29]]/$D$141*1.5</f>
        <v>0</v>
      </c>
    </row>
    <row r="143" spans="3:34">
      <c r="D143" s="44">
        <f>SUM(E142:AD142)</f>
        <v>100</v>
      </c>
      <c r="E143" s="47">
        <f>IF(E142 &gt; 1, E142, 0)</f>
        <v>0</v>
      </c>
      <c r="F143" s="47">
        <f t="shared" ref="F143:AD143" si="26">IF(F142 &gt; 1, F142, 0)</f>
        <v>0</v>
      </c>
      <c r="G143" s="44">
        <f t="shared" si="26"/>
        <v>9.8293922017045308</v>
      </c>
      <c r="H143" s="47">
        <f t="shared" si="26"/>
        <v>0</v>
      </c>
      <c r="I143" s="44">
        <f t="shared" si="26"/>
        <v>3.6832440646049105</v>
      </c>
      <c r="J143" s="47">
        <f t="shared" si="26"/>
        <v>0</v>
      </c>
      <c r="K143" s="44">
        <f t="shared" si="26"/>
        <v>26.164409104241919</v>
      </c>
      <c r="L143" s="44">
        <f t="shared" si="26"/>
        <v>18.891322272442405</v>
      </c>
      <c r="M143" s="47">
        <f t="shared" si="26"/>
        <v>0</v>
      </c>
      <c r="N143" s="47">
        <f t="shared" si="26"/>
        <v>0</v>
      </c>
      <c r="O143" s="47">
        <f t="shared" si="26"/>
        <v>0</v>
      </c>
      <c r="P143" s="44">
        <f t="shared" si="26"/>
        <v>1.7994280360540393</v>
      </c>
      <c r="Q143" s="44">
        <f>Q142</f>
        <v>0.76367232948187924</v>
      </c>
      <c r="R143" s="44">
        <f t="shared" si="26"/>
        <v>20.902536213044968</v>
      </c>
      <c r="S143" s="44">
        <f t="shared" si="26"/>
        <v>6.9177872487892849</v>
      </c>
      <c r="T143" s="44">
        <f t="shared" si="26"/>
        <v>1.482774634831332</v>
      </c>
      <c r="U143" s="44">
        <f t="shared" si="26"/>
        <v>1.1422812413959378</v>
      </c>
      <c r="V143" s="47">
        <f t="shared" si="26"/>
        <v>0</v>
      </c>
      <c r="W143" s="47">
        <f t="shared" si="26"/>
        <v>0</v>
      </c>
      <c r="X143" s="44">
        <f>IF(X142 &gt; 1, X142, 0)</f>
        <v>1.0572680683056146</v>
      </c>
      <c r="Y143" s="47">
        <f t="shared" si="26"/>
        <v>0</v>
      </c>
      <c r="Z143" s="44">
        <f>Z142</f>
        <v>0.2591333703340033</v>
      </c>
      <c r="AA143" s="44">
        <f t="shared" si="26"/>
        <v>1.7152712123376803</v>
      </c>
      <c r="AB143" s="47">
        <f t="shared" si="26"/>
        <v>0</v>
      </c>
      <c r="AC143" s="44">
        <f>AC142</f>
        <v>0.35834121755526238</v>
      </c>
      <c r="AD143" s="44">
        <f t="shared" si="26"/>
        <v>1.2821918754171997</v>
      </c>
      <c r="AH143" s="44">
        <f>Table1[[#This Row],[Column29]]/$D$141*1.5</f>
        <v>0</v>
      </c>
    </row>
    <row r="144" spans="3:34">
      <c r="D144" s="44">
        <f>SUM(E143:AD143)</f>
        <v>96.249053090540954</v>
      </c>
      <c r="E144" s="44">
        <f t="shared" ref="E144:AD144" si="27">E143/$D$144</f>
        <v>0</v>
      </c>
      <c r="F144" s="44">
        <f t="shared" si="27"/>
        <v>0</v>
      </c>
      <c r="G144" s="44">
        <f t="shared" si="27"/>
        <v>0.10212456004588508</v>
      </c>
      <c r="H144" s="44">
        <f t="shared" si="27"/>
        <v>0</v>
      </c>
      <c r="I144" s="44">
        <f t="shared" si="27"/>
        <v>3.8267847280950423E-2</v>
      </c>
      <c r="J144" s="44">
        <f t="shared" si="27"/>
        <v>0</v>
      </c>
      <c r="K144" s="44">
        <f t="shared" si="27"/>
        <v>0.27184069104169994</v>
      </c>
      <c r="L144" s="44">
        <f t="shared" si="27"/>
        <v>0.19627540911671559</v>
      </c>
      <c r="M144" s="44">
        <f t="shared" si="27"/>
        <v>0</v>
      </c>
      <c r="N144" s="44">
        <f t="shared" si="27"/>
        <v>0</v>
      </c>
      <c r="O144" s="44">
        <f t="shared" si="27"/>
        <v>0</v>
      </c>
      <c r="P144" s="44">
        <f t="shared" si="27"/>
        <v>1.8695540145847744E-2</v>
      </c>
      <c r="Q144" s="44">
        <f t="shared" si="27"/>
        <v>7.9343360268022255E-3</v>
      </c>
      <c r="R144" s="44">
        <f t="shared" si="27"/>
        <v>0.21717134394436138</v>
      </c>
      <c r="S144" s="44">
        <f t="shared" si="27"/>
        <v>7.1873821369252952E-2</v>
      </c>
      <c r="T144" s="44">
        <f t="shared" si="27"/>
        <v>1.5405602312123467E-2</v>
      </c>
      <c r="U144" s="44">
        <f t="shared" si="27"/>
        <v>1.1867973810832197E-2</v>
      </c>
      <c r="V144" s="44">
        <f t="shared" si="27"/>
        <v>0</v>
      </c>
      <c r="W144" s="44">
        <f t="shared" si="27"/>
        <v>0</v>
      </c>
      <c r="X144" s="44">
        <f t="shared" si="27"/>
        <v>1.0984711374885407E-2</v>
      </c>
      <c r="Y144" s="44">
        <f t="shared" si="27"/>
        <v>0</v>
      </c>
      <c r="Z144" s="44">
        <f t="shared" si="27"/>
        <v>2.6923212438281128E-3</v>
      </c>
      <c r="AA144" s="44">
        <f t="shared" si="27"/>
        <v>1.7821174933784899E-2</v>
      </c>
      <c r="AB144" s="44">
        <f t="shared" si="27"/>
        <v>0</v>
      </c>
      <c r="AC144" s="44">
        <f t="shared" si="27"/>
        <v>3.7230622645001272E-3</v>
      </c>
      <c r="AD144" s="44">
        <f t="shared" si="27"/>
        <v>1.3321605088530574E-2</v>
      </c>
      <c r="AH144" s="44">
        <f>Table1[[#This Row],[Column29]]/$D$141*1.5</f>
        <v>0</v>
      </c>
    </row>
    <row r="145" spans="3:35">
      <c r="D145" s="44">
        <f>SUM(E144:AD144)</f>
        <v>1.0000000000000002</v>
      </c>
      <c r="AH145" s="44">
        <f>Table1[[#This Row],[Column29]]/$D$141*1.5</f>
        <v>0</v>
      </c>
    </row>
    <row r="146" spans="3:35">
      <c r="E146" s="44" t="s">
        <v>317</v>
      </c>
      <c r="F146" s="44" t="s">
        <v>318</v>
      </c>
      <c r="G146" s="44" t="s">
        <v>319</v>
      </c>
      <c r="H146" s="44" t="s">
        <v>320</v>
      </c>
      <c r="I146" s="44" t="s">
        <v>321</v>
      </c>
      <c r="J146" s="44" t="s">
        <v>322</v>
      </c>
      <c r="K146" s="44" t="s">
        <v>323</v>
      </c>
      <c r="L146" s="44" t="s">
        <v>324</v>
      </c>
      <c r="M146" s="44" t="s">
        <v>325</v>
      </c>
      <c r="N146" s="44" t="s">
        <v>326</v>
      </c>
      <c r="O146" s="44" t="s">
        <v>327</v>
      </c>
      <c r="P146" s="44" t="s">
        <v>328</v>
      </c>
      <c r="Q146" s="44" t="s">
        <v>329</v>
      </c>
      <c r="R146" s="44" t="s">
        <v>330</v>
      </c>
      <c r="S146" s="44" t="s">
        <v>331</v>
      </c>
      <c r="T146" s="44" t="s">
        <v>332</v>
      </c>
      <c r="U146" s="44" t="s">
        <v>333</v>
      </c>
      <c r="V146" s="44" t="s">
        <v>334</v>
      </c>
      <c r="W146" s="44" t="s">
        <v>335</v>
      </c>
      <c r="X146" s="44" t="s">
        <v>336</v>
      </c>
      <c r="Y146" s="44" t="s">
        <v>337</v>
      </c>
      <c r="Z146" s="44" t="s">
        <v>338</v>
      </c>
      <c r="AA146" s="44" t="s">
        <v>339</v>
      </c>
      <c r="AB146" s="44" t="s">
        <v>340</v>
      </c>
      <c r="AC146" s="44" t="s">
        <v>341</v>
      </c>
      <c r="AD146" s="44" t="s">
        <v>342</v>
      </c>
      <c r="AH146" s="44">
        <f>Table1[[#This Row],[Column29]]/$D$141*1.5</f>
        <v>0</v>
      </c>
    </row>
    <row r="150" spans="3:35">
      <c r="C150" s="44" t="s">
        <v>315</v>
      </c>
      <c r="D150" s="44" t="s">
        <v>316</v>
      </c>
      <c r="E150" s="44" t="s">
        <v>317</v>
      </c>
      <c r="F150" s="44" t="s">
        <v>318</v>
      </c>
      <c r="G150" s="44" t="s">
        <v>319</v>
      </c>
      <c r="H150" s="44" t="s">
        <v>320</v>
      </c>
      <c r="I150" s="44" t="s">
        <v>321</v>
      </c>
      <c r="J150" s="44" t="s">
        <v>322</v>
      </c>
      <c r="K150" s="44" t="s">
        <v>323</v>
      </c>
      <c r="L150" s="44" t="s">
        <v>324</v>
      </c>
      <c r="M150" s="44" t="s">
        <v>325</v>
      </c>
      <c r="N150" s="44" t="s">
        <v>326</v>
      </c>
      <c r="O150" s="44" t="s">
        <v>327</v>
      </c>
      <c r="P150" s="44" t="s">
        <v>328</v>
      </c>
      <c r="Q150" s="44" t="s">
        <v>329</v>
      </c>
      <c r="R150" s="44" t="s">
        <v>330</v>
      </c>
      <c r="S150" s="44" t="s">
        <v>331</v>
      </c>
      <c r="T150" s="44" t="s">
        <v>332</v>
      </c>
      <c r="U150" s="44" t="s">
        <v>333</v>
      </c>
      <c r="V150" s="44" t="s">
        <v>334</v>
      </c>
      <c r="W150" s="44" t="s">
        <v>484</v>
      </c>
      <c r="X150" s="44" t="s">
        <v>335</v>
      </c>
      <c r="Y150" s="44" t="s">
        <v>336</v>
      </c>
      <c r="Z150" s="44" t="s">
        <v>337</v>
      </c>
      <c r="AA150" s="44" t="s">
        <v>338</v>
      </c>
      <c r="AB150" s="44" t="s">
        <v>339</v>
      </c>
      <c r="AC150" s="44" t="s">
        <v>340</v>
      </c>
      <c r="AD150" s="44" t="s">
        <v>341</v>
      </c>
      <c r="AE150" s="44" t="s">
        <v>342</v>
      </c>
      <c r="AF150" s="44" t="s">
        <v>343</v>
      </c>
      <c r="AG150" s="44" t="s">
        <v>344</v>
      </c>
      <c r="AH150" s="44" t="s">
        <v>345</v>
      </c>
      <c r="AI150" s="44" t="s">
        <v>346</v>
      </c>
    </row>
    <row r="151" spans="3:35">
      <c r="C151" s="44" t="s">
        <v>485</v>
      </c>
      <c r="D151" s="44">
        <v>9.1664217129215093E-3</v>
      </c>
      <c r="E151" s="44">
        <f t="shared" ref="E151:T157" si="28">((LEN($C151)-LEN(SUBSTITUTE($C151,E$150,"")))/4)*$D151</f>
        <v>1.8332843425843019E-2</v>
      </c>
      <c r="F151" s="44">
        <f t="shared" si="28"/>
        <v>0</v>
      </c>
      <c r="G151" s="44">
        <f t="shared" si="28"/>
        <v>0</v>
      </c>
      <c r="H151" s="44">
        <f t="shared" si="28"/>
        <v>0</v>
      </c>
      <c r="I151" s="44">
        <f t="shared" si="28"/>
        <v>0</v>
      </c>
      <c r="J151" s="44">
        <f t="shared" si="28"/>
        <v>0</v>
      </c>
      <c r="K151" s="44">
        <f t="shared" si="28"/>
        <v>0</v>
      </c>
      <c r="L151" s="44">
        <f t="shared" si="28"/>
        <v>0</v>
      </c>
      <c r="M151" s="44">
        <f t="shared" si="28"/>
        <v>0</v>
      </c>
      <c r="N151" s="44">
        <f t="shared" si="28"/>
        <v>0</v>
      </c>
      <c r="O151" s="44">
        <f t="shared" si="28"/>
        <v>0</v>
      </c>
      <c r="P151" s="44">
        <f t="shared" si="28"/>
        <v>0</v>
      </c>
      <c r="Q151" s="44">
        <f t="shared" si="28"/>
        <v>0</v>
      </c>
      <c r="R151" s="44">
        <f t="shared" si="28"/>
        <v>0</v>
      </c>
      <c r="S151" s="44">
        <f t="shared" si="28"/>
        <v>0</v>
      </c>
      <c r="T151" s="44">
        <f t="shared" si="28"/>
        <v>0</v>
      </c>
      <c r="U151" s="44">
        <f t="shared" ref="U151:AE157" si="29">((LEN($C151)-LEN(SUBSTITUTE($C151,U$150,"")))/4)*$D151</f>
        <v>0</v>
      </c>
      <c r="V151" s="44">
        <f t="shared" si="29"/>
        <v>0</v>
      </c>
      <c r="W151" s="44">
        <f t="shared" si="29"/>
        <v>0</v>
      </c>
      <c r="X151" s="44">
        <f t="shared" si="29"/>
        <v>0</v>
      </c>
      <c r="Y151" s="44">
        <f t="shared" si="29"/>
        <v>0</v>
      </c>
      <c r="Z151" s="44">
        <f t="shared" si="29"/>
        <v>0</v>
      </c>
      <c r="AA151" s="44">
        <f t="shared" si="29"/>
        <v>0</v>
      </c>
      <c r="AB151" s="44">
        <f t="shared" si="29"/>
        <v>0</v>
      </c>
      <c r="AC151" s="44">
        <f t="shared" si="29"/>
        <v>0</v>
      </c>
      <c r="AD151" s="44">
        <f t="shared" si="29"/>
        <v>0</v>
      </c>
      <c r="AE151" s="44">
        <f t="shared" si="29"/>
        <v>0</v>
      </c>
      <c r="AF151" s="44">
        <f t="shared" ref="AF151:AF158" si="30">SUM(E151:AE151)/2</f>
        <v>9.1664217129215093E-3</v>
      </c>
      <c r="AG151" s="44">
        <f t="shared" ref="AG151:AG157" si="31">D151-AF151</f>
        <v>0</v>
      </c>
      <c r="AH151" s="44">
        <f>Table13[[#This Row],[Column29]]/$D$158*0.5</f>
        <v>0.23586634429685541</v>
      </c>
      <c r="AI151" s="44">
        <f>Table13[[#This Row],[Column29]]/$D$158*1.5</f>
        <v>0.70759903289056625</v>
      </c>
    </row>
    <row r="152" spans="3:35">
      <c r="C152" s="44" t="s">
        <v>486</v>
      </c>
      <c r="D152" s="44">
        <v>3.5077968340221412E-4</v>
      </c>
      <c r="E152" s="44">
        <f t="shared" si="28"/>
        <v>0</v>
      </c>
      <c r="F152" s="44">
        <f t="shared" si="28"/>
        <v>0</v>
      </c>
      <c r="G152" s="44">
        <f>((LEN($C152)-LEN(SUBSTITUTE($C152,G$150,"")))/4)*$D152</f>
        <v>3.5077968340221412E-4</v>
      </c>
      <c r="H152" s="44">
        <f>((LEN($C152)-LEN(SUBSTITUTE($C152,H$150,"")))/4)*$D152</f>
        <v>0</v>
      </c>
      <c r="I152" s="44">
        <f t="shared" si="28"/>
        <v>0</v>
      </c>
      <c r="J152" s="44">
        <f t="shared" si="28"/>
        <v>0</v>
      </c>
      <c r="K152" s="44">
        <f t="shared" si="28"/>
        <v>0</v>
      </c>
      <c r="L152" s="44">
        <f t="shared" si="28"/>
        <v>0</v>
      </c>
      <c r="M152" s="44">
        <f t="shared" si="28"/>
        <v>0</v>
      </c>
      <c r="N152" s="44">
        <f t="shared" si="28"/>
        <v>0</v>
      </c>
      <c r="O152" s="44">
        <f t="shared" si="28"/>
        <v>0</v>
      </c>
      <c r="P152" s="44">
        <f t="shared" si="28"/>
        <v>0</v>
      </c>
      <c r="Q152" s="44">
        <f t="shared" si="28"/>
        <v>0</v>
      </c>
      <c r="R152" s="44">
        <f t="shared" si="28"/>
        <v>0</v>
      </c>
      <c r="S152" s="44">
        <f t="shared" si="28"/>
        <v>0</v>
      </c>
      <c r="T152" s="44">
        <f t="shared" si="28"/>
        <v>0</v>
      </c>
      <c r="U152" s="44">
        <f t="shared" si="29"/>
        <v>0</v>
      </c>
      <c r="V152" s="44">
        <f t="shared" si="29"/>
        <v>0</v>
      </c>
      <c r="W152" s="44">
        <f t="shared" si="29"/>
        <v>0</v>
      </c>
      <c r="X152" s="44">
        <f t="shared" si="29"/>
        <v>0</v>
      </c>
      <c r="Y152" s="44">
        <f t="shared" si="29"/>
        <v>0</v>
      </c>
      <c r="Z152" s="44">
        <f t="shared" si="29"/>
        <v>0</v>
      </c>
      <c r="AA152" s="44">
        <f t="shared" si="29"/>
        <v>0</v>
      </c>
      <c r="AB152" s="44">
        <f t="shared" si="29"/>
        <v>3.5077968340221412E-4</v>
      </c>
      <c r="AC152" s="44">
        <f t="shared" si="29"/>
        <v>0</v>
      </c>
      <c r="AD152" s="44">
        <f t="shared" si="29"/>
        <v>0</v>
      </c>
      <c r="AE152" s="44">
        <f t="shared" si="29"/>
        <v>0</v>
      </c>
      <c r="AF152" s="44">
        <f t="shared" si="30"/>
        <v>3.5077968340221412E-4</v>
      </c>
      <c r="AG152" s="44">
        <f t="shared" si="31"/>
        <v>0</v>
      </c>
      <c r="AH152" s="44">
        <f>Table13[[#This Row],[Column29]]/$D$158*0.5</f>
        <v>9.0261090062066004E-3</v>
      </c>
      <c r="AI152" s="44">
        <f>Table13[[#This Row],[Column29]]/$D$158*1.5</f>
        <v>2.7078327018619799E-2</v>
      </c>
    </row>
    <row r="153" spans="3:35">
      <c r="C153" s="44" t="s">
        <v>487</v>
      </c>
      <c r="D153" s="44">
        <v>3.0634854506355881E-4</v>
      </c>
      <c r="E153" s="44">
        <f t="shared" si="28"/>
        <v>0</v>
      </c>
      <c r="F153" s="44">
        <f t="shared" si="28"/>
        <v>0</v>
      </c>
      <c r="G153" s="44">
        <f t="shared" si="28"/>
        <v>0</v>
      </c>
      <c r="H153" s="44">
        <f t="shared" si="28"/>
        <v>0</v>
      </c>
      <c r="I153" s="44">
        <f t="shared" si="28"/>
        <v>0</v>
      </c>
      <c r="J153" s="44">
        <f t="shared" si="28"/>
        <v>0</v>
      </c>
      <c r="K153" s="44">
        <f t="shared" si="28"/>
        <v>0</v>
      </c>
      <c r="L153" s="44">
        <f t="shared" si="28"/>
        <v>0</v>
      </c>
      <c r="M153" s="44">
        <f t="shared" si="28"/>
        <v>0</v>
      </c>
      <c r="N153" s="44">
        <f t="shared" si="28"/>
        <v>0</v>
      </c>
      <c r="O153" s="44">
        <f t="shared" si="28"/>
        <v>0</v>
      </c>
      <c r="P153" s="44">
        <f t="shared" si="28"/>
        <v>0</v>
      </c>
      <c r="Q153" s="44">
        <f t="shared" si="28"/>
        <v>0</v>
      </c>
      <c r="R153" s="44">
        <f t="shared" si="28"/>
        <v>0</v>
      </c>
      <c r="S153" s="44">
        <f t="shared" si="28"/>
        <v>3.0634854506355881E-4</v>
      </c>
      <c r="T153" s="44">
        <f t="shared" si="28"/>
        <v>0</v>
      </c>
      <c r="U153" s="44">
        <f t="shared" si="29"/>
        <v>0</v>
      </c>
      <c r="V153" s="44">
        <f t="shared" si="29"/>
        <v>0</v>
      </c>
      <c r="W153" s="44">
        <f t="shared" si="29"/>
        <v>0</v>
      </c>
      <c r="X153" s="44">
        <f t="shared" si="29"/>
        <v>0</v>
      </c>
      <c r="Y153" s="44">
        <f t="shared" si="29"/>
        <v>0</v>
      </c>
      <c r="Z153" s="44">
        <f t="shared" si="29"/>
        <v>0</v>
      </c>
      <c r="AA153" s="44">
        <f t="shared" si="29"/>
        <v>0</v>
      </c>
      <c r="AB153" s="44">
        <f t="shared" si="29"/>
        <v>3.0634854506355881E-4</v>
      </c>
      <c r="AC153" s="44">
        <f t="shared" si="29"/>
        <v>0</v>
      </c>
      <c r="AD153" s="44">
        <f t="shared" si="29"/>
        <v>0</v>
      </c>
      <c r="AE153" s="44">
        <f t="shared" si="29"/>
        <v>0</v>
      </c>
      <c r="AF153" s="44">
        <f t="shared" si="30"/>
        <v>3.0634854506355881E-4</v>
      </c>
      <c r="AG153" s="44">
        <f t="shared" si="31"/>
        <v>0</v>
      </c>
      <c r="AH153" s="44">
        <f>Table13[[#This Row],[Column29]]/$D$158*0.5</f>
        <v>7.8828264362901905E-3</v>
      </c>
      <c r="AI153" s="44">
        <f>Table13[[#This Row],[Column29]]/$D$158*1.5</f>
        <v>2.3648479308870572E-2</v>
      </c>
    </row>
    <row r="154" spans="3:35">
      <c r="C154" s="44" t="s">
        <v>488</v>
      </c>
      <c r="D154" s="44">
        <v>7.1244513893124262E-4</v>
      </c>
      <c r="E154" s="44">
        <f t="shared" si="28"/>
        <v>0</v>
      </c>
      <c r="F154" s="44">
        <f t="shared" si="28"/>
        <v>0</v>
      </c>
      <c r="G154" s="44">
        <f t="shared" si="28"/>
        <v>0</v>
      </c>
      <c r="H154" s="44">
        <f t="shared" si="28"/>
        <v>0</v>
      </c>
      <c r="I154" s="44">
        <f t="shared" si="28"/>
        <v>0</v>
      </c>
      <c r="J154" s="44">
        <f t="shared" si="28"/>
        <v>0</v>
      </c>
      <c r="K154" s="44">
        <f t="shared" si="28"/>
        <v>0</v>
      </c>
      <c r="L154" s="44">
        <f t="shared" si="28"/>
        <v>0</v>
      </c>
      <c r="M154" s="44">
        <f t="shared" si="28"/>
        <v>0</v>
      </c>
      <c r="N154" s="44">
        <f t="shared" si="28"/>
        <v>0</v>
      </c>
      <c r="O154" s="44">
        <f t="shared" si="28"/>
        <v>0</v>
      </c>
      <c r="P154" s="44">
        <f t="shared" si="28"/>
        <v>0</v>
      </c>
      <c r="Q154" s="44">
        <f t="shared" si="28"/>
        <v>0</v>
      </c>
      <c r="R154" s="44">
        <f t="shared" si="28"/>
        <v>0</v>
      </c>
      <c r="S154" s="44">
        <f t="shared" si="28"/>
        <v>0</v>
      </c>
      <c r="T154" s="44">
        <f t="shared" si="28"/>
        <v>0</v>
      </c>
      <c r="U154" s="44">
        <f t="shared" si="29"/>
        <v>7.1244513893124262E-4</v>
      </c>
      <c r="V154" s="44">
        <f t="shared" si="29"/>
        <v>0</v>
      </c>
      <c r="W154" s="44">
        <f t="shared" si="29"/>
        <v>0</v>
      </c>
      <c r="X154" s="44">
        <f t="shared" si="29"/>
        <v>0</v>
      </c>
      <c r="Y154" s="44">
        <f t="shared" si="29"/>
        <v>0</v>
      </c>
      <c r="Z154" s="44">
        <f t="shared" si="29"/>
        <v>0</v>
      </c>
      <c r="AA154" s="44">
        <f t="shared" si="29"/>
        <v>0</v>
      </c>
      <c r="AB154" s="44">
        <f t="shared" si="29"/>
        <v>7.1244513893124262E-4</v>
      </c>
      <c r="AC154" s="44">
        <f t="shared" si="29"/>
        <v>0</v>
      </c>
      <c r="AD154" s="44">
        <f t="shared" si="29"/>
        <v>0</v>
      </c>
      <c r="AE154" s="44">
        <f t="shared" si="29"/>
        <v>0</v>
      </c>
      <c r="AF154" s="44">
        <f t="shared" si="30"/>
        <v>7.1244513893124262E-4</v>
      </c>
      <c r="AG154" s="44">
        <f t="shared" si="31"/>
        <v>0</v>
      </c>
      <c r="AH154" s="44">
        <f>Table13[[#This Row],[Column29]]/$D$158*0.5</f>
        <v>1.8332325927673188E-2</v>
      </c>
      <c r="AI154" s="44">
        <f>Table13[[#This Row],[Column29]]/$D$158*1.5</f>
        <v>5.4996977783019568E-2</v>
      </c>
    </row>
    <row r="155" spans="3:35">
      <c r="C155" s="44" t="s">
        <v>489</v>
      </c>
      <c r="D155" s="44">
        <v>3.168332624278063E-4</v>
      </c>
      <c r="E155" s="44">
        <f t="shared" si="28"/>
        <v>0</v>
      </c>
      <c r="F155" s="44">
        <f t="shared" si="28"/>
        <v>0</v>
      </c>
      <c r="G155" s="44">
        <f t="shared" si="28"/>
        <v>0</v>
      </c>
      <c r="H155" s="44">
        <f t="shared" si="28"/>
        <v>0</v>
      </c>
      <c r="I155" s="44">
        <f t="shared" si="28"/>
        <v>0</v>
      </c>
      <c r="J155" s="44">
        <f t="shared" si="28"/>
        <v>0</v>
      </c>
      <c r="K155" s="44">
        <f t="shared" si="28"/>
        <v>0</v>
      </c>
      <c r="L155" s="44">
        <f t="shared" si="28"/>
        <v>0</v>
      </c>
      <c r="M155" s="44">
        <f t="shared" si="28"/>
        <v>0</v>
      </c>
      <c r="N155" s="44">
        <f t="shared" si="28"/>
        <v>0</v>
      </c>
      <c r="O155" s="44">
        <f t="shared" si="28"/>
        <v>0</v>
      </c>
      <c r="P155" s="44">
        <f t="shared" si="28"/>
        <v>0</v>
      </c>
      <c r="Q155" s="44">
        <f t="shared" si="28"/>
        <v>0</v>
      </c>
      <c r="R155" s="44">
        <f t="shared" si="28"/>
        <v>0</v>
      </c>
      <c r="S155" s="44">
        <f t="shared" si="28"/>
        <v>0</v>
      </c>
      <c r="T155" s="44">
        <f t="shared" si="28"/>
        <v>0</v>
      </c>
      <c r="U155" s="44">
        <f t="shared" si="29"/>
        <v>3.168332624278063E-4</v>
      </c>
      <c r="V155" s="44">
        <f t="shared" si="29"/>
        <v>0</v>
      </c>
      <c r="W155" s="44">
        <f t="shared" si="29"/>
        <v>0</v>
      </c>
      <c r="X155" s="44">
        <f t="shared" si="29"/>
        <v>0</v>
      </c>
      <c r="Y155" s="44">
        <f t="shared" si="29"/>
        <v>0</v>
      </c>
      <c r="Z155" s="44">
        <f t="shared" si="29"/>
        <v>0</v>
      </c>
      <c r="AA155" s="44">
        <f t="shared" si="29"/>
        <v>0</v>
      </c>
      <c r="AB155" s="44">
        <f t="shared" si="29"/>
        <v>0</v>
      </c>
      <c r="AC155" s="44">
        <f t="shared" si="29"/>
        <v>0</v>
      </c>
      <c r="AD155" s="44">
        <f t="shared" si="29"/>
        <v>0</v>
      </c>
      <c r="AE155" s="44">
        <f t="shared" si="29"/>
        <v>3.168332624278063E-4</v>
      </c>
      <c r="AF155" s="44">
        <f t="shared" si="30"/>
        <v>3.168332624278063E-4</v>
      </c>
      <c r="AG155" s="44">
        <f t="shared" si="31"/>
        <v>0</v>
      </c>
      <c r="AH155" s="44">
        <f>Table13[[#This Row],[Column29]]/$D$158*0.5</f>
        <v>8.152614586251123E-3</v>
      </c>
      <c r="AI155" s="44">
        <f>Table13[[#This Row],[Column29]]/$D$158*1.5</f>
        <v>2.4457843758753369E-2</v>
      </c>
    </row>
    <row r="156" spans="3:35">
      <c r="C156" s="44" t="s">
        <v>490</v>
      </c>
      <c r="D156" s="44">
        <v>8.4497082054458064E-3</v>
      </c>
      <c r="E156" s="44">
        <f t="shared" si="28"/>
        <v>0</v>
      </c>
      <c r="F156" s="44">
        <f t="shared" si="28"/>
        <v>0</v>
      </c>
      <c r="G156" s="44">
        <f t="shared" si="28"/>
        <v>0</v>
      </c>
      <c r="H156" s="44">
        <f t="shared" si="28"/>
        <v>0</v>
      </c>
      <c r="I156" s="44">
        <f t="shared" si="28"/>
        <v>0</v>
      </c>
      <c r="J156" s="44">
        <f t="shared" si="28"/>
        <v>0</v>
      </c>
      <c r="K156" s="44">
        <f t="shared" si="28"/>
        <v>0</v>
      </c>
      <c r="L156" s="44">
        <f t="shared" si="28"/>
        <v>0</v>
      </c>
      <c r="M156" s="44">
        <f t="shared" si="28"/>
        <v>0</v>
      </c>
      <c r="N156" s="44">
        <f t="shared" si="28"/>
        <v>0</v>
      </c>
      <c r="O156" s="44">
        <f t="shared" si="28"/>
        <v>0</v>
      </c>
      <c r="P156" s="44">
        <f t="shared" si="28"/>
        <v>0</v>
      </c>
      <c r="Q156" s="44">
        <f t="shared" si="28"/>
        <v>0</v>
      </c>
      <c r="R156" s="44">
        <f t="shared" si="28"/>
        <v>8.4497082054458064E-3</v>
      </c>
      <c r="S156" s="44">
        <f t="shared" si="28"/>
        <v>0</v>
      </c>
      <c r="T156" s="44">
        <f t="shared" si="28"/>
        <v>0</v>
      </c>
      <c r="U156" s="44">
        <f t="shared" si="29"/>
        <v>0</v>
      </c>
      <c r="V156" s="44">
        <f t="shared" si="29"/>
        <v>0</v>
      </c>
      <c r="W156" s="44">
        <f t="shared" si="29"/>
        <v>8.4497082054458064E-3</v>
      </c>
      <c r="X156" s="44">
        <f t="shared" si="29"/>
        <v>0</v>
      </c>
      <c r="Y156" s="44">
        <f t="shared" si="29"/>
        <v>0</v>
      </c>
      <c r="Z156" s="44">
        <f t="shared" si="29"/>
        <v>0</v>
      </c>
      <c r="AA156" s="44">
        <f t="shared" si="29"/>
        <v>0</v>
      </c>
      <c r="AB156" s="44">
        <f t="shared" si="29"/>
        <v>0</v>
      </c>
      <c r="AC156" s="44">
        <f t="shared" si="29"/>
        <v>0</v>
      </c>
      <c r="AD156" s="44">
        <f t="shared" si="29"/>
        <v>0</v>
      </c>
      <c r="AE156" s="44">
        <f t="shared" si="29"/>
        <v>0</v>
      </c>
      <c r="AF156" s="44">
        <f t="shared" si="30"/>
        <v>8.4497082054458064E-3</v>
      </c>
      <c r="AG156" s="44">
        <f t="shared" si="31"/>
        <v>0</v>
      </c>
      <c r="AH156" s="44">
        <f>Table13[[#This Row],[Column29]]/$D$158*0.5</f>
        <v>0.21742418658135662</v>
      </c>
      <c r="AI156" s="44">
        <f>Table13[[#This Row],[Column29]]/$D$158*1.5</f>
        <v>0.65227255974406984</v>
      </c>
    </row>
    <row r="157" spans="3:35">
      <c r="C157" s="44" t="s">
        <v>491</v>
      </c>
      <c r="D157" s="44">
        <v>1.2885316585897584E-4</v>
      </c>
      <c r="E157" s="44">
        <f t="shared" si="28"/>
        <v>0</v>
      </c>
      <c r="F157" s="44">
        <f t="shared" si="28"/>
        <v>0</v>
      </c>
      <c r="G157" s="44">
        <f t="shared" si="28"/>
        <v>0</v>
      </c>
      <c r="H157" s="44">
        <f t="shared" si="28"/>
        <v>0</v>
      </c>
      <c r="I157" s="44">
        <f t="shared" si="28"/>
        <v>0</v>
      </c>
      <c r="J157" s="44">
        <f t="shared" si="28"/>
        <v>0</v>
      </c>
      <c r="K157" s="44">
        <f t="shared" si="28"/>
        <v>0</v>
      </c>
      <c r="L157" s="44">
        <f t="shared" si="28"/>
        <v>0</v>
      </c>
      <c r="M157" s="44">
        <f t="shared" si="28"/>
        <v>0</v>
      </c>
      <c r="N157" s="44">
        <f t="shared" si="28"/>
        <v>0</v>
      </c>
      <c r="O157" s="44">
        <f t="shared" si="28"/>
        <v>0</v>
      </c>
      <c r="P157" s="44">
        <f t="shared" si="28"/>
        <v>0</v>
      </c>
      <c r="Q157" s="44">
        <f t="shared" si="28"/>
        <v>0</v>
      </c>
      <c r="R157" s="44">
        <f t="shared" si="28"/>
        <v>0</v>
      </c>
      <c r="S157" s="44">
        <f t="shared" si="28"/>
        <v>0</v>
      </c>
      <c r="T157" s="44">
        <f t="shared" si="28"/>
        <v>0</v>
      </c>
      <c r="U157" s="44">
        <f t="shared" si="29"/>
        <v>0</v>
      </c>
      <c r="V157" s="44">
        <f t="shared" si="29"/>
        <v>0</v>
      </c>
      <c r="W157" s="44">
        <f t="shared" si="29"/>
        <v>0</v>
      </c>
      <c r="X157" s="44">
        <f t="shared" si="29"/>
        <v>0</v>
      </c>
      <c r="Y157" s="44">
        <f t="shared" si="29"/>
        <v>0</v>
      </c>
      <c r="Z157" s="44">
        <f t="shared" si="29"/>
        <v>0</v>
      </c>
      <c r="AA157" s="44">
        <f t="shared" si="29"/>
        <v>0</v>
      </c>
      <c r="AB157" s="44">
        <f t="shared" si="29"/>
        <v>2.5770633171795168E-4</v>
      </c>
      <c r="AC157" s="44">
        <f t="shared" si="29"/>
        <v>0</v>
      </c>
      <c r="AD157" s="44">
        <f t="shared" si="29"/>
        <v>0</v>
      </c>
      <c r="AE157" s="44">
        <f t="shared" si="29"/>
        <v>0</v>
      </c>
      <c r="AF157" s="44">
        <f t="shared" si="30"/>
        <v>1.2885316585897584E-4</v>
      </c>
      <c r="AG157" s="44">
        <f t="shared" si="31"/>
        <v>0</v>
      </c>
      <c r="AH157" s="44">
        <f>Table13[[#This Row],[Column29]]/$D$158*0.5</f>
        <v>3.3155931653668673E-3</v>
      </c>
      <c r="AI157" s="44">
        <f>Table13[[#This Row],[Column29]]/$D$158*1.5</f>
        <v>9.9467794961006009E-3</v>
      </c>
    </row>
    <row r="158" spans="3:35">
      <c r="D158" s="44">
        <f t="shared" ref="D158:AE158" si="32">SUM(D151:D157)</f>
        <v>1.9431389714051114E-2</v>
      </c>
      <c r="E158" s="44">
        <f t="shared" si="32"/>
        <v>1.8332843425843019E-2</v>
      </c>
      <c r="F158" s="44">
        <f t="shared" si="32"/>
        <v>0</v>
      </c>
      <c r="G158" s="44">
        <f t="shared" si="32"/>
        <v>3.5077968340221412E-4</v>
      </c>
      <c r="H158" s="44">
        <f t="shared" si="32"/>
        <v>0</v>
      </c>
      <c r="I158" s="44">
        <f t="shared" si="32"/>
        <v>0</v>
      </c>
      <c r="J158" s="44">
        <f t="shared" si="32"/>
        <v>0</v>
      </c>
      <c r="K158" s="44">
        <f t="shared" si="32"/>
        <v>0</v>
      </c>
      <c r="L158" s="44">
        <f t="shared" si="32"/>
        <v>0</v>
      </c>
      <c r="M158" s="44">
        <f t="shared" si="32"/>
        <v>0</v>
      </c>
      <c r="N158" s="44">
        <f t="shared" si="32"/>
        <v>0</v>
      </c>
      <c r="O158" s="44">
        <f t="shared" si="32"/>
        <v>0</v>
      </c>
      <c r="P158" s="44">
        <f t="shared" si="32"/>
        <v>0</v>
      </c>
      <c r="Q158" s="44">
        <f t="shared" si="32"/>
        <v>0</v>
      </c>
      <c r="R158" s="44">
        <f t="shared" si="32"/>
        <v>8.4497082054458064E-3</v>
      </c>
      <c r="S158" s="44">
        <f t="shared" si="32"/>
        <v>3.0634854506355881E-4</v>
      </c>
      <c r="T158" s="44">
        <f t="shared" si="32"/>
        <v>0</v>
      </c>
      <c r="U158" s="44">
        <f t="shared" si="32"/>
        <v>1.0292784013590489E-3</v>
      </c>
      <c r="V158" s="44">
        <f t="shared" si="32"/>
        <v>0</v>
      </c>
      <c r="W158" s="44">
        <f t="shared" si="32"/>
        <v>8.4497082054458064E-3</v>
      </c>
      <c r="X158" s="44">
        <f t="shared" si="32"/>
        <v>0</v>
      </c>
      <c r="Y158" s="44">
        <f t="shared" si="32"/>
        <v>0</v>
      </c>
      <c r="Z158" s="44">
        <f t="shared" si="32"/>
        <v>0</v>
      </c>
      <c r="AA158" s="44">
        <f t="shared" si="32"/>
        <v>0</v>
      </c>
      <c r="AB158" s="44">
        <f t="shared" si="32"/>
        <v>1.627279699114967E-3</v>
      </c>
      <c r="AC158" s="44">
        <f t="shared" si="32"/>
        <v>0</v>
      </c>
      <c r="AD158" s="44">
        <f t="shared" si="32"/>
        <v>0</v>
      </c>
      <c r="AE158" s="44">
        <f t="shared" si="32"/>
        <v>3.168332624278063E-4</v>
      </c>
      <c r="AF158" s="44">
        <f t="shared" si="30"/>
        <v>1.9431389714051114E-2</v>
      </c>
      <c r="AG158" s="44">
        <f>SUM(AG151:AG157)</f>
        <v>0</v>
      </c>
      <c r="AH158" s="44">
        <f>Table13[[#This Row],[Column29]]/$D$158*0.5</f>
        <v>0.5</v>
      </c>
      <c r="AI158" s="44">
        <f>Table13[[#This Row],[Column29]]/$D$158*1.5</f>
        <v>1.5</v>
      </c>
    </row>
    <row r="159" spans="3:35">
      <c r="D159" s="44">
        <f>SUM(E158:AE158)</f>
        <v>3.8862779428102227E-2</v>
      </c>
      <c r="E159" s="44">
        <f>E158/$D$159*100</f>
        <v>47.173268859371085</v>
      </c>
      <c r="F159" s="44">
        <f t="shared" ref="F159:AE159" si="33">F158/$D$159*100</f>
        <v>0</v>
      </c>
      <c r="G159" s="44">
        <f t="shared" si="33"/>
        <v>0.90261090062066007</v>
      </c>
      <c r="H159" s="44">
        <f t="shared" si="33"/>
        <v>0</v>
      </c>
      <c r="I159" s="44">
        <f t="shared" si="33"/>
        <v>0</v>
      </c>
      <c r="J159" s="44">
        <f t="shared" si="33"/>
        <v>0</v>
      </c>
      <c r="K159" s="44">
        <f t="shared" si="33"/>
        <v>0</v>
      </c>
      <c r="L159" s="44">
        <f t="shared" si="33"/>
        <v>0</v>
      </c>
      <c r="M159" s="44">
        <f t="shared" si="33"/>
        <v>0</v>
      </c>
      <c r="N159" s="44">
        <f t="shared" si="33"/>
        <v>0</v>
      </c>
      <c r="O159" s="44">
        <f t="shared" si="33"/>
        <v>0</v>
      </c>
      <c r="P159" s="44">
        <f t="shared" si="33"/>
        <v>0</v>
      </c>
      <c r="Q159" s="44">
        <f t="shared" si="33"/>
        <v>0</v>
      </c>
      <c r="R159" s="44">
        <f t="shared" si="33"/>
        <v>21.742418658135662</v>
      </c>
      <c r="S159" s="44">
        <f t="shared" si="33"/>
        <v>0.78828264362901901</v>
      </c>
      <c r="T159" s="44">
        <f t="shared" si="33"/>
        <v>0</v>
      </c>
      <c r="U159" s="44">
        <f t="shared" si="33"/>
        <v>2.6484940513924307</v>
      </c>
      <c r="V159" s="44">
        <f t="shared" si="33"/>
        <v>0</v>
      </c>
      <c r="W159" s="44">
        <f t="shared" si="33"/>
        <v>21.742418658135662</v>
      </c>
      <c r="X159" s="44">
        <f t="shared" si="33"/>
        <v>0</v>
      </c>
      <c r="Y159" s="44">
        <f t="shared" si="33"/>
        <v>0</v>
      </c>
      <c r="Z159" s="44">
        <f t="shared" si="33"/>
        <v>0</v>
      </c>
      <c r="AA159" s="44">
        <f t="shared" si="33"/>
        <v>0</v>
      </c>
      <c r="AB159" s="44">
        <f t="shared" si="33"/>
        <v>4.1872447700903708</v>
      </c>
      <c r="AC159" s="44">
        <f t="shared" si="33"/>
        <v>0</v>
      </c>
      <c r="AD159" s="44">
        <f t="shared" si="33"/>
        <v>0</v>
      </c>
      <c r="AE159" s="44">
        <f t="shared" si="33"/>
        <v>0.81526145862511235</v>
      </c>
      <c r="AH159" s="44">
        <f>Table13[[#This Row],[Column29]]/$D$158*0.5</f>
        <v>0</v>
      </c>
      <c r="AI159" s="44">
        <f>Table13[[#This Row],[Column29]]/$D$158*1.5</f>
        <v>0</v>
      </c>
    </row>
    <row r="160" spans="3:35">
      <c r="D160" s="44">
        <f>SUM(E159:AE159)</f>
        <v>100</v>
      </c>
      <c r="E160" s="44">
        <f>IF(E159 &gt; 1, E159, 0)</f>
        <v>47.173268859371085</v>
      </c>
      <c r="F160" s="44">
        <f t="shared" ref="F160:AD160" si="34">IF(F159 &gt; 1, F159, 0)</f>
        <v>0</v>
      </c>
      <c r="G160" s="44">
        <f>G159</f>
        <v>0.90261090062066007</v>
      </c>
      <c r="H160" s="44">
        <f t="shared" si="34"/>
        <v>0</v>
      </c>
      <c r="I160" s="44">
        <f t="shared" si="34"/>
        <v>0</v>
      </c>
      <c r="J160" s="44">
        <f t="shared" si="34"/>
        <v>0</v>
      </c>
      <c r="K160" s="44">
        <f t="shared" si="34"/>
        <v>0</v>
      </c>
      <c r="L160" s="44">
        <f t="shared" si="34"/>
        <v>0</v>
      </c>
      <c r="M160" s="44">
        <f t="shared" si="34"/>
        <v>0</v>
      </c>
      <c r="N160" s="44">
        <f t="shared" si="34"/>
        <v>0</v>
      </c>
      <c r="O160" s="44">
        <f t="shared" si="34"/>
        <v>0</v>
      </c>
      <c r="P160" s="44">
        <f t="shared" si="34"/>
        <v>0</v>
      </c>
      <c r="Q160" s="44">
        <f t="shared" si="34"/>
        <v>0</v>
      </c>
      <c r="R160" s="44">
        <f t="shared" si="34"/>
        <v>21.742418658135662</v>
      </c>
      <c r="S160" s="44">
        <f>S159</f>
        <v>0.78828264362901901</v>
      </c>
      <c r="T160" s="44">
        <f t="shared" si="34"/>
        <v>0</v>
      </c>
      <c r="U160" s="44">
        <f t="shared" si="34"/>
        <v>2.6484940513924307</v>
      </c>
      <c r="V160" s="44">
        <f t="shared" si="34"/>
        <v>0</v>
      </c>
      <c r="W160" s="44">
        <f t="shared" si="34"/>
        <v>21.742418658135662</v>
      </c>
      <c r="X160" s="44">
        <f t="shared" si="34"/>
        <v>0</v>
      </c>
      <c r="Y160" s="44">
        <f t="shared" si="34"/>
        <v>0</v>
      </c>
      <c r="Z160" s="44">
        <f t="shared" si="34"/>
        <v>0</v>
      </c>
      <c r="AA160" s="44">
        <f t="shared" si="34"/>
        <v>0</v>
      </c>
      <c r="AB160" s="44">
        <f t="shared" si="34"/>
        <v>4.1872447700903708</v>
      </c>
      <c r="AC160" s="44">
        <f t="shared" si="34"/>
        <v>0</v>
      </c>
      <c r="AD160" s="44">
        <f t="shared" si="34"/>
        <v>0</v>
      </c>
      <c r="AE160" s="44">
        <f>AE159</f>
        <v>0.81526145862511235</v>
      </c>
      <c r="AH160" s="44">
        <f>Table13[[#This Row],[Column29]]/$D$158*0.5</f>
        <v>0</v>
      </c>
      <c r="AI160" s="44">
        <f>Table13[[#This Row],[Column29]]/$D$158*1.5</f>
        <v>0</v>
      </c>
    </row>
    <row r="161" spans="3:35">
      <c r="D161" s="44">
        <f>SUM(E160:AE160)</f>
        <v>100</v>
      </c>
      <c r="E161" s="48">
        <f>E160/$D$161</f>
        <v>0.47173268859371087</v>
      </c>
      <c r="F161" s="44">
        <f t="shared" ref="F161:AE161" si="35">F160/$D$161</f>
        <v>0</v>
      </c>
      <c r="G161" s="48">
        <f t="shared" si="35"/>
        <v>9.0261090062066004E-3</v>
      </c>
      <c r="H161" s="44">
        <f t="shared" si="35"/>
        <v>0</v>
      </c>
      <c r="I161" s="44">
        <f t="shared" si="35"/>
        <v>0</v>
      </c>
      <c r="J161" s="44">
        <f t="shared" si="35"/>
        <v>0</v>
      </c>
      <c r="K161" s="44">
        <f t="shared" si="35"/>
        <v>0</v>
      </c>
      <c r="L161" s="44">
        <f t="shared" si="35"/>
        <v>0</v>
      </c>
      <c r="M161" s="44">
        <f t="shared" si="35"/>
        <v>0</v>
      </c>
      <c r="N161" s="44">
        <f t="shared" si="35"/>
        <v>0</v>
      </c>
      <c r="O161" s="44">
        <f t="shared" si="35"/>
        <v>0</v>
      </c>
      <c r="P161" s="44">
        <f t="shared" si="35"/>
        <v>0</v>
      </c>
      <c r="Q161" s="44">
        <f t="shared" si="35"/>
        <v>0</v>
      </c>
      <c r="R161" s="48">
        <f t="shared" si="35"/>
        <v>0.21742418658135662</v>
      </c>
      <c r="S161" s="48">
        <f t="shared" si="35"/>
        <v>7.8828264362901905E-3</v>
      </c>
      <c r="T161" s="44">
        <f t="shared" si="35"/>
        <v>0</v>
      </c>
      <c r="U161" s="48">
        <f t="shared" si="35"/>
        <v>2.6484940513924308E-2</v>
      </c>
      <c r="V161" s="44">
        <f t="shared" si="35"/>
        <v>0</v>
      </c>
      <c r="W161" s="48">
        <f t="shared" si="35"/>
        <v>0.21742418658135662</v>
      </c>
      <c r="X161" s="44">
        <f t="shared" si="35"/>
        <v>0</v>
      </c>
      <c r="Y161" s="44">
        <f t="shared" si="35"/>
        <v>0</v>
      </c>
      <c r="Z161" s="44">
        <f t="shared" si="35"/>
        <v>0</v>
      </c>
      <c r="AA161" s="44">
        <f t="shared" si="35"/>
        <v>0</v>
      </c>
      <c r="AB161" s="48">
        <f t="shared" si="35"/>
        <v>4.187244770090371E-2</v>
      </c>
      <c r="AC161" s="44">
        <f t="shared" si="35"/>
        <v>0</v>
      </c>
      <c r="AD161" s="44">
        <f t="shared" si="35"/>
        <v>0</v>
      </c>
      <c r="AE161" s="48">
        <f t="shared" si="35"/>
        <v>8.152614586251123E-3</v>
      </c>
      <c r="AH161" s="44">
        <f>Table13[[#This Row],[Column29]]/$D$158*0.5</f>
        <v>0</v>
      </c>
      <c r="AI161" s="44">
        <f>Table13[[#This Row],[Column29]]/$D$158*1.5</f>
        <v>0</v>
      </c>
    </row>
    <row r="162" spans="3:35">
      <c r="D162" s="44">
        <f>SUM(E161:AE161)</f>
        <v>1.0000000000000002</v>
      </c>
      <c r="AH162" s="44">
        <f>Table13[[#This Row],[Column29]]/$D$158*0.5</f>
        <v>0</v>
      </c>
      <c r="AI162" s="44">
        <f>Table13[[#This Row],[Column29]]/$D$158*1.5</f>
        <v>0</v>
      </c>
    </row>
    <row r="164" spans="3:35">
      <c r="C164" s="49" t="s">
        <v>315</v>
      </c>
      <c r="D164" s="49" t="s">
        <v>316</v>
      </c>
      <c r="E164" s="49" t="s">
        <v>317</v>
      </c>
      <c r="F164" s="49" t="s">
        <v>318</v>
      </c>
      <c r="G164" s="49" t="s">
        <v>319</v>
      </c>
      <c r="H164" s="49" t="s">
        <v>320</v>
      </c>
      <c r="I164" s="49" t="s">
        <v>321</v>
      </c>
      <c r="J164" s="49" t="s">
        <v>322</v>
      </c>
      <c r="K164" s="49" t="s">
        <v>323</v>
      </c>
      <c r="L164" s="49" t="s">
        <v>324</v>
      </c>
      <c r="M164" s="49" t="s">
        <v>325</v>
      </c>
      <c r="N164" s="49" t="s">
        <v>326</v>
      </c>
      <c r="O164" s="49" t="s">
        <v>327</v>
      </c>
      <c r="P164" s="49" t="s">
        <v>328</v>
      </c>
      <c r="Q164" s="49" t="s">
        <v>329</v>
      </c>
      <c r="R164" s="49" t="s">
        <v>330</v>
      </c>
      <c r="S164" s="49" t="s">
        <v>331</v>
      </c>
      <c r="T164" s="49" t="s">
        <v>332</v>
      </c>
      <c r="U164" s="49" t="s">
        <v>333</v>
      </c>
      <c r="V164" s="49" t="s">
        <v>334</v>
      </c>
      <c r="W164" s="49" t="s">
        <v>484</v>
      </c>
      <c r="X164" s="49" t="s">
        <v>335</v>
      </c>
      <c r="Y164" s="49" t="s">
        <v>336</v>
      </c>
      <c r="Z164" s="49" t="s">
        <v>337</v>
      </c>
      <c r="AA164" s="49" t="s">
        <v>338</v>
      </c>
      <c r="AB164" s="49" t="s">
        <v>339</v>
      </c>
      <c r="AC164" s="49" t="s">
        <v>340</v>
      </c>
      <c r="AD164" s="49" t="s">
        <v>341</v>
      </c>
      <c r="AE164" s="49" t="s">
        <v>342</v>
      </c>
      <c r="AF164" s="49" t="s">
        <v>343</v>
      </c>
      <c r="AG164" s="49" t="s">
        <v>344</v>
      </c>
      <c r="AH164" s="49" t="s">
        <v>345</v>
      </c>
      <c r="AI164" s="49" t="s">
        <v>346</v>
      </c>
    </row>
    <row r="165" spans="3:35">
      <c r="C165" s="50" t="s">
        <v>492</v>
      </c>
      <c r="D165" s="51">
        <v>6.4843393414869893E-3</v>
      </c>
      <c r="E165" s="51">
        <f t="shared" ref="E165:E180" si="36">((LEN($C165)-LEN(SUBSTITUTE($C165,E$164,"")))/4)*$D165</f>
        <v>0</v>
      </c>
      <c r="F165" s="51">
        <f t="shared" ref="F165:AE175" si="37">((LEN($C165)-LEN(SUBSTITUTE($C165,F$164,"")))/4)*$D165</f>
        <v>0</v>
      </c>
      <c r="G165" s="51">
        <f t="shared" si="37"/>
        <v>1.2968678682973979E-2</v>
      </c>
      <c r="H165" s="51">
        <f t="shared" si="37"/>
        <v>0</v>
      </c>
      <c r="I165" s="51">
        <f t="shared" si="37"/>
        <v>0</v>
      </c>
      <c r="J165" s="51">
        <f t="shared" si="37"/>
        <v>0</v>
      </c>
      <c r="K165" s="51">
        <f t="shared" si="37"/>
        <v>0</v>
      </c>
      <c r="L165" s="51">
        <f t="shared" si="37"/>
        <v>0</v>
      </c>
      <c r="M165" s="51">
        <f t="shared" si="37"/>
        <v>0</v>
      </c>
      <c r="N165" s="51">
        <f t="shared" si="37"/>
        <v>0</v>
      </c>
      <c r="O165" s="51">
        <f t="shared" si="37"/>
        <v>0</v>
      </c>
      <c r="P165" s="51">
        <f t="shared" si="37"/>
        <v>0</v>
      </c>
      <c r="Q165" s="51">
        <f t="shared" si="37"/>
        <v>0</v>
      </c>
      <c r="R165" s="51">
        <f t="shared" si="37"/>
        <v>0</v>
      </c>
      <c r="S165" s="51">
        <f t="shared" si="37"/>
        <v>0</v>
      </c>
      <c r="T165" s="51">
        <f t="shared" si="37"/>
        <v>0</v>
      </c>
      <c r="U165" s="51">
        <f t="shared" si="37"/>
        <v>0</v>
      </c>
      <c r="V165" s="51">
        <f t="shared" si="37"/>
        <v>0</v>
      </c>
      <c r="W165" s="51">
        <f t="shared" si="37"/>
        <v>0</v>
      </c>
      <c r="X165" s="51">
        <f t="shared" si="37"/>
        <v>0</v>
      </c>
      <c r="Y165" s="51">
        <f t="shared" si="37"/>
        <v>0</v>
      </c>
      <c r="Z165" s="51">
        <f t="shared" si="37"/>
        <v>0</v>
      </c>
      <c r="AA165" s="51">
        <f t="shared" si="37"/>
        <v>0</v>
      </c>
      <c r="AB165" s="51">
        <f t="shared" si="37"/>
        <v>0</v>
      </c>
      <c r="AC165" s="51">
        <f t="shared" si="37"/>
        <v>0</v>
      </c>
      <c r="AD165" s="51">
        <f t="shared" si="37"/>
        <v>0</v>
      </c>
      <c r="AE165" s="51">
        <f t="shared" si="37"/>
        <v>0</v>
      </c>
      <c r="AF165" s="51">
        <f>SUM(E165:AE165)/2</f>
        <v>6.4843393414869893E-3</v>
      </c>
      <c r="AG165" s="51">
        <f>D165-AF165</f>
        <v>0</v>
      </c>
      <c r="AH165" s="51">
        <f>Table4[[#This Row],[Column29]]/$D$181*0.5</f>
        <v>3.0410178364821645E-2</v>
      </c>
      <c r="AI165" s="51">
        <f>Table4[[#This Row],[Column29]]/$D$181*1.5</f>
        <v>9.1230535094464937E-2</v>
      </c>
    </row>
    <row r="166" spans="3:35">
      <c r="C166" s="52" t="s">
        <v>493</v>
      </c>
      <c r="D166" s="44">
        <v>4.3644211600961644E-2</v>
      </c>
      <c r="E166" s="51">
        <f t="shared" si="36"/>
        <v>0</v>
      </c>
      <c r="F166" s="51">
        <f t="shared" ref="F166:T166" si="38">((LEN($C166)-LEN(SUBSTITUTE($C166,F$164,"")))/4)*$D166</f>
        <v>0</v>
      </c>
      <c r="G166" s="51">
        <f t="shared" si="38"/>
        <v>4.3644211600961644E-2</v>
      </c>
      <c r="H166" s="51">
        <f t="shared" si="38"/>
        <v>0</v>
      </c>
      <c r="I166" s="51">
        <f t="shared" si="38"/>
        <v>0</v>
      </c>
      <c r="J166" s="51">
        <f t="shared" si="38"/>
        <v>0</v>
      </c>
      <c r="K166" s="51">
        <f t="shared" si="38"/>
        <v>4.3644211600961644E-2</v>
      </c>
      <c r="L166" s="51">
        <f t="shared" si="38"/>
        <v>0</v>
      </c>
      <c r="M166" s="51">
        <f t="shared" si="38"/>
        <v>0</v>
      </c>
      <c r="N166" s="51">
        <f t="shared" si="38"/>
        <v>0</v>
      </c>
      <c r="O166" s="51">
        <f t="shared" si="38"/>
        <v>0</v>
      </c>
      <c r="P166" s="51">
        <f t="shared" si="38"/>
        <v>0</v>
      </c>
      <c r="Q166" s="51">
        <f t="shared" si="38"/>
        <v>0</v>
      </c>
      <c r="R166" s="51">
        <f t="shared" si="38"/>
        <v>0</v>
      </c>
      <c r="S166" s="51">
        <f t="shared" si="38"/>
        <v>0</v>
      </c>
      <c r="T166" s="51">
        <f t="shared" si="38"/>
        <v>0</v>
      </c>
      <c r="U166" s="51">
        <f t="shared" si="37"/>
        <v>0</v>
      </c>
      <c r="V166" s="51">
        <f t="shared" si="37"/>
        <v>0</v>
      </c>
      <c r="W166" s="51">
        <f t="shared" si="37"/>
        <v>0</v>
      </c>
      <c r="X166" s="51">
        <f t="shared" si="37"/>
        <v>0</v>
      </c>
      <c r="Y166" s="51">
        <f t="shared" si="37"/>
        <v>0</v>
      </c>
      <c r="Z166" s="51">
        <f t="shared" si="37"/>
        <v>0</v>
      </c>
      <c r="AA166" s="51">
        <f t="shared" si="37"/>
        <v>0</v>
      </c>
      <c r="AB166" s="51">
        <f t="shared" si="37"/>
        <v>0</v>
      </c>
      <c r="AC166" s="51">
        <f t="shared" si="37"/>
        <v>0</v>
      </c>
      <c r="AD166" s="51">
        <f t="shared" si="37"/>
        <v>0</v>
      </c>
      <c r="AE166" s="51">
        <f t="shared" si="37"/>
        <v>0</v>
      </c>
      <c r="AF166" s="51">
        <f t="shared" ref="AF166:AF181" si="39">SUM(E166:AE166)/2</f>
        <v>4.3644211600961644E-2</v>
      </c>
      <c r="AG166" s="51">
        <f t="shared" ref="AG166:AG181" si="40">D166-AF166</f>
        <v>0</v>
      </c>
      <c r="AH166" s="51">
        <f>Table4[[#This Row],[Column29]]/$D$181*0.5</f>
        <v>0.20468211015509585</v>
      </c>
      <c r="AI166" s="51">
        <f>Table4[[#This Row],[Column29]]/$D$181*1.5</f>
        <v>0.61404633046528756</v>
      </c>
    </row>
    <row r="167" spans="3:35">
      <c r="C167" s="50" t="s">
        <v>494</v>
      </c>
      <c r="D167" s="51">
        <v>1.8995872888672275E-2</v>
      </c>
      <c r="E167" s="51">
        <f t="shared" si="36"/>
        <v>0</v>
      </c>
      <c r="F167" s="51">
        <f t="shared" si="37"/>
        <v>0</v>
      </c>
      <c r="G167" s="51">
        <f t="shared" si="37"/>
        <v>1.8995872888672275E-2</v>
      </c>
      <c r="H167" s="51">
        <f t="shared" si="37"/>
        <v>0</v>
      </c>
      <c r="I167" s="51">
        <f t="shared" si="37"/>
        <v>0</v>
      </c>
      <c r="J167" s="51">
        <f t="shared" si="37"/>
        <v>0</v>
      </c>
      <c r="K167" s="51">
        <f t="shared" si="37"/>
        <v>0</v>
      </c>
      <c r="L167" s="51">
        <f t="shared" si="37"/>
        <v>1.8995872888672275E-2</v>
      </c>
      <c r="M167" s="51">
        <f t="shared" si="37"/>
        <v>0</v>
      </c>
      <c r="N167" s="51">
        <f t="shared" si="37"/>
        <v>0</v>
      </c>
      <c r="O167" s="51">
        <f t="shared" si="37"/>
        <v>0</v>
      </c>
      <c r="P167" s="51">
        <f t="shared" si="37"/>
        <v>0</v>
      </c>
      <c r="Q167" s="51">
        <f t="shared" si="37"/>
        <v>0</v>
      </c>
      <c r="R167" s="51">
        <f t="shared" si="37"/>
        <v>0</v>
      </c>
      <c r="S167" s="51">
        <f t="shared" si="37"/>
        <v>0</v>
      </c>
      <c r="T167" s="51">
        <f t="shared" si="37"/>
        <v>0</v>
      </c>
      <c r="U167" s="51">
        <f t="shared" si="37"/>
        <v>0</v>
      </c>
      <c r="V167" s="51">
        <f t="shared" si="37"/>
        <v>0</v>
      </c>
      <c r="W167" s="51">
        <f t="shared" si="37"/>
        <v>0</v>
      </c>
      <c r="X167" s="51">
        <f t="shared" si="37"/>
        <v>0</v>
      </c>
      <c r="Y167" s="51">
        <f t="shared" si="37"/>
        <v>0</v>
      </c>
      <c r="Z167" s="51">
        <f t="shared" si="37"/>
        <v>0</v>
      </c>
      <c r="AA167" s="51">
        <f t="shared" si="37"/>
        <v>0</v>
      </c>
      <c r="AB167" s="51">
        <f t="shared" si="37"/>
        <v>0</v>
      </c>
      <c r="AC167" s="51">
        <f t="shared" si="37"/>
        <v>0</v>
      </c>
      <c r="AD167" s="51">
        <f t="shared" si="37"/>
        <v>0</v>
      </c>
      <c r="AE167" s="51">
        <f t="shared" si="37"/>
        <v>0</v>
      </c>
      <c r="AF167" s="51">
        <f t="shared" si="39"/>
        <v>1.8995872888672275E-2</v>
      </c>
      <c r="AG167" s="51">
        <f t="shared" si="40"/>
        <v>0</v>
      </c>
      <c r="AH167" s="51">
        <f>Table4[[#This Row],[Column29]]/$D$181*0.5</f>
        <v>8.9086621214295184E-2</v>
      </c>
      <c r="AI167" s="51">
        <f>Table4[[#This Row],[Column29]]/$D$181*1.5</f>
        <v>0.26725986364288556</v>
      </c>
    </row>
    <row r="168" spans="3:35">
      <c r="C168" s="52" t="s">
        <v>495</v>
      </c>
      <c r="D168" s="44">
        <v>5.2727242570037997E-4</v>
      </c>
      <c r="E168" s="51">
        <f t="shared" si="36"/>
        <v>0</v>
      </c>
      <c r="F168" s="51">
        <f t="shared" si="37"/>
        <v>0</v>
      </c>
      <c r="G168" s="51">
        <f t="shared" si="37"/>
        <v>5.2727242570037997E-4</v>
      </c>
      <c r="H168" s="51">
        <f t="shared" si="37"/>
        <v>0</v>
      </c>
      <c r="I168" s="51">
        <f t="shared" si="37"/>
        <v>0</v>
      </c>
      <c r="J168" s="51">
        <f t="shared" si="37"/>
        <v>0</v>
      </c>
      <c r="K168" s="51">
        <f t="shared" si="37"/>
        <v>0</v>
      </c>
      <c r="L168" s="51">
        <f t="shared" si="37"/>
        <v>0</v>
      </c>
      <c r="M168" s="51">
        <f t="shared" si="37"/>
        <v>0</v>
      </c>
      <c r="N168" s="51">
        <f t="shared" si="37"/>
        <v>0</v>
      </c>
      <c r="O168" s="51">
        <f t="shared" si="37"/>
        <v>0</v>
      </c>
      <c r="P168" s="51">
        <f t="shared" si="37"/>
        <v>0</v>
      </c>
      <c r="Q168" s="51">
        <f t="shared" si="37"/>
        <v>0</v>
      </c>
      <c r="R168" s="51">
        <f t="shared" si="37"/>
        <v>0</v>
      </c>
      <c r="S168" s="51">
        <f t="shared" si="37"/>
        <v>5.2727242570037997E-4</v>
      </c>
      <c r="T168" s="51">
        <f t="shared" si="37"/>
        <v>0</v>
      </c>
      <c r="U168" s="51">
        <f t="shared" si="37"/>
        <v>0</v>
      </c>
      <c r="V168" s="51">
        <f t="shared" si="37"/>
        <v>0</v>
      </c>
      <c r="W168" s="51">
        <f t="shared" si="37"/>
        <v>0</v>
      </c>
      <c r="X168" s="51">
        <f t="shared" si="37"/>
        <v>0</v>
      </c>
      <c r="Y168" s="51">
        <f t="shared" si="37"/>
        <v>0</v>
      </c>
      <c r="Z168" s="51">
        <f t="shared" si="37"/>
        <v>0</v>
      </c>
      <c r="AA168" s="51">
        <f t="shared" si="37"/>
        <v>0</v>
      </c>
      <c r="AB168" s="51">
        <f t="shared" si="37"/>
        <v>0</v>
      </c>
      <c r="AC168" s="51">
        <f t="shared" si="37"/>
        <v>0</v>
      </c>
      <c r="AD168" s="51">
        <f t="shared" si="37"/>
        <v>0</v>
      </c>
      <c r="AE168" s="51">
        <f t="shared" si="37"/>
        <v>0</v>
      </c>
      <c r="AF168" s="51">
        <f t="shared" si="39"/>
        <v>5.2727242570037997E-4</v>
      </c>
      <c r="AG168" s="51">
        <f t="shared" si="40"/>
        <v>0</v>
      </c>
      <c r="AH168" s="51">
        <f>Table4[[#This Row],[Column29]]/$D$181*0.5</f>
        <v>2.4727960194513357E-3</v>
      </c>
      <c r="AI168" s="51">
        <f>Table4[[#This Row],[Column29]]/$D$181*1.5</f>
        <v>7.4183880583540071E-3</v>
      </c>
    </row>
    <row r="169" spans="3:35">
      <c r="C169" s="50" t="s">
        <v>496</v>
      </c>
      <c r="D169" s="51">
        <v>1.7103553285038136E-3</v>
      </c>
      <c r="E169" s="51">
        <f t="shared" si="36"/>
        <v>0</v>
      </c>
      <c r="F169" s="51">
        <f t="shared" si="37"/>
        <v>0</v>
      </c>
      <c r="G169" s="51">
        <f t="shared" si="37"/>
        <v>1.7103553285038136E-3</v>
      </c>
      <c r="H169" s="51">
        <f t="shared" si="37"/>
        <v>0</v>
      </c>
      <c r="I169" s="51">
        <f t="shared" si="37"/>
        <v>0</v>
      </c>
      <c r="J169" s="51">
        <f t="shared" si="37"/>
        <v>0</v>
      </c>
      <c r="K169" s="51">
        <f t="shared" si="37"/>
        <v>0</v>
      </c>
      <c r="L169" s="51">
        <f t="shared" si="37"/>
        <v>0</v>
      </c>
      <c r="M169" s="51">
        <f t="shared" si="37"/>
        <v>0</v>
      </c>
      <c r="N169" s="51">
        <f t="shared" si="37"/>
        <v>0</v>
      </c>
      <c r="O169" s="51">
        <f t="shared" si="37"/>
        <v>0</v>
      </c>
      <c r="P169" s="51">
        <f t="shared" si="37"/>
        <v>0</v>
      </c>
      <c r="Q169" s="51">
        <f t="shared" si="37"/>
        <v>0</v>
      </c>
      <c r="R169" s="51">
        <f t="shared" si="37"/>
        <v>0</v>
      </c>
      <c r="S169" s="51">
        <f t="shared" si="37"/>
        <v>0</v>
      </c>
      <c r="T169" s="51">
        <f t="shared" si="37"/>
        <v>0</v>
      </c>
      <c r="U169" s="51">
        <f t="shared" si="37"/>
        <v>0</v>
      </c>
      <c r="V169" s="51">
        <f t="shared" si="37"/>
        <v>0</v>
      </c>
      <c r="W169" s="51">
        <f t="shared" si="37"/>
        <v>0</v>
      </c>
      <c r="X169" s="51">
        <f t="shared" si="37"/>
        <v>0</v>
      </c>
      <c r="Y169" s="51">
        <f t="shared" si="37"/>
        <v>0</v>
      </c>
      <c r="Z169" s="51">
        <f t="shared" si="37"/>
        <v>0</v>
      </c>
      <c r="AA169" s="51">
        <f t="shared" si="37"/>
        <v>0</v>
      </c>
      <c r="AB169" s="51">
        <f t="shared" si="37"/>
        <v>1.7103553285038136E-3</v>
      </c>
      <c r="AC169" s="51">
        <f t="shared" si="37"/>
        <v>0</v>
      </c>
      <c r="AD169" s="51">
        <f t="shared" si="37"/>
        <v>0</v>
      </c>
      <c r="AE169" s="51">
        <f t="shared" si="37"/>
        <v>0</v>
      </c>
      <c r="AF169" s="51">
        <f t="shared" si="39"/>
        <v>1.7103553285038136E-3</v>
      </c>
      <c r="AG169" s="51">
        <f>D169-AF169</f>
        <v>0</v>
      </c>
      <c r="AH169" s="51">
        <f>Table4[[#This Row],[Column29]]/$D$181*0.5</f>
        <v>8.0212042997577972E-3</v>
      </c>
      <c r="AI169" s="51">
        <f>Table4[[#This Row],[Column29]]/$D$181*1.5</f>
        <v>2.406361289927339E-2</v>
      </c>
    </row>
    <row r="170" spans="3:35">
      <c r="C170" s="52" t="s">
        <v>497</v>
      </c>
      <c r="D170" s="44">
        <v>6.0791307974507032E-4</v>
      </c>
      <c r="E170" s="51">
        <f t="shared" si="36"/>
        <v>0</v>
      </c>
      <c r="F170" s="51">
        <f t="shared" si="37"/>
        <v>0</v>
      </c>
      <c r="G170" s="51">
        <f t="shared" si="37"/>
        <v>0</v>
      </c>
      <c r="H170" s="51">
        <f t="shared" si="37"/>
        <v>0</v>
      </c>
      <c r="I170" s="51">
        <f t="shared" si="37"/>
        <v>6.0791307974507032E-4</v>
      </c>
      <c r="J170" s="51">
        <f t="shared" si="37"/>
        <v>0</v>
      </c>
      <c r="K170" s="51">
        <f t="shared" si="37"/>
        <v>0</v>
      </c>
      <c r="L170" s="51">
        <f t="shared" si="37"/>
        <v>6.0791307974507032E-4</v>
      </c>
      <c r="M170" s="51">
        <f t="shared" si="37"/>
        <v>0</v>
      </c>
      <c r="N170" s="51">
        <f t="shared" si="37"/>
        <v>0</v>
      </c>
      <c r="O170" s="51">
        <f t="shared" si="37"/>
        <v>0</v>
      </c>
      <c r="P170" s="51">
        <f t="shared" si="37"/>
        <v>0</v>
      </c>
      <c r="Q170" s="51">
        <f t="shared" si="37"/>
        <v>0</v>
      </c>
      <c r="R170" s="51">
        <f t="shared" si="37"/>
        <v>0</v>
      </c>
      <c r="S170" s="51">
        <f t="shared" si="37"/>
        <v>0</v>
      </c>
      <c r="T170" s="51">
        <f t="shared" si="37"/>
        <v>0</v>
      </c>
      <c r="U170" s="51">
        <f t="shared" si="37"/>
        <v>0</v>
      </c>
      <c r="V170" s="51">
        <f t="shared" si="37"/>
        <v>0</v>
      </c>
      <c r="W170" s="51">
        <f t="shared" si="37"/>
        <v>0</v>
      </c>
      <c r="X170" s="51">
        <f t="shared" si="37"/>
        <v>0</v>
      </c>
      <c r="Y170" s="51">
        <f t="shared" si="37"/>
        <v>0</v>
      </c>
      <c r="Z170" s="51">
        <f t="shared" si="37"/>
        <v>0</v>
      </c>
      <c r="AA170" s="51">
        <f t="shared" si="37"/>
        <v>0</v>
      </c>
      <c r="AB170" s="51">
        <f t="shared" si="37"/>
        <v>0</v>
      </c>
      <c r="AC170" s="51">
        <f t="shared" si="37"/>
        <v>0</v>
      </c>
      <c r="AD170" s="51">
        <f t="shared" si="37"/>
        <v>0</v>
      </c>
      <c r="AE170" s="51">
        <f t="shared" si="37"/>
        <v>0</v>
      </c>
      <c r="AF170" s="51">
        <f t="shared" si="39"/>
        <v>6.0791307974507032E-4</v>
      </c>
      <c r="AG170" s="51">
        <f t="shared" si="40"/>
        <v>0</v>
      </c>
      <c r="AH170" s="51">
        <f>Table4[[#This Row],[Column29]]/$D$181*0.5</f>
        <v>2.8509836101693361E-3</v>
      </c>
      <c r="AI170" s="51">
        <f>Table4[[#This Row],[Column29]]/$D$181*1.5</f>
        <v>8.552950830508008E-3</v>
      </c>
    </row>
    <row r="171" spans="3:35">
      <c r="C171" s="50" t="s">
        <v>498</v>
      </c>
      <c r="D171" s="51">
        <v>8.8540573464194489E-3</v>
      </c>
      <c r="E171" s="51">
        <f t="shared" si="36"/>
        <v>0</v>
      </c>
      <c r="F171" s="51">
        <f t="shared" si="37"/>
        <v>0</v>
      </c>
      <c r="G171" s="51">
        <f t="shared" si="37"/>
        <v>0</v>
      </c>
      <c r="H171" s="51">
        <f t="shared" si="37"/>
        <v>0</v>
      </c>
      <c r="I171" s="51">
        <f t="shared" si="37"/>
        <v>0</v>
      </c>
      <c r="J171" s="51">
        <f t="shared" si="37"/>
        <v>0</v>
      </c>
      <c r="K171" s="51">
        <f t="shared" si="37"/>
        <v>1.7708114692838898E-2</v>
      </c>
      <c r="L171" s="51">
        <f t="shared" si="37"/>
        <v>0</v>
      </c>
      <c r="M171" s="51">
        <f t="shared" si="37"/>
        <v>0</v>
      </c>
      <c r="N171" s="51">
        <f t="shared" si="37"/>
        <v>0</v>
      </c>
      <c r="O171" s="51">
        <f t="shared" si="37"/>
        <v>0</v>
      </c>
      <c r="P171" s="51">
        <f t="shared" si="37"/>
        <v>0</v>
      </c>
      <c r="Q171" s="51">
        <f t="shared" si="37"/>
        <v>0</v>
      </c>
      <c r="R171" s="51">
        <f t="shared" si="37"/>
        <v>0</v>
      </c>
      <c r="S171" s="51">
        <f t="shared" si="37"/>
        <v>0</v>
      </c>
      <c r="T171" s="51">
        <f t="shared" si="37"/>
        <v>0</v>
      </c>
      <c r="U171" s="51">
        <f t="shared" si="37"/>
        <v>0</v>
      </c>
      <c r="V171" s="51">
        <f t="shared" si="37"/>
        <v>0</v>
      </c>
      <c r="W171" s="51">
        <f t="shared" si="37"/>
        <v>0</v>
      </c>
      <c r="X171" s="51">
        <f t="shared" si="37"/>
        <v>0</v>
      </c>
      <c r="Y171" s="51">
        <f t="shared" si="37"/>
        <v>0</v>
      </c>
      <c r="Z171" s="51">
        <f t="shared" si="37"/>
        <v>0</v>
      </c>
      <c r="AA171" s="51">
        <f t="shared" si="37"/>
        <v>0</v>
      </c>
      <c r="AB171" s="51">
        <f t="shared" si="37"/>
        <v>0</v>
      </c>
      <c r="AC171" s="51">
        <f t="shared" si="37"/>
        <v>0</v>
      </c>
      <c r="AD171" s="51">
        <f t="shared" si="37"/>
        <v>0</v>
      </c>
      <c r="AE171" s="51">
        <f t="shared" si="37"/>
        <v>0</v>
      </c>
      <c r="AF171" s="51">
        <f t="shared" si="39"/>
        <v>8.8540573464194489E-3</v>
      </c>
      <c r="AG171" s="51">
        <f t="shared" si="40"/>
        <v>0</v>
      </c>
      <c r="AH171" s="51">
        <f>Table4[[#This Row],[Column29]]/$D$181*0.5</f>
        <v>4.1523653988045237E-2</v>
      </c>
      <c r="AI171" s="51">
        <f>Table4[[#This Row],[Column29]]/$D$181*1.5</f>
        <v>0.12457096196413571</v>
      </c>
    </row>
    <row r="172" spans="3:35">
      <c r="C172" s="52" t="s">
        <v>499</v>
      </c>
      <c r="D172" s="44">
        <v>2.722359728303733E-3</v>
      </c>
      <c r="E172" s="51">
        <f t="shared" si="36"/>
        <v>0</v>
      </c>
      <c r="F172" s="51">
        <f t="shared" si="37"/>
        <v>0</v>
      </c>
      <c r="G172" s="51">
        <f t="shared" si="37"/>
        <v>0</v>
      </c>
      <c r="H172" s="51">
        <f t="shared" si="37"/>
        <v>0</v>
      </c>
      <c r="I172" s="51">
        <f t="shared" si="37"/>
        <v>0</v>
      </c>
      <c r="J172" s="51">
        <f t="shared" si="37"/>
        <v>0</v>
      </c>
      <c r="K172" s="51">
        <f t="shared" si="37"/>
        <v>2.722359728303733E-3</v>
      </c>
      <c r="L172" s="51">
        <f t="shared" si="37"/>
        <v>2.722359728303733E-3</v>
      </c>
      <c r="M172" s="51">
        <f t="shared" si="37"/>
        <v>0</v>
      </c>
      <c r="N172" s="51">
        <f t="shared" si="37"/>
        <v>0</v>
      </c>
      <c r="O172" s="51">
        <f t="shared" si="37"/>
        <v>0</v>
      </c>
      <c r="P172" s="51">
        <f t="shared" si="37"/>
        <v>0</v>
      </c>
      <c r="Q172" s="51">
        <f t="shared" si="37"/>
        <v>0</v>
      </c>
      <c r="R172" s="51">
        <f t="shared" si="37"/>
        <v>0</v>
      </c>
      <c r="S172" s="51">
        <f t="shared" si="37"/>
        <v>0</v>
      </c>
      <c r="T172" s="51">
        <f t="shared" si="37"/>
        <v>0</v>
      </c>
      <c r="U172" s="51">
        <f t="shared" si="37"/>
        <v>0</v>
      </c>
      <c r="V172" s="51">
        <f t="shared" si="37"/>
        <v>0</v>
      </c>
      <c r="W172" s="51">
        <f t="shared" si="37"/>
        <v>0</v>
      </c>
      <c r="X172" s="51">
        <f t="shared" si="37"/>
        <v>0</v>
      </c>
      <c r="Y172" s="51">
        <f t="shared" si="37"/>
        <v>0</v>
      </c>
      <c r="Z172" s="51">
        <f t="shared" si="37"/>
        <v>0</v>
      </c>
      <c r="AA172" s="51">
        <f t="shared" si="37"/>
        <v>0</v>
      </c>
      <c r="AB172" s="51">
        <f t="shared" si="37"/>
        <v>0</v>
      </c>
      <c r="AC172" s="51">
        <f t="shared" si="37"/>
        <v>0</v>
      </c>
      <c r="AD172" s="51">
        <f t="shared" si="37"/>
        <v>0</v>
      </c>
      <c r="AE172" s="51">
        <f t="shared" si="37"/>
        <v>0</v>
      </c>
      <c r="AF172" s="51">
        <f t="shared" si="39"/>
        <v>2.722359728303733E-3</v>
      </c>
      <c r="AG172" s="51">
        <f t="shared" si="40"/>
        <v>0</v>
      </c>
      <c r="AH172" s="51">
        <f>Table4[[#This Row],[Column29]]/$D$181*0.5</f>
        <v>1.27672906291698E-2</v>
      </c>
      <c r="AI172" s="51">
        <f>Table4[[#This Row],[Column29]]/$D$181*1.5</f>
        <v>3.8301871887509401E-2</v>
      </c>
    </row>
    <row r="173" spans="3:35">
      <c r="C173" s="50" t="s">
        <v>500</v>
      </c>
      <c r="D173" s="51">
        <v>1.2195445100745104E-2</v>
      </c>
      <c r="E173" s="51">
        <f t="shared" si="36"/>
        <v>0</v>
      </c>
      <c r="F173" s="51">
        <f t="shared" si="37"/>
        <v>0</v>
      </c>
      <c r="G173" s="51">
        <f t="shared" si="37"/>
        <v>0</v>
      </c>
      <c r="H173" s="51">
        <f t="shared" si="37"/>
        <v>0</v>
      </c>
      <c r="I173" s="51">
        <f t="shared" si="37"/>
        <v>0</v>
      </c>
      <c r="J173" s="51">
        <f t="shared" si="37"/>
        <v>0</v>
      </c>
      <c r="K173" s="51">
        <f t="shared" si="37"/>
        <v>1.2195445100745104E-2</v>
      </c>
      <c r="L173" s="51">
        <f t="shared" si="37"/>
        <v>0</v>
      </c>
      <c r="M173" s="51">
        <f t="shared" si="37"/>
        <v>0</v>
      </c>
      <c r="N173" s="51">
        <f t="shared" si="37"/>
        <v>0</v>
      </c>
      <c r="O173" s="51">
        <f t="shared" si="37"/>
        <v>0</v>
      </c>
      <c r="P173" s="51">
        <f t="shared" si="37"/>
        <v>0</v>
      </c>
      <c r="Q173" s="51">
        <f t="shared" si="37"/>
        <v>0</v>
      </c>
      <c r="R173" s="51">
        <f t="shared" si="37"/>
        <v>1.2195445100745104E-2</v>
      </c>
      <c r="S173" s="51">
        <f t="shared" si="37"/>
        <v>0</v>
      </c>
      <c r="T173" s="51">
        <f t="shared" si="37"/>
        <v>0</v>
      </c>
      <c r="U173" s="51">
        <f t="shared" si="37"/>
        <v>0</v>
      </c>
      <c r="V173" s="51">
        <f t="shared" si="37"/>
        <v>0</v>
      </c>
      <c r="W173" s="51">
        <f t="shared" si="37"/>
        <v>0</v>
      </c>
      <c r="X173" s="51">
        <f t="shared" si="37"/>
        <v>0</v>
      </c>
      <c r="Y173" s="51">
        <f t="shared" si="37"/>
        <v>0</v>
      </c>
      <c r="Z173" s="51">
        <f t="shared" si="37"/>
        <v>0</v>
      </c>
      <c r="AA173" s="51">
        <f t="shared" si="37"/>
        <v>0</v>
      </c>
      <c r="AB173" s="51">
        <f t="shared" si="37"/>
        <v>0</v>
      </c>
      <c r="AC173" s="51">
        <f t="shared" si="37"/>
        <v>0</v>
      </c>
      <c r="AD173" s="51">
        <f t="shared" si="37"/>
        <v>0</v>
      </c>
      <c r="AE173" s="51">
        <f t="shared" si="37"/>
        <v>0</v>
      </c>
      <c r="AF173" s="51">
        <f t="shared" si="39"/>
        <v>1.2195445100745104E-2</v>
      </c>
      <c r="AG173" s="51">
        <f t="shared" si="40"/>
        <v>0</v>
      </c>
      <c r="AH173" s="51">
        <f>Table4[[#This Row],[Column29]]/$D$181*0.5</f>
        <v>5.719405497168227E-2</v>
      </c>
      <c r="AI173" s="51">
        <f>Table4[[#This Row],[Column29]]/$D$181*1.5</f>
        <v>0.1715821649150468</v>
      </c>
    </row>
    <row r="174" spans="3:35">
      <c r="C174" s="52" t="s">
        <v>501</v>
      </c>
      <c r="D174" s="44">
        <v>6.9657482904109753E-4</v>
      </c>
      <c r="E174" s="51">
        <f t="shared" si="36"/>
        <v>0</v>
      </c>
      <c r="F174" s="51">
        <f t="shared" si="37"/>
        <v>0</v>
      </c>
      <c r="G174" s="51">
        <f t="shared" si="37"/>
        <v>0</v>
      </c>
      <c r="H174" s="51">
        <f t="shared" si="37"/>
        <v>0</v>
      </c>
      <c r="I174" s="51">
        <f t="shared" si="37"/>
        <v>0</v>
      </c>
      <c r="J174" s="51">
        <f t="shared" si="37"/>
        <v>0</v>
      </c>
      <c r="K174" s="51">
        <f t="shared" si="37"/>
        <v>6.9657482904109753E-4</v>
      </c>
      <c r="L174" s="51">
        <f t="shared" si="37"/>
        <v>0</v>
      </c>
      <c r="M174" s="51">
        <f t="shared" si="37"/>
        <v>0</v>
      </c>
      <c r="N174" s="51">
        <f t="shared" si="37"/>
        <v>0</v>
      </c>
      <c r="O174" s="51">
        <f t="shared" si="37"/>
        <v>0</v>
      </c>
      <c r="P174" s="51">
        <f t="shared" si="37"/>
        <v>0</v>
      </c>
      <c r="Q174" s="51">
        <f t="shared" si="37"/>
        <v>0</v>
      </c>
      <c r="R174" s="51">
        <f t="shared" si="37"/>
        <v>0</v>
      </c>
      <c r="S174" s="51">
        <f t="shared" si="37"/>
        <v>6.9657482904109753E-4</v>
      </c>
      <c r="T174" s="51">
        <f t="shared" si="37"/>
        <v>0</v>
      </c>
      <c r="U174" s="51">
        <f t="shared" si="37"/>
        <v>0</v>
      </c>
      <c r="V174" s="51">
        <f t="shared" si="37"/>
        <v>0</v>
      </c>
      <c r="W174" s="51">
        <f t="shared" si="37"/>
        <v>0</v>
      </c>
      <c r="X174" s="51">
        <f t="shared" si="37"/>
        <v>0</v>
      </c>
      <c r="Y174" s="51">
        <f t="shared" si="37"/>
        <v>0</v>
      </c>
      <c r="Z174" s="51">
        <f t="shared" si="37"/>
        <v>0</v>
      </c>
      <c r="AA174" s="51">
        <f t="shared" si="37"/>
        <v>0</v>
      </c>
      <c r="AB174" s="51">
        <f t="shared" si="37"/>
        <v>0</v>
      </c>
      <c r="AC174" s="51">
        <f t="shared" si="37"/>
        <v>0</v>
      </c>
      <c r="AD174" s="51">
        <f t="shared" si="37"/>
        <v>0</v>
      </c>
      <c r="AE174" s="51">
        <f t="shared" si="37"/>
        <v>0</v>
      </c>
      <c r="AF174" s="51">
        <f t="shared" si="39"/>
        <v>6.9657482904109753E-4</v>
      </c>
      <c r="AG174" s="51">
        <f t="shared" si="40"/>
        <v>0</v>
      </c>
      <c r="AH174" s="51">
        <f>Table4[[#This Row],[Column29]]/$D$181*0.5</f>
        <v>3.266788439040459E-3</v>
      </c>
      <c r="AI174" s="51">
        <f>Table4[[#This Row],[Column29]]/$D$181*1.5</f>
        <v>9.8003653171213762E-3</v>
      </c>
    </row>
    <row r="175" spans="3:35">
      <c r="C175" s="50" t="s">
        <v>502</v>
      </c>
      <c r="D175" s="51">
        <v>1.5884919742210027E-3</v>
      </c>
      <c r="E175" s="51">
        <f t="shared" si="36"/>
        <v>0</v>
      </c>
      <c r="F175" s="51">
        <f t="shared" si="37"/>
        <v>0</v>
      </c>
      <c r="G175" s="51">
        <f t="shared" si="37"/>
        <v>0</v>
      </c>
      <c r="H175" s="51">
        <f t="shared" si="37"/>
        <v>0</v>
      </c>
      <c r="I175" s="51">
        <f t="shared" si="37"/>
        <v>0</v>
      </c>
      <c r="J175" s="51">
        <f t="shared" si="37"/>
        <v>0</v>
      </c>
      <c r="K175" s="51">
        <f t="shared" si="37"/>
        <v>1.5884919742210027E-3</v>
      </c>
      <c r="L175" s="51">
        <f t="shared" si="37"/>
        <v>0</v>
      </c>
      <c r="M175" s="51">
        <f t="shared" si="37"/>
        <v>0</v>
      </c>
      <c r="N175" s="51">
        <f t="shared" si="37"/>
        <v>0</v>
      </c>
      <c r="O175" s="51">
        <f t="shared" si="37"/>
        <v>0</v>
      </c>
      <c r="P175" s="51">
        <f t="shared" ref="P175:AE180" si="41">((LEN($C175)-LEN(SUBSTITUTE($C175,P$164,"")))/4)*$D175</f>
        <v>0</v>
      </c>
      <c r="Q175" s="51">
        <f t="shared" si="41"/>
        <v>0</v>
      </c>
      <c r="R175" s="51">
        <f t="shared" si="41"/>
        <v>0</v>
      </c>
      <c r="S175" s="51">
        <f t="shared" si="41"/>
        <v>0</v>
      </c>
      <c r="T175" s="51">
        <f t="shared" si="41"/>
        <v>0</v>
      </c>
      <c r="U175" s="51">
        <f t="shared" si="41"/>
        <v>1.5884919742210027E-3</v>
      </c>
      <c r="V175" s="51">
        <f t="shared" si="41"/>
        <v>0</v>
      </c>
      <c r="W175" s="51">
        <f t="shared" si="41"/>
        <v>0</v>
      </c>
      <c r="X175" s="51">
        <f t="shared" si="41"/>
        <v>0</v>
      </c>
      <c r="Y175" s="51">
        <f t="shared" si="41"/>
        <v>0</v>
      </c>
      <c r="Z175" s="51">
        <f t="shared" si="41"/>
        <v>0</v>
      </c>
      <c r="AA175" s="51">
        <f t="shared" si="41"/>
        <v>0</v>
      </c>
      <c r="AB175" s="51">
        <f t="shared" si="41"/>
        <v>0</v>
      </c>
      <c r="AC175" s="51">
        <f t="shared" si="41"/>
        <v>0</v>
      </c>
      <c r="AD175" s="51">
        <f t="shared" si="41"/>
        <v>0</v>
      </c>
      <c r="AE175" s="51">
        <f t="shared" si="41"/>
        <v>0</v>
      </c>
      <c r="AF175" s="51">
        <f t="shared" si="39"/>
        <v>1.5884919742210027E-3</v>
      </c>
      <c r="AG175" s="51">
        <f t="shared" si="40"/>
        <v>0</v>
      </c>
      <c r="AH175" s="51">
        <f>Table4[[#This Row],[Column29]]/$D$181*0.5</f>
        <v>7.4496909743885717E-3</v>
      </c>
      <c r="AI175" s="51">
        <f>Table4[[#This Row],[Column29]]/$D$181*1.5</f>
        <v>2.2349072923165715E-2</v>
      </c>
    </row>
    <row r="176" spans="3:35">
      <c r="C176" s="52" t="s">
        <v>503</v>
      </c>
      <c r="D176" s="44">
        <v>6.5377655652146434E-4</v>
      </c>
      <c r="E176" s="51">
        <f t="shared" si="36"/>
        <v>0</v>
      </c>
      <c r="F176" s="51">
        <f t="shared" ref="F176:T180" si="42">((LEN($C176)-LEN(SUBSTITUTE($C176,F$164,"")))/4)*$D176</f>
        <v>0</v>
      </c>
      <c r="G176" s="51">
        <f t="shared" si="42"/>
        <v>0</v>
      </c>
      <c r="H176" s="51">
        <f t="shared" si="42"/>
        <v>0</v>
      </c>
      <c r="I176" s="51">
        <f t="shared" si="42"/>
        <v>0</v>
      </c>
      <c r="J176" s="51">
        <f t="shared" si="42"/>
        <v>0</v>
      </c>
      <c r="K176" s="51">
        <f t="shared" si="42"/>
        <v>6.5377655652146434E-4</v>
      </c>
      <c r="L176" s="51">
        <f t="shared" si="42"/>
        <v>0</v>
      </c>
      <c r="M176" s="51">
        <f t="shared" si="42"/>
        <v>0</v>
      </c>
      <c r="N176" s="51">
        <f t="shared" si="42"/>
        <v>0</v>
      </c>
      <c r="O176" s="51">
        <f t="shared" si="42"/>
        <v>0</v>
      </c>
      <c r="P176" s="51">
        <f t="shared" si="42"/>
        <v>0</v>
      </c>
      <c r="Q176" s="51">
        <f t="shared" si="42"/>
        <v>0</v>
      </c>
      <c r="R176" s="51">
        <f t="shared" si="42"/>
        <v>0</v>
      </c>
      <c r="S176" s="51">
        <f t="shared" si="42"/>
        <v>0</v>
      </c>
      <c r="T176" s="51">
        <f t="shared" si="42"/>
        <v>0</v>
      </c>
      <c r="U176" s="51">
        <f t="shared" si="41"/>
        <v>0</v>
      </c>
      <c r="V176" s="51">
        <f t="shared" si="41"/>
        <v>0</v>
      </c>
      <c r="W176" s="51">
        <f t="shared" si="41"/>
        <v>0</v>
      </c>
      <c r="X176" s="51">
        <f t="shared" si="41"/>
        <v>0</v>
      </c>
      <c r="Y176" s="51">
        <f t="shared" si="41"/>
        <v>0</v>
      </c>
      <c r="Z176" s="51">
        <f t="shared" si="41"/>
        <v>0</v>
      </c>
      <c r="AA176" s="51">
        <f t="shared" si="41"/>
        <v>0</v>
      </c>
      <c r="AB176" s="51">
        <f t="shared" si="41"/>
        <v>6.5377655652146434E-4</v>
      </c>
      <c r="AC176" s="51">
        <f t="shared" si="41"/>
        <v>0</v>
      </c>
      <c r="AD176" s="51">
        <f t="shared" si="41"/>
        <v>0</v>
      </c>
      <c r="AE176" s="51">
        <f t="shared" si="41"/>
        <v>0</v>
      </c>
      <c r="AF176" s="51">
        <f t="shared" si="39"/>
        <v>6.5377655652146434E-4</v>
      </c>
      <c r="AG176" s="51">
        <f t="shared" si="40"/>
        <v>0</v>
      </c>
      <c r="AH176" s="51">
        <f>Table4[[#This Row],[Column29]]/$D$181*0.5</f>
        <v>3.0660736040377264E-3</v>
      </c>
      <c r="AI176" s="51">
        <f>Table4[[#This Row],[Column29]]/$D$181*1.5</f>
        <v>9.1982208121131788E-3</v>
      </c>
    </row>
    <row r="177" spans="3:36">
      <c r="C177" s="50" t="s">
        <v>504</v>
      </c>
      <c r="D177" s="51">
        <v>2.5774070784045744E-3</v>
      </c>
      <c r="E177" s="51">
        <f t="shared" si="36"/>
        <v>0</v>
      </c>
      <c r="F177" s="51">
        <f t="shared" si="42"/>
        <v>0</v>
      </c>
      <c r="G177" s="51">
        <f t="shared" si="42"/>
        <v>0</v>
      </c>
      <c r="H177" s="51">
        <f t="shared" si="42"/>
        <v>0</v>
      </c>
      <c r="I177" s="51">
        <f t="shared" si="42"/>
        <v>0</v>
      </c>
      <c r="J177" s="51">
        <f t="shared" si="42"/>
        <v>0</v>
      </c>
      <c r="K177" s="51">
        <f t="shared" si="42"/>
        <v>0</v>
      </c>
      <c r="L177" s="51">
        <f t="shared" si="42"/>
        <v>5.1548141568091487E-3</v>
      </c>
      <c r="M177" s="51">
        <f t="shared" si="42"/>
        <v>0</v>
      </c>
      <c r="N177" s="51">
        <f t="shared" si="42"/>
        <v>0</v>
      </c>
      <c r="O177" s="51">
        <f t="shared" si="42"/>
        <v>0</v>
      </c>
      <c r="P177" s="51">
        <f t="shared" si="42"/>
        <v>0</v>
      </c>
      <c r="Q177" s="51">
        <f t="shared" si="42"/>
        <v>0</v>
      </c>
      <c r="R177" s="51">
        <f t="shared" si="42"/>
        <v>0</v>
      </c>
      <c r="S177" s="51">
        <f t="shared" si="42"/>
        <v>0</v>
      </c>
      <c r="T177" s="51">
        <f t="shared" si="42"/>
        <v>0</v>
      </c>
      <c r="U177" s="51">
        <f t="shared" si="41"/>
        <v>0</v>
      </c>
      <c r="V177" s="51">
        <f t="shared" si="41"/>
        <v>0</v>
      </c>
      <c r="W177" s="51">
        <f t="shared" si="41"/>
        <v>0</v>
      </c>
      <c r="X177" s="51">
        <f t="shared" si="41"/>
        <v>0</v>
      </c>
      <c r="Y177" s="51">
        <f t="shared" si="41"/>
        <v>0</v>
      </c>
      <c r="Z177" s="51">
        <f t="shared" si="41"/>
        <v>0</v>
      </c>
      <c r="AA177" s="51">
        <f t="shared" si="41"/>
        <v>0</v>
      </c>
      <c r="AB177" s="51">
        <f t="shared" si="41"/>
        <v>0</v>
      </c>
      <c r="AC177" s="51">
        <f t="shared" si="41"/>
        <v>0</v>
      </c>
      <c r="AD177" s="51">
        <f t="shared" si="41"/>
        <v>0</v>
      </c>
      <c r="AE177" s="51">
        <f t="shared" si="41"/>
        <v>0</v>
      </c>
      <c r="AF177" s="51">
        <f t="shared" si="39"/>
        <v>2.5774070784045744E-3</v>
      </c>
      <c r="AG177" s="51">
        <f t="shared" si="40"/>
        <v>0</v>
      </c>
      <c r="AH177" s="51">
        <f>Table4[[#This Row],[Column29]]/$D$181*0.5</f>
        <v>1.2087493396831231E-2</v>
      </c>
      <c r="AI177" s="51">
        <f>Table4[[#This Row],[Column29]]/$D$181*1.5</f>
        <v>3.626248019049369E-2</v>
      </c>
    </row>
    <row r="178" spans="3:36">
      <c r="C178" s="52" t="s">
        <v>505</v>
      </c>
      <c r="D178" s="44">
        <v>1.9350892293850194E-4</v>
      </c>
      <c r="E178" s="51">
        <f t="shared" si="36"/>
        <v>0</v>
      </c>
      <c r="F178" s="51">
        <f t="shared" si="42"/>
        <v>0</v>
      </c>
      <c r="G178" s="51">
        <f t="shared" si="42"/>
        <v>0</v>
      </c>
      <c r="H178" s="51">
        <f t="shared" si="42"/>
        <v>0</v>
      </c>
      <c r="I178" s="51">
        <f t="shared" si="42"/>
        <v>0</v>
      </c>
      <c r="J178" s="51">
        <f t="shared" si="42"/>
        <v>0</v>
      </c>
      <c r="K178" s="51">
        <f t="shared" si="42"/>
        <v>0</v>
      </c>
      <c r="L178" s="51">
        <f t="shared" si="42"/>
        <v>1.9350892293850194E-4</v>
      </c>
      <c r="M178" s="51">
        <f t="shared" si="42"/>
        <v>1.9350892293850194E-4</v>
      </c>
      <c r="N178" s="51">
        <f t="shared" si="42"/>
        <v>0</v>
      </c>
      <c r="O178" s="51">
        <f t="shared" si="42"/>
        <v>0</v>
      </c>
      <c r="P178" s="51">
        <f t="shared" si="42"/>
        <v>0</v>
      </c>
      <c r="Q178" s="51">
        <f t="shared" si="42"/>
        <v>0</v>
      </c>
      <c r="R178" s="51">
        <f t="shared" si="42"/>
        <v>0</v>
      </c>
      <c r="S178" s="51">
        <f t="shared" si="42"/>
        <v>0</v>
      </c>
      <c r="T178" s="51">
        <f t="shared" si="42"/>
        <v>0</v>
      </c>
      <c r="U178" s="51">
        <f t="shared" si="41"/>
        <v>0</v>
      </c>
      <c r="V178" s="51">
        <f t="shared" si="41"/>
        <v>0</v>
      </c>
      <c r="W178" s="51">
        <f t="shared" si="41"/>
        <v>0</v>
      </c>
      <c r="X178" s="51">
        <f t="shared" si="41"/>
        <v>0</v>
      </c>
      <c r="Y178" s="51">
        <f t="shared" si="41"/>
        <v>0</v>
      </c>
      <c r="Z178" s="51">
        <f t="shared" si="41"/>
        <v>0</v>
      </c>
      <c r="AA178" s="51">
        <f t="shared" si="41"/>
        <v>0</v>
      </c>
      <c r="AB178" s="51">
        <f t="shared" si="41"/>
        <v>0</v>
      </c>
      <c r="AC178" s="51">
        <f t="shared" si="41"/>
        <v>0</v>
      </c>
      <c r="AD178" s="51">
        <f t="shared" si="41"/>
        <v>0</v>
      </c>
      <c r="AE178" s="51">
        <f t="shared" si="41"/>
        <v>0</v>
      </c>
      <c r="AF178" s="51">
        <f t="shared" si="39"/>
        <v>1.9350892293850194E-4</v>
      </c>
      <c r="AG178" s="51">
        <f t="shared" si="40"/>
        <v>0</v>
      </c>
      <c r="AH178" s="51">
        <f>Table4[[#This Row],[Column29]]/$D$181*0.5</f>
        <v>9.0751587044408195E-4</v>
      </c>
      <c r="AI178" s="51">
        <f>Table4[[#This Row],[Column29]]/$D$181*1.5</f>
        <v>2.7225476113322458E-3</v>
      </c>
    </row>
    <row r="179" spans="3:36">
      <c r="C179" s="50" t="s">
        <v>506</v>
      </c>
      <c r="D179" s="51">
        <v>4.8881986800084617E-3</v>
      </c>
      <c r="E179" s="51">
        <f t="shared" si="36"/>
        <v>0</v>
      </c>
      <c r="F179" s="51">
        <f t="shared" si="42"/>
        <v>0</v>
      </c>
      <c r="G179" s="51">
        <f t="shared" si="42"/>
        <v>0</v>
      </c>
      <c r="H179" s="51">
        <f t="shared" si="42"/>
        <v>0</v>
      </c>
      <c r="I179" s="51">
        <f t="shared" si="42"/>
        <v>0</v>
      </c>
      <c r="J179" s="51">
        <f t="shared" si="42"/>
        <v>0</v>
      </c>
      <c r="K179" s="51">
        <f t="shared" si="42"/>
        <v>0</v>
      </c>
      <c r="L179" s="51">
        <f t="shared" si="42"/>
        <v>4.8881986800084617E-3</v>
      </c>
      <c r="M179" s="51">
        <f t="shared" si="42"/>
        <v>0</v>
      </c>
      <c r="N179" s="51">
        <f t="shared" si="42"/>
        <v>0</v>
      </c>
      <c r="O179" s="51">
        <f t="shared" si="42"/>
        <v>0</v>
      </c>
      <c r="P179" s="51">
        <f t="shared" si="42"/>
        <v>0</v>
      </c>
      <c r="Q179" s="51">
        <f t="shared" si="42"/>
        <v>0</v>
      </c>
      <c r="R179" s="51">
        <f t="shared" si="42"/>
        <v>4.8881986800084617E-3</v>
      </c>
      <c r="S179" s="51">
        <f t="shared" si="42"/>
        <v>0</v>
      </c>
      <c r="T179" s="51">
        <f t="shared" si="42"/>
        <v>0</v>
      </c>
      <c r="U179" s="51">
        <f t="shared" si="41"/>
        <v>0</v>
      </c>
      <c r="V179" s="51">
        <f t="shared" si="41"/>
        <v>0</v>
      </c>
      <c r="W179" s="51">
        <f t="shared" si="41"/>
        <v>0</v>
      </c>
      <c r="X179" s="51">
        <f t="shared" si="41"/>
        <v>0</v>
      </c>
      <c r="Y179" s="51">
        <f t="shared" si="41"/>
        <v>0</v>
      </c>
      <c r="Z179" s="51">
        <f t="shared" si="41"/>
        <v>0</v>
      </c>
      <c r="AA179" s="51">
        <f t="shared" si="41"/>
        <v>0</v>
      </c>
      <c r="AB179" s="51">
        <f t="shared" si="41"/>
        <v>0</v>
      </c>
      <c r="AC179" s="51">
        <f t="shared" si="41"/>
        <v>0</v>
      </c>
      <c r="AD179" s="51">
        <f t="shared" si="41"/>
        <v>0</v>
      </c>
      <c r="AE179" s="51">
        <f t="shared" si="41"/>
        <v>0</v>
      </c>
      <c r="AF179" s="51">
        <f t="shared" si="39"/>
        <v>4.8881986800084617E-3</v>
      </c>
      <c r="AG179" s="51">
        <f t="shared" si="40"/>
        <v>0</v>
      </c>
      <c r="AH179" s="51">
        <f>Table4[[#This Row],[Column29]]/$D$181*0.5</f>
        <v>2.2924616666908489E-2</v>
      </c>
      <c r="AI179" s="51">
        <f>Table4[[#This Row],[Column29]]/$D$181*1.5</f>
        <v>6.8773850000725473E-2</v>
      </c>
    </row>
    <row r="180" spans="3:36">
      <c r="C180" s="52" t="s">
        <v>507</v>
      </c>
      <c r="D180" s="44">
        <v>2.7483709943330686E-4</v>
      </c>
      <c r="E180" s="51">
        <f t="shared" si="36"/>
        <v>0</v>
      </c>
      <c r="F180" s="51">
        <f t="shared" si="42"/>
        <v>0</v>
      </c>
      <c r="G180" s="51">
        <f t="shared" si="42"/>
        <v>0</v>
      </c>
      <c r="H180" s="51">
        <f t="shared" si="42"/>
        <v>0</v>
      </c>
      <c r="I180" s="51">
        <f t="shared" si="42"/>
        <v>0</v>
      </c>
      <c r="J180" s="51">
        <f t="shared" si="42"/>
        <v>0</v>
      </c>
      <c r="K180" s="51">
        <f t="shared" si="42"/>
        <v>0</v>
      </c>
      <c r="L180" s="51">
        <f t="shared" si="42"/>
        <v>2.7483709943330686E-4</v>
      </c>
      <c r="M180" s="51">
        <f t="shared" si="42"/>
        <v>0</v>
      </c>
      <c r="N180" s="51">
        <f t="shared" si="42"/>
        <v>0</v>
      </c>
      <c r="O180" s="51">
        <f t="shared" si="42"/>
        <v>0</v>
      </c>
      <c r="P180" s="51">
        <f t="shared" si="42"/>
        <v>0</v>
      </c>
      <c r="Q180" s="51">
        <f t="shared" si="42"/>
        <v>0</v>
      </c>
      <c r="R180" s="51">
        <f t="shared" si="42"/>
        <v>0</v>
      </c>
      <c r="S180" s="51">
        <f t="shared" si="42"/>
        <v>2.7483709943330686E-4</v>
      </c>
      <c r="T180" s="51">
        <f t="shared" si="42"/>
        <v>0</v>
      </c>
      <c r="U180" s="51">
        <f t="shared" si="41"/>
        <v>0</v>
      </c>
      <c r="V180" s="51">
        <f t="shared" si="41"/>
        <v>0</v>
      </c>
      <c r="W180" s="51">
        <f t="shared" si="41"/>
        <v>0</v>
      </c>
      <c r="X180" s="51">
        <f t="shared" si="41"/>
        <v>0</v>
      </c>
      <c r="Y180" s="51">
        <f t="shared" si="41"/>
        <v>0</v>
      </c>
      <c r="Z180" s="51">
        <f t="shared" si="41"/>
        <v>0</v>
      </c>
      <c r="AA180" s="51">
        <f t="shared" si="41"/>
        <v>0</v>
      </c>
      <c r="AB180" s="51">
        <f t="shared" si="41"/>
        <v>0</v>
      </c>
      <c r="AC180" s="51">
        <f t="shared" si="41"/>
        <v>0</v>
      </c>
      <c r="AD180" s="51">
        <f t="shared" si="41"/>
        <v>0</v>
      </c>
      <c r="AE180" s="51">
        <f t="shared" si="41"/>
        <v>0</v>
      </c>
      <c r="AF180" s="51">
        <f t="shared" si="39"/>
        <v>2.7483709943330686E-4</v>
      </c>
      <c r="AG180" s="51">
        <f t="shared" si="40"/>
        <v>0</v>
      </c>
      <c r="AH180" s="51">
        <f>Table4[[#This Row],[Column29]]/$D$181*0.5</f>
        <v>1.2889277958609213E-3</v>
      </c>
      <c r="AI180" s="51">
        <f>Table4[[#This Row],[Column29]]/$D$181*1.5</f>
        <v>3.866783387582764E-3</v>
      </c>
    </row>
    <row r="181" spans="3:36">
      <c r="C181" s="51"/>
      <c r="D181" s="51">
        <f t="shared" ref="D181:AE181" si="43">SUM(D165:D180)</f>
        <v>0.10661462198110688</v>
      </c>
      <c r="E181" s="51">
        <f t="shared" si="43"/>
        <v>0</v>
      </c>
      <c r="F181" s="51">
        <f t="shared" si="43"/>
        <v>0</v>
      </c>
      <c r="G181" s="51">
        <f t="shared" si="43"/>
        <v>7.7846390926812101E-2</v>
      </c>
      <c r="H181" s="51">
        <f t="shared" si="43"/>
        <v>0</v>
      </c>
      <c r="I181" s="51">
        <f t="shared" si="43"/>
        <v>6.0791307974507032E-4</v>
      </c>
      <c r="J181" s="51">
        <f t="shared" si="43"/>
        <v>0</v>
      </c>
      <c r="K181" s="51">
        <f t="shared" si="43"/>
        <v>7.9208974482632935E-2</v>
      </c>
      <c r="L181" s="51">
        <f t="shared" si="43"/>
        <v>3.2837504555910502E-2</v>
      </c>
      <c r="M181" s="51">
        <f t="shared" si="43"/>
        <v>1.9350892293850194E-4</v>
      </c>
      <c r="N181" s="51">
        <f t="shared" si="43"/>
        <v>0</v>
      </c>
      <c r="O181" s="51">
        <f t="shared" si="43"/>
        <v>0</v>
      </c>
      <c r="P181" s="51">
        <f t="shared" si="43"/>
        <v>0</v>
      </c>
      <c r="Q181" s="51">
        <f t="shared" si="43"/>
        <v>0</v>
      </c>
      <c r="R181" s="51">
        <f t="shared" si="43"/>
        <v>1.7083643780753565E-2</v>
      </c>
      <c r="S181" s="51">
        <f t="shared" si="43"/>
        <v>1.4986843541747845E-3</v>
      </c>
      <c r="T181" s="51">
        <f t="shared" si="43"/>
        <v>0</v>
      </c>
      <c r="U181" s="51">
        <f t="shared" si="43"/>
        <v>1.5884919742210027E-3</v>
      </c>
      <c r="V181" s="51">
        <f t="shared" si="43"/>
        <v>0</v>
      </c>
      <c r="W181" s="51">
        <f t="shared" si="43"/>
        <v>0</v>
      </c>
      <c r="X181" s="51">
        <f t="shared" si="43"/>
        <v>0</v>
      </c>
      <c r="Y181" s="51">
        <f t="shared" si="43"/>
        <v>0</v>
      </c>
      <c r="Z181" s="51">
        <f t="shared" si="43"/>
        <v>0</v>
      </c>
      <c r="AA181" s="51">
        <f t="shared" si="43"/>
        <v>0</v>
      </c>
      <c r="AB181" s="51">
        <f t="shared" si="43"/>
        <v>2.3641318850252781E-3</v>
      </c>
      <c r="AC181" s="51">
        <f t="shared" si="43"/>
        <v>0</v>
      </c>
      <c r="AD181" s="51">
        <f t="shared" si="43"/>
        <v>0</v>
      </c>
      <c r="AE181" s="51">
        <f t="shared" si="43"/>
        <v>0</v>
      </c>
      <c r="AF181" s="51">
        <f t="shared" si="39"/>
        <v>0.10661462198110686</v>
      </c>
      <c r="AG181" s="51">
        <f t="shared" si="40"/>
        <v>0</v>
      </c>
      <c r="AH181" s="51">
        <f>Table4[[#This Row],[Column29]]/$D$181*0.5</f>
        <v>0.49999999999999989</v>
      </c>
      <c r="AI181" s="51">
        <f>Table4[[#This Row],[Column29]]/$D$181*1.5</f>
        <v>1.4999999999999996</v>
      </c>
    </row>
    <row r="182" spans="3:36">
      <c r="D182" s="44">
        <f>SUM(E181:AE181)</f>
        <v>0.21322924396221371</v>
      </c>
      <c r="E182" s="44">
        <f>E181/$D$181*100</f>
        <v>0</v>
      </c>
      <c r="F182" s="44">
        <f>F181/$D$181*100</f>
        <v>0</v>
      </c>
      <c r="G182" s="44">
        <f>G181/$D$181*100</f>
        <v>73.016617683648704</v>
      </c>
      <c r="H182" s="44">
        <f t="shared" ref="H182:AE182" si="44">H181/$D$181*100</f>
        <v>0</v>
      </c>
      <c r="I182" s="44">
        <f t="shared" si="44"/>
        <v>0.57019672203386718</v>
      </c>
      <c r="J182" s="44">
        <f t="shared" si="44"/>
        <v>0</v>
      </c>
      <c r="K182" s="44">
        <f t="shared" si="44"/>
        <v>74.294663349901029</v>
      </c>
      <c r="L182" s="44">
        <f t="shared" si="44"/>
        <v>30.800188516102057</v>
      </c>
      <c r="M182" s="44">
        <f t="shared" si="44"/>
        <v>0.18150317408881639</v>
      </c>
      <c r="N182" s="44">
        <f t="shared" si="44"/>
        <v>0</v>
      </c>
      <c r="O182" s="44">
        <f t="shared" si="44"/>
        <v>0</v>
      </c>
      <c r="P182" s="44">
        <f t="shared" si="44"/>
        <v>0</v>
      </c>
      <c r="Q182" s="44">
        <f t="shared" si="44"/>
        <v>0</v>
      </c>
      <c r="R182" s="44">
        <f t="shared" si="44"/>
        <v>16.023734327718149</v>
      </c>
      <c r="S182" s="44">
        <f t="shared" si="44"/>
        <v>1.4057024508705434</v>
      </c>
      <c r="T182" s="44">
        <f t="shared" si="44"/>
        <v>0</v>
      </c>
      <c r="U182" s="44">
        <f t="shared" si="44"/>
        <v>1.4899381948777144</v>
      </c>
      <c r="V182" s="44">
        <f t="shared" si="44"/>
        <v>0</v>
      </c>
      <c r="W182" s="44">
        <f t="shared" si="44"/>
        <v>0</v>
      </c>
      <c r="X182" s="44">
        <f t="shared" si="44"/>
        <v>0</v>
      </c>
      <c r="Y182" s="44">
        <f t="shared" si="44"/>
        <v>0</v>
      </c>
      <c r="Z182" s="44">
        <f t="shared" si="44"/>
        <v>0</v>
      </c>
      <c r="AA182" s="44">
        <f t="shared" si="44"/>
        <v>0</v>
      </c>
      <c r="AB182" s="44">
        <f t="shared" si="44"/>
        <v>2.217455580759105</v>
      </c>
      <c r="AC182" s="44">
        <f t="shared" si="44"/>
        <v>0</v>
      </c>
      <c r="AD182" s="44">
        <f t="shared" si="44"/>
        <v>0</v>
      </c>
      <c r="AE182" s="44">
        <f t="shared" si="44"/>
        <v>0</v>
      </c>
      <c r="AH182" s="51">
        <f>Table4[[#This Row],[Column29]]/$D$181*0.5</f>
        <v>0</v>
      </c>
      <c r="AI182" s="51">
        <f>Table4[[#This Row],[Column29]]/$D$181*1.5</f>
        <v>0</v>
      </c>
    </row>
    <row r="183" spans="3:36">
      <c r="C183" s="51"/>
      <c r="D183" s="51">
        <f>SUM(E182:AE182)</f>
        <v>199.99999999999997</v>
      </c>
      <c r="E183" s="51">
        <f>IF(E182 &gt; 1, E182, 0)</f>
        <v>0</v>
      </c>
      <c r="F183" s="51">
        <f t="shared" ref="F183:AE183" si="45">IF(F182 &gt; 1, F182, 0)</f>
        <v>0</v>
      </c>
      <c r="G183" s="51">
        <f t="shared" si="45"/>
        <v>73.016617683648704</v>
      </c>
      <c r="H183" s="51">
        <f t="shared" si="45"/>
        <v>0</v>
      </c>
      <c r="I183" s="51">
        <f t="shared" si="45"/>
        <v>0</v>
      </c>
      <c r="J183" s="51">
        <f t="shared" si="45"/>
        <v>0</v>
      </c>
      <c r="K183" s="51">
        <f t="shared" si="45"/>
        <v>74.294663349901029</v>
      </c>
      <c r="L183" s="51">
        <f t="shared" si="45"/>
        <v>30.800188516102057</v>
      </c>
      <c r="M183" s="51">
        <f t="shared" si="45"/>
        <v>0</v>
      </c>
      <c r="N183" s="51">
        <f t="shared" si="45"/>
        <v>0</v>
      </c>
      <c r="O183" s="51">
        <f t="shared" si="45"/>
        <v>0</v>
      </c>
      <c r="P183" s="51">
        <f t="shared" si="45"/>
        <v>0</v>
      </c>
      <c r="Q183" s="51">
        <f t="shared" si="45"/>
        <v>0</v>
      </c>
      <c r="R183" s="51">
        <f t="shared" si="45"/>
        <v>16.023734327718149</v>
      </c>
      <c r="S183" s="51">
        <f t="shared" si="45"/>
        <v>1.4057024508705434</v>
      </c>
      <c r="T183" s="51">
        <f t="shared" si="45"/>
        <v>0</v>
      </c>
      <c r="U183" s="51">
        <f t="shared" si="45"/>
        <v>1.4899381948777144</v>
      </c>
      <c r="V183" s="51">
        <f t="shared" si="45"/>
        <v>0</v>
      </c>
      <c r="W183" s="51">
        <f t="shared" si="45"/>
        <v>0</v>
      </c>
      <c r="X183" s="51">
        <f t="shared" si="45"/>
        <v>0</v>
      </c>
      <c r="Y183" s="51">
        <f t="shared" si="45"/>
        <v>0</v>
      </c>
      <c r="Z183" s="51">
        <f t="shared" si="45"/>
        <v>0</v>
      </c>
      <c r="AA183" s="51">
        <f t="shared" si="45"/>
        <v>0</v>
      </c>
      <c r="AB183" s="51">
        <f t="shared" si="45"/>
        <v>2.217455580759105</v>
      </c>
      <c r="AC183" s="51">
        <f t="shared" si="45"/>
        <v>0</v>
      </c>
      <c r="AD183" s="51">
        <f t="shared" si="45"/>
        <v>0</v>
      </c>
      <c r="AE183" s="51">
        <f t="shared" si="45"/>
        <v>0</v>
      </c>
      <c r="AF183" s="51"/>
      <c r="AG183" s="51"/>
      <c r="AH183" s="51">
        <f>Table4[[#This Row],[Column29]]/$D$181*0.5</f>
        <v>0</v>
      </c>
      <c r="AI183" s="51">
        <f>Table4[[#This Row],[Column29]]/$D$181*1.5</f>
        <v>0</v>
      </c>
    </row>
    <row r="184" spans="3:36">
      <c r="D184" s="44">
        <f>SUM(E183:AE183)</f>
        <v>199.24830010387728</v>
      </c>
      <c r="E184" s="48">
        <f>E183/$D$184</f>
        <v>0</v>
      </c>
      <c r="F184" s="48">
        <f t="shared" ref="F184:AE184" si="46">F183/$D$184</f>
        <v>0</v>
      </c>
      <c r="G184" s="48">
        <f t="shared" si="46"/>
        <v>0.36646042975313609</v>
      </c>
      <c r="H184" s="48">
        <f t="shared" si="46"/>
        <v>0</v>
      </c>
      <c r="I184" s="47">
        <f t="shared" si="46"/>
        <v>0</v>
      </c>
      <c r="J184" s="48">
        <f t="shared" si="46"/>
        <v>0</v>
      </c>
      <c r="K184" s="48">
        <f t="shared" si="46"/>
        <v>0.37287476636522277</v>
      </c>
      <c r="L184" s="48">
        <f t="shared" si="46"/>
        <v>0.15458193871688997</v>
      </c>
      <c r="M184" s="47">
        <f t="shared" si="46"/>
        <v>0</v>
      </c>
      <c r="N184" s="48">
        <f t="shared" si="46"/>
        <v>0</v>
      </c>
      <c r="O184" s="48">
        <f t="shared" si="46"/>
        <v>0</v>
      </c>
      <c r="P184" s="48">
        <f t="shared" si="46"/>
        <v>0</v>
      </c>
      <c r="Q184" s="48">
        <f t="shared" si="46"/>
        <v>0</v>
      </c>
      <c r="R184" s="48">
        <f t="shared" si="46"/>
        <v>8.0420933676042611E-2</v>
      </c>
      <c r="S184" s="48">
        <f t="shared" si="46"/>
        <v>7.0550285755897847E-3</v>
      </c>
      <c r="T184" s="48">
        <f t="shared" si="46"/>
        <v>0</v>
      </c>
      <c r="U184" s="48">
        <f t="shared" si="46"/>
        <v>7.4777962677771469E-3</v>
      </c>
      <c r="V184" s="48">
        <f t="shared" si="46"/>
        <v>0</v>
      </c>
      <c r="W184" s="48">
        <f t="shared" si="46"/>
        <v>0</v>
      </c>
      <c r="X184" s="48">
        <f t="shared" si="46"/>
        <v>0</v>
      </c>
      <c r="Y184" s="48">
        <f t="shared" si="46"/>
        <v>0</v>
      </c>
      <c r="Z184" s="48">
        <f t="shared" si="46"/>
        <v>0</v>
      </c>
      <c r="AA184" s="48">
        <f t="shared" si="46"/>
        <v>0</v>
      </c>
      <c r="AB184" s="48">
        <f t="shared" si="46"/>
        <v>1.1129106645341735E-2</v>
      </c>
      <c r="AC184" s="48">
        <f t="shared" si="46"/>
        <v>0</v>
      </c>
      <c r="AD184" s="48">
        <f t="shared" si="46"/>
        <v>0</v>
      </c>
      <c r="AE184" s="48">
        <f t="shared" si="46"/>
        <v>0</v>
      </c>
      <c r="AH184" s="51">
        <f>Table4[[#This Row],[Column29]]/$D$181*0.5</f>
        <v>0</v>
      </c>
      <c r="AI184" s="51">
        <f>Table4[[#This Row],[Column29]]/$D$181*1.5</f>
        <v>0</v>
      </c>
    </row>
    <row r="185" spans="3:36">
      <c r="C185" s="51"/>
      <c r="D185" s="51">
        <f>SUM(E184:AE184)</f>
        <v>1.0000000000000002</v>
      </c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>
        <f>Table4[[#This Row],[Column29]]/$D$181*0.5</f>
        <v>0</v>
      </c>
      <c r="AI185" s="51">
        <f>Table4[[#This Row],[Column29]]/$D$181*1.5</f>
        <v>0</v>
      </c>
    </row>
    <row r="188" spans="3:36">
      <c r="C188" s="49" t="s">
        <v>315</v>
      </c>
      <c r="D188" s="49" t="s">
        <v>316</v>
      </c>
      <c r="E188" s="49" t="s">
        <v>317</v>
      </c>
      <c r="F188" s="49" t="s">
        <v>318</v>
      </c>
      <c r="G188" s="49" t="s">
        <v>319</v>
      </c>
      <c r="H188" s="49" t="s">
        <v>320</v>
      </c>
      <c r="I188" s="49" t="s">
        <v>321</v>
      </c>
      <c r="J188" s="49" t="s">
        <v>322</v>
      </c>
      <c r="K188" s="49" t="s">
        <v>323</v>
      </c>
      <c r="L188" s="49" t="s">
        <v>324</v>
      </c>
      <c r="M188" s="49" t="s">
        <v>325</v>
      </c>
      <c r="N188" s="49" t="s">
        <v>326</v>
      </c>
      <c r="O188" s="49" t="s">
        <v>327</v>
      </c>
      <c r="P188" s="49" t="s">
        <v>328</v>
      </c>
      <c r="Q188" s="49" t="s">
        <v>329</v>
      </c>
      <c r="R188" s="49" t="s">
        <v>330</v>
      </c>
      <c r="S188" s="49" t="s">
        <v>331</v>
      </c>
      <c r="T188" s="49" t="s">
        <v>332</v>
      </c>
      <c r="U188" s="49" t="s">
        <v>333</v>
      </c>
      <c r="V188" s="49" t="s">
        <v>334</v>
      </c>
      <c r="W188" s="49" t="s">
        <v>508</v>
      </c>
      <c r="X188" s="49" t="s">
        <v>484</v>
      </c>
      <c r="Y188" s="49" t="s">
        <v>335</v>
      </c>
      <c r="Z188" s="49" t="s">
        <v>336</v>
      </c>
      <c r="AA188" s="49" t="s">
        <v>337</v>
      </c>
      <c r="AB188" s="49" t="s">
        <v>338</v>
      </c>
      <c r="AC188" s="49" t="s">
        <v>339</v>
      </c>
      <c r="AD188" s="49" t="s">
        <v>340</v>
      </c>
      <c r="AE188" s="49" t="s">
        <v>341</v>
      </c>
      <c r="AF188" s="49" t="s">
        <v>342</v>
      </c>
      <c r="AG188" s="49" t="s">
        <v>343</v>
      </c>
      <c r="AH188" s="49" t="s">
        <v>344</v>
      </c>
      <c r="AI188" s="49" t="s">
        <v>345</v>
      </c>
      <c r="AJ188" s="49" t="s">
        <v>346</v>
      </c>
    </row>
    <row r="189" spans="3:36">
      <c r="C189" s="50" t="s">
        <v>509</v>
      </c>
      <c r="D189" s="51">
        <v>6.4217461517578067E-4</v>
      </c>
      <c r="E189" s="51">
        <f>((LEN($C189)-LEN(SUBSTITUTE($C189,Table46[[#Headers],[12_0]],"")))/4)*$D189</f>
        <v>0</v>
      </c>
      <c r="F189" s="51">
        <f>((LEN($C189)-LEN(SUBSTITUTE($C189,Table46[[#Headers],[13_0]],"")))/4)*$D189</f>
        <v>0</v>
      </c>
      <c r="G189" s="51">
        <f>((LEN($C189)-LEN(SUBSTITUTE($C189,Table46[[#Headers],[14_0]],"")))/4)*$D189</f>
        <v>6.4217461517578067E-4</v>
      </c>
      <c r="H189" s="51">
        <f>((LEN($C189)-LEN(SUBSTITUTE($C189,Table46[[#Headers],[14_1]],"")))/4)*$D189</f>
        <v>0</v>
      </c>
      <c r="I189" s="51">
        <f>((LEN($C189)-LEN(SUBSTITUTE($C189,Table46[[#Headers],[15_0]],"")))/4)*$D189</f>
        <v>0</v>
      </c>
      <c r="J189" s="51">
        <f>((LEN($C189)-LEN(SUBSTITUTE($C189,Table46[[#Headers],[15_1]],"")))/4)*$D189</f>
        <v>0</v>
      </c>
      <c r="K189" s="51">
        <f>((LEN($C189)-LEN(SUBSTITUTE($C189,Table46[[#Headers],[16_0]],"")))/4)*$D189</f>
        <v>0</v>
      </c>
      <c r="L189" s="51">
        <f>((LEN($C189)-LEN(SUBSTITUTE($C189,Table46[[#Headers],[16_1]],"")))/4)*$D189</f>
        <v>6.4217461517578067E-4</v>
      </c>
      <c r="M189" s="51">
        <f>((LEN($C189)-LEN(SUBSTITUTE($C189,Table46[[#Headers],[16_2]],"")))/4)*$D189</f>
        <v>0</v>
      </c>
      <c r="N189" s="51">
        <f>((LEN($C189)-LEN(SUBSTITUTE($C189,Table46[[#Headers],[16_3]],"")))/4)*$D189</f>
        <v>0</v>
      </c>
      <c r="O189" s="51">
        <f>((LEN($C189)-LEN(SUBSTITUTE($C189,Table46[[#Headers],[17_0]],"")))/4)*$D189</f>
        <v>0</v>
      </c>
      <c r="P189" s="51">
        <f>((LEN($C189)-LEN(SUBSTITUTE($C189,Table46[[#Headers],[17_1]],"")))/4)*$D189</f>
        <v>0</v>
      </c>
      <c r="Q189" s="51">
        <f>((LEN($C189)-LEN(SUBSTITUTE($C189,Table46[[#Headers],[18_0]],"")))/4)*$D189</f>
        <v>0</v>
      </c>
      <c r="R189" s="51">
        <f>((LEN($C189)-LEN(SUBSTITUTE($C189,Table46[[#Headers],[18_1]],"")))/4)*$D189</f>
        <v>0</v>
      </c>
      <c r="S189" s="51">
        <f>((LEN($C189)-LEN(SUBSTITUTE($C189,Table46[[#Headers],[18_2]],"")))/4)*$D189</f>
        <v>0</v>
      </c>
      <c r="T189" s="51">
        <f>((LEN($C189)-LEN(SUBSTITUTE($C189,Table46[[#Headers],[18_3]],"")))/4)*$D189</f>
        <v>0</v>
      </c>
      <c r="U189" s="51">
        <f>((LEN($C189)-LEN(SUBSTITUTE($C189,Table46[[#Headers],[18_4]],"")))/4)*$D189</f>
        <v>0</v>
      </c>
      <c r="V189" s="51">
        <f>((LEN($C189)-LEN(SUBSTITUTE($C189,Table46[[#Headers],[18_5]],"")))/4)*$D189</f>
        <v>0</v>
      </c>
      <c r="W189" s="51">
        <f>((LEN($C189)-LEN(SUBSTITUTE($C189,Table46[[#Headers],[19_1]],"")))/4)*$D189</f>
        <v>0</v>
      </c>
      <c r="X189" s="51">
        <f>((LEN($C189)-LEN(SUBSTITUTE($C189,Table46[[#Headers],[20_0]],"")))/4)*$D189</f>
        <v>0</v>
      </c>
      <c r="Y189" s="51">
        <f>((LEN($C189)-LEN(SUBSTITUTE($C189,Table46[[#Headers],[20_1]],"")))/4)*$D189</f>
        <v>0</v>
      </c>
      <c r="Z189" s="51">
        <f>((LEN($C189)-LEN(SUBSTITUTE($C189,Table46[[#Headers],[20_2]],"")))/4)*$D189</f>
        <v>0</v>
      </c>
      <c r="AA189" s="51">
        <f>((LEN($C189)-LEN(SUBSTITUTE($C189,Table46[[#Headers],[20_3]],"")))/4)*$D189</f>
        <v>0</v>
      </c>
      <c r="AB189" s="51">
        <f>((LEN($C189)-LEN(SUBSTITUTE($C189,Table46[[#Headers],[20_4]],"")))/4)*$D189</f>
        <v>0</v>
      </c>
      <c r="AC189" s="51">
        <f>((LEN($C189)-LEN(SUBSTITUTE($C189,Table46[[#Headers],[20_5]],"")))/4)*$D189</f>
        <v>0</v>
      </c>
      <c r="AD189" s="51">
        <f>((LEN($C189)-LEN(SUBSTITUTE($C189,Table46[[#Headers],[22_0]],"")))/4)*$D189</f>
        <v>0</v>
      </c>
      <c r="AE189" s="51">
        <f>((LEN($C189)-LEN(SUBSTITUTE($C189,Table46[[#Headers],[22_5]],"")))/4)*$D189</f>
        <v>0</v>
      </c>
      <c r="AF189" s="51">
        <f>((LEN($C189)-LEN(SUBSTITUTE($C189,Table46[[#Headers],[22_6]],"")))/4)*$D189</f>
        <v>0</v>
      </c>
      <c r="AG189" s="51">
        <f t="shared" ref="AG189:AG213" si="47">SUM(E189:AF189)/2</f>
        <v>6.4217461517578067E-4</v>
      </c>
      <c r="AH189" s="51">
        <f t="shared" ref="AH189:AH213" si="48">D189-AG189</f>
        <v>0</v>
      </c>
      <c r="AI189" s="51">
        <f>Table46[[#This Row],[Column29]]/$D$213*0.5</f>
        <v>1.0920578936343309E-2</v>
      </c>
      <c r="AJ189" s="51">
        <f>Table46[[#This Row],[Column29]]/$D$213*1.5</f>
        <v>3.2761736809029926E-2</v>
      </c>
    </row>
    <row r="190" spans="3:36">
      <c r="C190" s="50" t="s">
        <v>510</v>
      </c>
      <c r="D190" s="44">
        <v>7.6727505432788105E-4</v>
      </c>
      <c r="E190" s="51">
        <f>((LEN($C190)-LEN(SUBSTITUTE($C190,Table46[[#Headers],[12_0]],"")))/4)*$D190</f>
        <v>0</v>
      </c>
      <c r="F190" s="51">
        <f>((LEN($C190)-LEN(SUBSTITUTE($C190,Table46[[#Headers],[13_0]],"")))/4)*$D190</f>
        <v>0</v>
      </c>
      <c r="G190" s="51">
        <f>((LEN($C190)-LEN(SUBSTITUTE($C190,Table46[[#Headers],[14_0]],"")))/4)*$D190</f>
        <v>7.6727505432788105E-4</v>
      </c>
      <c r="H190" s="51">
        <f>((LEN($C190)-LEN(SUBSTITUTE($C190,Table46[[#Headers],[14_1]],"")))/4)*$D190</f>
        <v>0</v>
      </c>
      <c r="I190" s="51">
        <f>((LEN($C190)-LEN(SUBSTITUTE($C190,Table46[[#Headers],[15_0]],"")))/4)*$D190</f>
        <v>0</v>
      </c>
      <c r="J190" s="51">
        <f>((LEN($C190)-LEN(SUBSTITUTE($C190,Table46[[#Headers],[15_1]],"")))/4)*$D190</f>
        <v>0</v>
      </c>
      <c r="K190" s="51">
        <f>((LEN($C190)-LEN(SUBSTITUTE($C190,Table46[[#Headers],[16_0]],"")))/4)*$D190</f>
        <v>0</v>
      </c>
      <c r="L190" s="51">
        <f>((LEN($C190)-LEN(SUBSTITUTE($C190,Table46[[#Headers],[16_1]],"")))/4)*$D190</f>
        <v>0</v>
      </c>
      <c r="M190" s="51">
        <f>((LEN($C190)-LEN(SUBSTITUTE($C190,Table46[[#Headers],[16_2]],"")))/4)*$D190</f>
        <v>0</v>
      </c>
      <c r="N190" s="51">
        <f>((LEN($C190)-LEN(SUBSTITUTE($C190,Table46[[#Headers],[16_3]],"")))/4)*$D190</f>
        <v>0</v>
      </c>
      <c r="O190" s="51">
        <f>((LEN($C190)-LEN(SUBSTITUTE($C190,Table46[[#Headers],[17_0]],"")))/4)*$D190</f>
        <v>0</v>
      </c>
      <c r="P190" s="51">
        <f>((LEN($C190)-LEN(SUBSTITUTE($C190,Table46[[#Headers],[17_1]],"")))/4)*$D190</f>
        <v>0</v>
      </c>
      <c r="Q190" s="51">
        <f>((LEN($C190)-LEN(SUBSTITUTE($C190,Table46[[#Headers],[18_0]],"")))/4)*$D190</f>
        <v>0</v>
      </c>
      <c r="R190" s="51">
        <f>((LEN($C190)-LEN(SUBSTITUTE($C190,Table46[[#Headers],[18_1]],"")))/4)*$D190</f>
        <v>0</v>
      </c>
      <c r="S190" s="51">
        <f>((LEN($C190)-LEN(SUBSTITUTE($C190,Table46[[#Headers],[18_2]],"")))/4)*$D190</f>
        <v>0</v>
      </c>
      <c r="T190" s="51">
        <f>((LEN($C190)-LEN(SUBSTITUTE($C190,Table46[[#Headers],[18_3]],"")))/4)*$D190</f>
        <v>0</v>
      </c>
      <c r="U190" s="51">
        <f>((LEN($C190)-LEN(SUBSTITUTE($C190,Table46[[#Headers],[18_4]],"")))/4)*$D190</f>
        <v>0</v>
      </c>
      <c r="V190" s="51">
        <f>((LEN($C190)-LEN(SUBSTITUTE($C190,Table46[[#Headers],[18_5]],"")))/4)*$D190</f>
        <v>0</v>
      </c>
      <c r="W190" s="51">
        <f>((LEN($C190)-LEN(SUBSTITUTE($C190,Table46[[#Headers],[19_1]],"")))/4)*$D190</f>
        <v>0</v>
      </c>
      <c r="X190" s="51">
        <f>((LEN($C190)-LEN(SUBSTITUTE($C190,Table46[[#Headers],[20_0]],"")))/4)*$D190</f>
        <v>0</v>
      </c>
      <c r="Y190" s="51">
        <f>((LEN($C190)-LEN(SUBSTITUTE($C190,Table46[[#Headers],[20_1]],"")))/4)*$D190</f>
        <v>0</v>
      </c>
      <c r="Z190" s="51">
        <f>((LEN($C190)-LEN(SUBSTITUTE($C190,Table46[[#Headers],[20_2]],"")))/4)*$D190</f>
        <v>0</v>
      </c>
      <c r="AA190" s="51">
        <f>((LEN($C190)-LEN(SUBSTITUTE($C190,Table46[[#Headers],[20_3]],"")))/4)*$D190</f>
        <v>0</v>
      </c>
      <c r="AB190" s="51">
        <f>((LEN($C190)-LEN(SUBSTITUTE($C190,Table46[[#Headers],[20_4]],"")))/4)*$D190</f>
        <v>0</v>
      </c>
      <c r="AC190" s="51">
        <f>((LEN($C190)-LEN(SUBSTITUTE($C190,Table46[[#Headers],[20_5]],"")))/4)*$D190</f>
        <v>7.6727505432788105E-4</v>
      </c>
      <c r="AD190" s="51">
        <f>((LEN($C190)-LEN(SUBSTITUTE($C190,Table46[[#Headers],[22_0]],"")))/4)*$D190</f>
        <v>0</v>
      </c>
      <c r="AE190" s="51">
        <f>((LEN($C190)-LEN(SUBSTITUTE($C190,Table46[[#Headers],[22_5]],"")))/4)*$D190</f>
        <v>0</v>
      </c>
      <c r="AF190" s="51">
        <f>((LEN($C190)-LEN(SUBSTITUTE($C190,Table46[[#Headers],[22_6]],"")))/4)*$D190</f>
        <v>0</v>
      </c>
      <c r="AG190" s="51">
        <f t="shared" si="47"/>
        <v>7.6727505432788105E-4</v>
      </c>
      <c r="AH190" s="51">
        <f t="shared" si="48"/>
        <v>0</v>
      </c>
      <c r="AI190" s="51">
        <f>Table46[[#This Row],[Column29]]/$D$213*0.5</f>
        <v>1.3047989750235052E-2</v>
      </c>
      <c r="AJ190" s="51">
        <f>Table46[[#This Row],[Column29]]/$D$213*1.5</f>
        <v>3.9143969250705159E-2</v>
      </c>
    </row>
    <row r="191" spans="3:36">
      <c r="C191" s="50" t="s">
        <v>511</v>
      </c>
      <c r="D191" s="51">
        <v>1.0929315215321581E-3</v>
      </c>
      <c r="E191" s="51">
        <f>((LEN($C191)-LEN(SUBSTITUTE($C191,Table46[[#Headers],[12_0]],"")))/4)*$D191</f>
        <v>0</v>
      </c>
      <c r="F191" s="51">
        <f>((LEN($C191)-LEN(SUBSTITUTE($C191,Table46[[#Headers],[13_0]],"")))/4)*$D191</f>
        <v>0</v>
      </c>
      <c r="G191" s="51">
        <f>((LEN($C191)-LEN(SUBSTITUTE($C191,Table46[[#Headers],[14_0]],"")))/4)*$D191</f>
        <v>0</v>
      </c>
      <c r="H191" s="51">
        <f>((LEN($C191)-LEN(SUBSTITUTE($C191,Table46[[#Headers],[14_1]],"")))/4)*$D191</f>
        <v>0</v>
      </c>
      <c r="I191" s="51">
        <f>((LEN($C191)-LEN(SUBSTITUTE($C191,Table46[[#Headers],[15_0]],"")))/4)*$D191</f>
        <v>0</v>
      </c>
      <c r="J191" s="51">
        <f>((LEN($C191)-LEN(SUBSTITUTE($C191,Table46[[#Headers],[15_1]],"")))/4)*$D191</f>
        <v>0</v>
      </c>
      <c r="K191" s="51">
        <f>((LEN($C191)-LEN(SUBSTITUTE($C191,Table46[[#Headers],[16_0]],"")))/4)*$D191</f>
        <v>1.0929315215321581E-3</v>
      </c>
      <c r="L191" s="51">
        <f>((LEN($C191)-LEN(SUBSTITUTE($C191,Table46[[#Headers],[16_1]],"")))/4)*$D191</f>
        <v>1.0929315215321581E-3</v>
      </c>
      <c r="M191" s="51">
        <f>((LEN($C191)-LEN(SUBSTITUTE($C191,Table46[[#Headers],[16_2]],"")))/4)*$D191</f>
        <v>0</v>
      </c>
      <c r="N191" s="51">
        <f>((LEN($C191)-LEN(SUBSTITUTE($C191,Table46[[#Headers],[16_3]],"")))/4)*$D191</f>
        <v>0</v>
      </c>
      <c r="O191" s="51">
        <f>((LEN($C191)-LEN(SUBSTITUTE($C191,Table46[[#Headers],[17_0]],"")))/4)*$D191</f>
        <v>0</v>
      </c>
      <c r="P191" s="51">
        <f>((LEN($C191)-LEN(SUBSTITUTE($C191,Table46[[#Headers],[17_1]],"")))/4)*$D191</f>
        <v>0</v>
      </c>
      <c r="Q191" s="51">
        <f>((LEN($C191)-LEN(SUBSTITUTE($C191,Table46[[#Headers],[18_0]],"")))/4)*$D191</f>
        <v>0</v>
      </c>
      <c r="R191" s="51">
        <f>((LEN($C191)-LEN(SUBSTITUTE($C191,Table46[[#Headers],[18_1]],"")))/4)*$D191</f>
        <v>0</v>
      </c>
      <c r="S191" s="51">
        <f>((LEN($C191)-LEN(SUBSTITUTE($C191,Table46[[#Headers],[18_2]],"")))/4)*$D191</f>
        <v>0</v>
      </c>
      <c r="T191" s="51">
        <f>((LEN($C191)-LEN(SUBSTITUTE($C191,Table46[[#Headers],[18_3]],"")))/4)*$D191</f>
        <v>0</v>
      </c>
      <c r="U191" s="51">
        <f>((LEN($C191)-LEN(SUBSTITUTE($C191,Table46[[#Headers],[18_4]],"")))/4)*$D191</f>
        <v>0</v>
      </c>
      <c r="V191" s="51">
        <f>((LEN($C191)-LEN(SUBSTITUTE($C191,Table46[[#Headers],[18_5]],"")))/4)*$D191</f>
        <v>0</v>
      </c>
      <c r="W191" s="51">
        <f>((LEN($C191)-LEN(SUBSTITUTE($C191,Table46[[#Headers],[19_1]],"")))/4)*$D191</f>
        <v>0</v>
      </c>
      <c r="X191" s="51">
        <f>((LEN($C191)-LEN(SUBSTITUTE($C191,Table46[[#Headers],[20_0]],"")))/4)*$D191</f>
        <v>0</v>
      </c>
      <c r="Y191" s="51">
        <f>((LEN($C191)-LEN(SUBSTITUTE($C191,Table46[[#Headers],[20_1]],"")))/4)*$D191</f>
        <v>0</v>
      </c>
      <c r="Z191" s="51">
        <f>((LEN($C191)-LEN(SUBSTITUTE($C191,Table46[[#Headers],[20_2]],"")))/4)*$D191</f>
        <v>0</v>
      </c>
      <c r="AA191" s="51">
        <f>((LEN($C191)-LEN(SUBSTITUTE($C191,Table46[[#Headers],[20_3]],"")))/4)*$D191</f>
        <v>0</v>
      </c>
      <c r="AB191" s="51">
        <f>((LEN($C191)-LEN(SUBSTITUTE($C191,Table46[[#Headers],[20_4]],"")))/4)*$D191</f>
        <v>0</v>
      </c>
      <c r="AC191" s="51">
        <f>((LEN($C191)-LEN(SUBSTITUTE($C191,Table46[[#Headers],[20_5]],"")))/4)*$D191</f>
        <v>0</v>
      </c>
      <c r="AD191" s="51">
        <f>((LEN($C191)-LEN(SUBSTITUTE($C191,Table46[[#Headers],[22_0]],"")))/4)*$D191</f>
        <v>0</v>
      </c>
      <c r="AE191" s="51">
        <f>((LEN($C191)-LEN(SUBSTITUTE($C191,Table46[[#Headers],[22_5]],"")))/4)*$D191</f>
        <v>0</v>
      </c>
      <c r="AF191" s="51">
        <f>((LEN($C191)-LEN(SUBSTITUTE($C191,Table46[[#Headers],[22_6]],"")))/4)*$D191</f>
        <v>0</v>
      </c>
      <c r="AG191" s="51">
        <f t="shared" si="47"/>
        <v>1.0929315215321581E-3</v>
      </c>
      <c r="AH191" s="51">
        <f t="shared" si="48"/>
        <v>0</v>
      </c>
      <c r="AI191" s="51">
        <f>Table46[[#This Row],[Column29]]/$D$213*0.5</f>
        <v>1.8585980620929202E-2</v>
      </c>
      <c r="AJ191" s="51">
        <f>Table46[[#This Row],[Column29]]/$D$213*1.5</f>
        <v>5.5757941862787611E-2</v>
      </c>
    </row>
    <row r="192" spans="3:36">
      <c r="C192" s="50" t="s">
        <v>512</v>
      </c>
      <c r="D192" s="44">
        <v>1.0151555443629451E-3</v>
      </c>
      <c r="E192" s="51">
        <f>((LEN($C192)-LEN(SUBSTITUTE($C192,Table46[[#Headers],[12_0]],"")))/4)*$D192</f>
        <v>0</v>
      </c>
      <c r="F192" s="51">
        <f>((LEN($C192)-LEN(SUBSTITUTE($C192,Table46[[#Headers],[13_0]],"")))/4)*$D192</f>
        <v>0</v>
      </c>
      <c r="G192" s="51">
        <f>((LEN($C192)-LEN(SUBSTITUTE($C192,Table46[[#Headers],[14_0]],"")))/4)*$D192</f>
        <v>0</v>
      </c>
      <c r="H192" s="51">
        <f>((LEN($C192)-LEN(SUBSTITUTE($C192,Table46[[#Headers],[14_1]],"")))/4)*$D192</f>
        <v>0</v>
      </c>
      <c r="I192" s="51">
        <f>((LEN($C192)-LEN(SUBSTITUTE($C192,Table46[[#Headers],[15_0]],"")))/4)*$D192</f>
        <v>0</v>
      </c>
      <c r="J192" s="51">
        <f>((LEN($C192)-LEN(SUBSTITUTE($C192,Table46[[#Headers],[15_1]],"")))/4)*$D192</f>
        <v>0</v>
      </c>
      <c r="K192" s="51">
        <f>((LEN($C192)-LEN(SUBSTITUTE($C192,Table46[[#Headers],[16_0]],"")))/4)*$D192</f>
        <v>1.0151555443629451E-3</v>
      </c>
      <c r="L192" s="51">
        <f>((LEN($C192)-LEN(SUBSTITUTE($C192,Table46[[#Headers],[16_1]],"")))/4)*$D192</f>
        <v>0</v>
      </c>
      <c r="M192" s="51">
        <f>((LEN($C192)-LEN(SUBSTITUTE($C192,Table46[[#Headers],[16_2]],"")))/4)*$D192</f>
        <v>0</v>
      </c>
      <c r="N192" s="51">
        <f>((LEN($C192)-LEN(SUBSTITUTE($C192,Table46[[#Headers],[16_3]],"")))/4)*$D192</f>
        <v>0</v>
      </c>
      <c r="O192" s="51">
        <f>((LEN($C192)-LEN(SUBSTITUTE($C192,Table46[[#Headers],[17_0]],"")))/4)*$D192</f>
        <v>0</v>
      </c>
      <c r="P192" s="51">
        <f>((LEN($C192)-LEN(SUBSTITUTE($C192,Table46[[#Headers],[17_1]],"")))/4)*$D192</f>
        <v>0</v>
      </c>
      <c r="Q192" s="51">
        <f>((LEN($C192)-LEN(SUBSTITUTE($C192,Table46[[#Headers],[18_0]],"")))/4)*$D192</f>
        <v>0</v>
      </c>
      <c r="R192" s="51">
        <f>((LEN($C192)-LEN(SUBSTITUTE($C192,Table46[[#Headers],[18_1]],"")))/4)*$D192</f>
        <v>0</v>
      </c>
      <c r="S192" s="51">
        <f>((LEN($C192)-LEN(SUBSTITUTE($C192,Table46[[#Headers],[18_2]],"")))/4)*$D192</f>
        <v>0</v>
      </c>
      <c r="T192" s="51">
        <f>((LEN($C192)-LEN(SUBSTITUTE($C192,Table46[[#Headers],[18_3]],"")))/4)*$D192</f>
        <v>0</v>
      </c>
      <c r="U192" s="51">
        <f>((LEN($C192)-LEN(SUBSTITUTE($C192,Table46[[#Headers],[18_4]],"")))/4)*$D192</f>
        <v>0</v>
      </c>
      <c r="V192" s="51">
        <f>((LEN($C192)-LEN(SUBSTITUTE($C192,Table46[[#Headers],[18_5]],"")))/4)*$D192</f>
        <v>0</v>
      </c>
      <c r="W192" s="51">
        <f>((LEN($C192)-LEN(SUBSTITUTE($C192,Table46[[#Headers],[19_1]],"")))/4)*$D192</f>
        <v>0</v>
      </c>
      <c r="X192" s="51">
        <f>((LEN($C192)-LEN(SUBSTITUTE($C192,Table46[[#Headers],[20_0]],"")))/4)*$D192</f>
        <v>0</v>
      </c>
      <c r="Y192" s="51">
        <f>((LEN($C192)-LEN(SUBSTITUTE($C192,Table46[[#Headers],[20_1]],"")))/4)*$D192</f>
        <v>0</v>
      </c>
      <c r="Z192" s="51">
        <f>((LEN($C192)-LEN(SUBSTITUTE($C192,Table46[[#Headers],[20_2]],"")))/4)*$D192</f>
        <v>0</v>
      </c>
      <c r="AA192" s="51">
        <f>((LEN($C192)-LEN(SUBSTITUTE($C192,Table46[[#Headers],[20_3]],"")))/4)*$D192</f>
        <v>0</v>
      </c>
      <c r="AB192" s="51">
        <f>((LEN($C192)-LEN(SUBSTITUTE($C192,Table46[[#Headers],[20_4]],"")))/4)*$D192</f>
        <v>0</v>
      </c>
      <c r="AC192" s="51">
        <f>((LEN($C192)-LEN(SUBSTITUTE($C192,Table46[[#Headers],[20_5]],"")))/4)*$D192</f>
        <v>1.0151555443629451E-3</v>
      </c>
      <c r="AD192" s="51">
        <f>((LEN($C192)-LEN(SUBSTITUTE($C192,Table46[[#Headers],[22_0]],"")))/4)*$D192</f>
        <v>0</v>
      </c>
      <c r="AE192" s="51">
        <f>((LEN($C192)-LEN(SUBSTITUTE($C192,Table46[[#Headers],[22_5]],"")))/4)*$D192</f>
        <v>0</v>
      </c>
      <c r="AF192" s="51">
        <f>((LEN($C192)-LEN(SUBSTITUTE($C192,Table46[[#Headers],[22_6]],"")))/4)*$D192</f>
        <v>0</v>
      </c>
      <c r="AG192" s="51">
        <f t="shared" si="47"/>
        <v>1.0151555443629451E-3</v>
      </c>
      <c r="AH192" s="51">
        <f t="shared" si="48"/>
        <v>0</v>
      </c>
      <c r="AI192" s="51">
        <f>Table46[[#This Row],[Column29]]/$D$213*0.5</f>
        <v>1.726335173159646E-2</v>
      </c>
      <c r="AJ192" s="51">
        <f>Table46[[#This Row],[Column29]]/$D$213*1.5</f>
        <v>5.1790055194789381E-2</v>
      </c>
    </row>
    <row r="193" spans="3:36">
      <c r="C193" s="50" t="s">
        <v>513</v>
      </c>
      <c r="D193" s="51">
        <v>3.6585934247472746E-3</v>
      </c>
      <c r="E193" s="51">
        <f>((LEN($C193)-LEN(SUBSTITUTE($C193,Table46[[#Headers],[12_0]],"")))/4)*$D193</f>
        <v>0</v>
      </c>
      <c r="F193" s="51">
        <f>((LEN($C193)-LEN(SUBSTITUTE($C193,Table46[[#Headers],[13_0]],"")))/4)*$D193</f>
        <v>0</v>
      </c>
      <c r="G193" s="51">
        <f>((LEN($C193)-LEN(SUBSTITUTE($C193,Table46[[#Headers],[14_0]],"")))/4)*$D193</f>
        <v>0</v>
      </c>
      <c r="H193" s="51">
        <f>((LEN($C193)-LEN(SUBSTITUTE($C193,Table46[[#Headers],[14_1]],"")))/4)*$D193</f>
        <v>0</v>
      </c>
      <c r="I193" s="51">
        <f>((LEN($C193)-LEN(SUBSTITUTE($C193,Table46[[#Headers],[15_0]],"")))/4)*$D193</f>
        <v>0</v>
      </c>
      <c r="J193" s="51">
        <f>((LEN($C193)-LEN(SUBSTITUTE($C193,Table46[[#Headers],[15_1]],"")))/4)*$D193</f>
        <v>0</v>
      </c>
      <c r="K193" s="51">
        <f>((LEN($C193)-LEN(SUBSTITUTE($C193,Table46[[#Headers],[16_0]],"")))/4)*$D193</f>
        <v>0</v>
      </c>
      <c r="L193" s="51">
        <f>((LEN($C193)-LEN(SUBSTITUTE($C193,Table46[[#Headers],[16_1]],"")))/4)*$D193</f>
        <v>7.3171868494945492E-3</v>
      </c>
      <c r="M193" s="51">
        <f>((LEN($C193)-LEN(SUBSTITUTE($C193,Table46[[#Headers],[16_2]],"")))/4)*$D193</f>
        <v>0</v>
      </c>
      <c r="N193" s="51">
        <f>((LEN($C193)-LEN(SUBSTITUTE($C193,Table46[[#Headers],[16_3]],"")))/4)*$D193</f>
        <v>0</v>
      </c>
      <c r="O193" s="51">
        <f>((LEN($C193)-LEN(SUBSTITUTE($C193,Table46[[#Headers],[17_0]],"")))/4)*$D193</f>
        <v>0</v>
      </c>
      <c r="P193" s="51">
        <f>((LEN($C193)-LEN(SUBSTITUTE($C193,Table46[[#Headers],[17_1]],"")))/4)*$D193</f>
        <v>0</v>
      </c>
      <c r="Q193" s="51">
        <f>((LEN($C193)-LEN(SUBSTITUTE($C193,Table46[[#Headers],[18_0]],"")))/4)*$D193</f>
        <v>0</v>
      </c>
      <c r="R193" s="51">
        <f>((LEN($C193)-LEN(SUBSTITUTE($C193,Table46[[#Headers],[18_1]],"")))/4)*$D193</f>
        <v>0</v>
      </c>
      <c r="S193" s="51">
        <f>((LEN($C193)-LEN(SUBSTITUTE($C193,Table46[[#Headers],[18_2]],"")))/4)*$D193</f>
        <v>0</v>
      </c>
      <c r="T193" s="51">
        <f>((LEN($C193)-LEN(SUBSTITUTE($C193,Table46[[#Headers],[18_3]],"")))/4)*$D193</f>
        <v>0</v>
      </c>
      <c r="U193" s="51">
        <f>((LEN($C193)-LEN(SUBSTITUTE($C193,Table46[[#Headers],[18_4]],"")))/4)*$D193</f>
        <v>0</v>
      </c>
      <c r="V193" s="51">
        <f>((LEN($C193)-LEN(SUBSTITUTE($C193,Table46[[#Headers],[18_5]],"")))/4)*$D193</f>
        <v>0</v>
      </c>
      <c r="W193" s="51">
        <f>((LEN($C193)-LEN(SUBSTITUTE($C193,Table46[[#Headers],[19_1]],"")))/4)*$D193</f>
        <v>0</v>
      </c>
      <c r="X193" s="51">
        <f>((LEN($C193)-LEN(SUBSTITUTE($C193,Table46[[#Headers],[20_0]],"")))/4)*$D193</f>
        <v>0</v>
      </c>
      <c r="Y193" s="51">
        <f>((LEN($C193)-LEN(SUBSTITUTE($C193,Table46[[#Headers],[20_1]],"")))/4)*$D193</f>
        <v>0</v>
      </c>
      <c r="Z193" s="51">
        <f>((LEN($C193)-LEN(SUBSTITUTE($C193,Table46[[#Headers],[20_2]],"")))/4)*$D193</f>
        <v>0</v>
      </c>
      <c r="AA193" s="51">
        <f>((LEN($C193)-LEN(SUBSTITUTE($C193,Table46[[#Headers],[20_3]],"")))/4)*$D193</f>
        <v>0</v>
      </c>
      <c r="AB193" s="51">
        <f>((LEN($C193)-LEN(SUBSTITUTE($C193,Table46[[#Headers],[20_4]],"")))/4)*$D193</f>
        <v>0</v>
      </c>
      <c r="AC193" s="51">
        <f>((LEN($C193)-LEN(SUBSTITUTE($C193,Table46[[#Headers],[20_5]],"")))/4)*$D193</f>
        <v>0</v>
      </c>
      <c r="AD193" s="51">
        <f>((LEN($C193)-LEN(SUBSTITUTE($C193,Table46[[#Headers],[22_0]],"")))/4)*$D193</f>
        <v>0</v>
      </c>
      <c r="AE193" s="51">
        <f>((LEN($C193)-LEN(SUBSTITUTE($C193,Table46[[#Headers],[22_5]],"")))/4)*$D193</f>
        <v>0</v>
      </c>
      <c r="AF193" s="51">
        <f>((LEN($C193)-LEN(SUBSTITUTE($C193,Table46[[#Headers],[22_6]],"")))/4)*$D193</f>
        <v>0</v>
      </c>
      <c r="AG193" s="51">
        <f t="shared" si="47"/>
        <v>3.6585934247472746E-3</v>
      </c>
      <c r="AH193" s="51">
        <f t="shared" si="48"/>
        <v>0</v>
      </c>
      <c r="AI193" s="51">
        <f>Table46[[#This Row],[Column29]]/$D$213*0.5</f>
        <v>6.2216657816663662E-2</v>
      </c>
      <c r="AJ193" s="51">
        <f>Table46[[#This Row],[Column29]]/$D$213*1.5</f>
        <v>0.18664997344999099</v>
      </c>
    </row>
    <row r="194" spans="3:36">
      <c r="C194" s="50" t="s">
        <v>514</v>
      </c>
      <c r="D194" s="44">
        <v>5.7316454924552875E-4</v>
      </c>
      <c r="E194" s="51">
        <f>((LEN($C194)-LEN(SUBSTITUTE($C194,Table46[[#Headers],[12_0]],"")))/4)*$D194</f>
        <v>0</v>
      </c>
      <c r="F194" s="51">
        <f>((LEN($C194)-LEN(SUBSTITUTE($C194,Table46[[#Headers],[13_0]],"")))/4)*$D194</f>
        <v>0</v>
      </c>
      <c r="G194" s="51">
        <f>((LEN($C194)-LEN(SUBSTITUTE($C194,Table46[[#Headers],[14_0]],"")))/4)*$D194</f>
        <v>0</v>
      </c>
      <c r="H194" s="51">
        <f>((LEN($C194)-LEN(SUBSTITUTE($C194,Table46[[#Headers],[14_1]],"")))/4)*$D194</f>
        <v>0</v>
      </c>
      <c r="I194" s="51">
        <f>((LEN($C194)-LEN(SUBSTITUTE($C194,Table46[[#Headers],[15_0]],"")))/4)*$D194</f>
        <v>0</v>
      </c>
      <c r="J194" s="51">
        <f>((LEN($C194)-LEN(SUBSTITUTE($C194,Table46[[#Headers],[15_1]],"")))/4)*$D194</f>
        <v>0</v>
      </c>
      <c r="K194" s="51">
        <f>((LEN($C194)-LEN(SUBSTITUTE($C194,Table46[[#Headers],[16_0]],"")))/4)*$D194</f>
        <v>0</v>
      </c>
      <c r="L194" s="51">
        <f>((LEN($C194)-LEN(SUBSTITUTE($C194,Table46[[#Headers],[16_1]],"")))/4)*$D194</f>
        <v>5.7316454924552875E-4</v>
      </c>
      <c r="M194" s="51">
        <f>((LEN($C194)-LEN(SUBSTITUTE($C194,Table46[[#Headers],[16_2]],"")))/4)*$D194</f>
        <v>5.7316454924552875E-4</v>
      </c>
      <c r="N194" s="51">
        <f>((LEN($C194)-LEN(SUBSTITUTE($C194,Table46[[#Headers],[16_3]],"")))/4)*$D194</f>
        <v>0</v>
      </c>
      <c r="O194" s="51">
        <f>((LEN($C194)-LEN(SUBSTITUTE($C194,Table46[[#Headers],[17_0]],"")))/4)*$D194</f>
        <v>0</v>
      </c>
      <c r="P194" s="51">
        <f>((LEN($C194)-LEN(SUBSTITUTE($C194,Table46[[#Headers],[17_1]],"")))/4)*$D194</f>
        <v>0</v>
      </c>
      <c r="Q194" s="51">
        <f>((LEN($C194)-LEN(SUBSTITUTE($C194,Table46[[#Headers],[18_0]],"")))/4)*$D194</f>
        <v>0</v>
      </c>
      <c r="R194" s="51">
        <f>((LEN($C194)-LEN(SUBSTITUTE($C194,Table46[[#Headers],[18_1]],"")))/4)*$D194</f>
        <v>0</v>
      </c>
      <c r="S194" s="51">
        <f>((LEN($C194)-LEN(SUBSTITUTE($C194,Table46[[#Headers],[18_2]],"")))/4)*$D194</f>
        <v>0</v>
      </c>
      <c r="T194" s="51">
        <f>((LEN($C194)-LEN(SUBSTITUTE($C194,Table46[[#Headers],[18_3]],"")))/4)*$D194</f>
        <v>0</v>
      </c>
      <c r="U194" s="51">
        <f>((LEN($C194)-LEN(SUBSTITUTE($C194,Table46[[#Headers],[18_4]],"")))/4)*$D194</f>
        <v>0</v>
      </c>
      <c r="V194" s="51">
        <f>((LEN($C194)-LEN(SUBSTITUTE($C194,Table46[[#Headers],[18_5]],"")))/4)*$D194</f>
        <v>0</v>
      </c>
      <c r="W194" s="51">
        <f>((LEN($C194)-LEN(SUBSTITUTE($C194,Table46[[#Headers],[19_1]],"")))/4)*$D194</f>
        <v>0</v>
      </c>
      <c r="X194" s="51">
        <f>((LEN($C194)-LEN(SUBSTITUTE($C194,Table46[[#Headers],[20_0]],"")))/4)*$D194</f>
        <v>0</v>
      </c>
      <c r="Y194" s="51">
        <f>((LEN($C194)-LEN(SUBSTITUTE($C194,Table46[[#Headers],[20_1]],"")))/4)*$D194</f>
        <v>0</v>
      </c>
      <c r="Z194" s="51">
        <f>((LEN($C194)-LEN(SUBSTITUTE($C194,Table46[[#Headers],[20_2]],"")))/4)*$D194</f>
        <v>0</v>
      </c>
      <c r="AA194" s="51">
        <f>((LEN($C194)-LEN(SUBSTITUTE($C194,Table46[[#Headers],[20_3]],"")))/4)*$D194</f>
        <v>0</v>
      </c>
      <c r="AB194" s="51">
        <f>((LEN($C194)-LEN(SUBSTITUTE($C194,Table46[[#Headers],[20_4]],"")))/4)*$D194</f>
        <v>0</v>
      </c>
      <c r="AC194" s="51">
        <f>((LEN($C194)-LEN(SUBSTITUTE($C194,Table46[[#Headers],[20_5]],"")))/4)*$D194</f>
        <v>0</v>
      </c>
      <c r="AD194" s="51">
        <f>((LEN($C194)-LEN(SUBSTITUTE($C194,Table46[[#Headers],[22_0]],"")))/4)*$D194</f>
        <v>0</v>
      </c>
      <c r="AE194" s="51">
        <f>((LEN($C194)-LEN(SUBSTITUTE($C194,Table46[[#Headers],[22_5]],"")))/4)*$D194</f>
        <v>0</v>
      </c>
      <c r="AF194" s="51">
        <f>((LEN($C194)-LEN(SUBSTITUTE($C194,Table46[[#Headers],[22_6]],"")))/4)*$D194</f>
        <v>0</v>
      </c>
      <c r="AG194" s="51">
        <f t="shared" si="47"/>
        <v>5.7316454924552875E-4</v>
      </c>
      <c r="AH194" s="51">
        <f t="shared" si="48"/>
        <v>0</v>
      </c>
      <c r="AI194" s="51">
        <f>Table46[[#This Row],[Column29]]/$D$213*0.5</f>
        <v>9.7470198223828745E-3</v>
      </c>
      <c r="AJ194" s="51">
        <f>Table46[[#This Row],[Column29]]/$D$213*1.5</f>
        <v>2.9241059467148625E-2</v>
      </c>
    </row>
    <row r="195" spans="3:36">
      <c r="C195" s="50" t="s">
        <v>515</v>
      </c>
      <c r="D195" s="51">
        <v>2.1255902416042705E-4</v>
      </c>
      <c r="E195" s="51">
        <f>((LEN($C195)-LEN(SUBSTITUTE($C195,Table46[[#Headers],[12_0]],"")))/4)*$D195</f>
        <v>0</v>
      </c>
      <c r="F195" s="51">
        <f>((LEN($C195)-LEN(SUBSTITUTE($C195,Table46[[#Headers],[13_0]],"")))/4)*$D195</f>
        <v>0</v>
      </c>
      <c r="G195" s="51">
        <f>((LEN($C195)-LEN(SUBSTITUTE($C195,Table46[[#Headers],[14_0]],"")))/4)*$D195</f>
        <v>0</v>
      </c>
      <c r="H195" s="51">
        <f>((LEN($C195)-LEN(SUBSTITUTE($C195,Table46[[#Headers],[14_1]],"")))/4)*$D195</f>
        <v>0</v>
      </c>
      <c r="I195" s="51">
        <f>((LEN($C195)-LEN(SUBSTITUTE($C195,Table46[[#Headers],[15_0]],"")))/4)*$D195</f>
        <v>0</v>
      </c>
      <c r="J195" s="51">
        <f>((LEN($C195)-LEN(SUBSTITUTE($C195,Table46[[#Headers],[15_1]],"")))/4)*$D195</f>
        <v>0</v>
      </c>
      <c r="K195" s="51">
        <f>((LEN($C195)-LEN(SUBSTITUTE($C195,Table46[[#Headers],[16_0]],"")))/4)*$D195</f>
        <v>0</v>
      </c>
      <c r="L195" s="51">
        <f>((LEN($C195)-LEN(SUBSTITUTE($C195,Table46[[#Headers],[16_1]],"")))/4)*$D195</f>
        <v>2.1255902416042705E-4</v>
      </c>
      <c r="M195" s="51">
        <f>((LEN($C195)-LEN(SUBSTITUTE($C195,Table46[[#Headers],[16_2]],"")))/4)*$D195</f>
        <v>0</v>
      </c>
      <c r="N195" s="51">
        <f>((LEN($C195)-LEN(SUBSTITUTE($C195,Table46[[#Headers],[16_3]],"")))/4)*$D195</f>
        <v>0</v>
      </c>
      <c r="O195" s="51">
        <f>((LEN($C195)-LEN(SUBSTITUTE($C195,Table46[[#Headers],[17_0]],"")))/4)*$D195</f>
        <v>0</v>
      </c>
      <c r="P195" s="51">
        <f>((LEN($C195)-LEN(SUBSTITUTE($C195,Table46[[#Headers],[17_1]],"")))/4)*$D195</f>
        <v>0</v>
      </c>
      <c r="Q195" s="51">
        <f>((LEN($C195)-LEN(SUBSTITUTE($C195,Table46[[#Headers],[18_0]],"")))/4)*$D195</f>
        <v>0</v>
      </c>
      <c r="R195" s="51">
        <f>((LEN($C195)-LEN(SUBSTITUTE($C195,Table46[[#Headers],[18_1]],"")))/4)*$D195</f>
        <v>2.1255902416042705E-4</v>
      </c>
      <c r="S195" s="51">
        <f>((LEN($C195)-LEN(SUBSTITUTE($C195,Table46[[#Headers],[18_2]],"")))/4)*$D195</f>
        <v>0</v>
      </c>
      <c r="T195" s="51">
        <f>((LEN($C195)-LEN(SUBSTITUTE($C195,Table46[[#Headers],[18_3]],"")))/4)*$D195</f>
        <v>0</v>
      </c>
      <c r="U195" s="51">
        <f>((LEN($C195)-LEN(SUBSTITUTE($C195,Table46[[#Headers],[18_4]],"")))/4)*$D195</f>
        <v>0</v>
      </c>
      <c r="V195" s="51">
        <f>((LEN($C195)-LEN(SUBSTITUTE($C195,Table46[[#Headers],[18_5]],"")))/4)*$D195</f>
        <v>0</v>
      </c>
      <c r="W195" s="51">
        <f>((LEN($C195)-LEN(SUBSTITUTE($C195,Table46[[#Headers],[19_1]],"")))/4)*$D195</f>
        <v>0</v>
      </c>
      <c r="X195" s="51">
        <f>((LEN($C195)-LEN(SUBSTITUTE($C195,Table46[[#Headers],[20_0]],"")))/4)*$D195</f>
        <v>0</v>
      </c>
      <c r="Y195" s="51">
        <f>((LEN($C195)-LEN(SUBSTITUTE($C195,Table46[[#Headers],[20_1]],"")))/4)*$D195</f>
        <v>0</v>
      </c>
      <c r="Z195" s="51">
        <f>((LEN($C195)-LEN(SUBSTITUTE($C195,Table46[[#Headers],[20_2]],"")))/4)*$D195</f>
        <v>0</v>
      </c>
      <c r="AA195" s="51">
        <f>((LEN($C195)-LEN(SUBSTITUTE($C195,Table46[[#Headers],[20_3]],"")))/4)*$D195</f>
        <v>0</v>
      </c>
      <c r="AB195" s="51">
        <f>((LEN($C195)-LEN(SUBSTITUTE($C195,Table46[[#Headers],[20_4]],"")))/4)*$D195</f>
        <v>0</v>
      </c>
      <c r="AC195" s="51">
        <f>((LEN($C195)-LEN(SUBSTITUTE($C195,Table46[[#Headers],[20_5]],"")))/4)*$D195</f>
        <v>0</v>
      </c>
      <c r="AD195" s="51">
        <f>((LEN($C195)-LEN(SUBSTITUTE($C195,Table46[[#Headers],[22_0]],"")))/4)*$D195</f>
        <v>0</v>
      </c>
      <c r="AE195" s="51">
        <f>((LEN($C195)-LEN(SUBSTITUTE($C195,Table46[[#Headers],[22_5]],"")))/4)*$D195</f>
        <v>0</v>
      </c>
      <c r="AF195" s="51">
        <f>((LEN($C195)-LEN(SUBSTITUTE($C195,Table46[[#Headers],[22_6]],"")))/4)*$D195</f>
        <v>0</v>
      </c>
      <c r="AG195" s="51">
        <f t="shared" si="47"/>
        <v>2.1255902416042705E-4</v>
      </c>
      <c r="AH195" s="51">
        <f t="shared" si="48"/>
        <v>0</v>
      </c>
      <c r="AI195" s="51">
        <f>Table46[[#This Row],[Column29]]/$D$213*0.5</f>
        <v>3.6146984747141616E-3</v>
      </c>
      <c r="AJ195" s="51">
        <f>Table46[[#This Row],[Column29]]/$D$213*1.5</f>
        <v>1.0844095424142485E-2</v>
      </c>
    </row>
    <row r="196" spans="3:36">
      <c r="C196" s="50" t="s">
        <v>516</v>
      </c>
      <c r="D196" s="44">
        <v>2.516045699731847E-4</v>
      </c>
      <c r="E196" s="51">
        <f>((LEN($C196)-LEN(SUBSTITUTE($C196,Table46[[#Headers],[12_0]],"")))/4)*$D196</f>
        <v>0</v>
      </c>
      <c r="F196" s="51">
        <f>((LEN($C196)-LEN(SUBSTITUTE($C196,Table46[[#Headers],[13_0]],"")))/4)*$D196</f>
        <v>0</v>
      </c>
      <c r="G196" s="51">
        <f>((LEN($C196)-LEN(SUBSTITUTE($C196,Table46[[#Headers],[14_0]],"")))/4)*$D196</f>
        <v>0</v>
      </c>
      <c r="H196" s="51">
        <f>((LEN($C196)-LEN(SUBSTITUTE($C196,Table46[[#Headers],[14_1]],"")))/4)*$D196</f>
        <v>0</v>
      </c>
      <c r="I196" s="51">
        <f>((LEN($C196)-LEN(SUBSTITUTE($C196,Table46[[#Headers],[15_0]],"")))/4)*$D196</f>
        <v>0</v>
      </c>
      <c r="J196" s="51">
        <f>((LEN($C196)-LEN(SUBSTITUTE($C196,Table46[[#Headers],[15_1]],"")))/4)*$D196</f>
        <v>0</v>
      </c>
      <c r="K196" s="51">
        <f>((LEN($C196)-LEN(SUBSTITUTE($C196,Table46[[#Headers],[16_0]],"")))/4)*$D196</f>
        <v>0</v>
      </c>
      <c r="L196" s="51">
        <f>((LEN($C196)-LEN(SUBSTITUTE($C196,Table46[[#Headers],[16_1]],"")))/4)*$D196</f>
        <v>2.516045699731847E-4</v>
      </c>
      <c r="M196" s="51">
        <f>((LEN($C196)-LEN(SUBSTITUTE($C196,Table46[[#Headers],[16_2]],"")))/4)*$D196</f>
        <v>0</v>
      </c>
      <c r="N196" s="51">
        <f>((LEN($C196)-LEN(SUBSTITUTE($C196,Table46[[#Headers],[16_3]],"")))/4)*$D196</f>
        <v>0</v>
      </c>
      <c r="O196" s="51">
        <f>((LEN($C196)-LEN(SUBSTITUTE($C196,Table46[[#Headers],[17_0]],"")))/4)*$D196</f>
        <v>0</v>
      </c>
      <c r="P196" s="51">
        <f>((LEN($C196)-LEN(SUBSTITUTE($C196,Table46[[#Headers],[17_1]],"")))/4)*$D196</f>
        <v>0</v>
      </c>
      <c r="Q196" s="51">
        <f>((LEN($C196)-LEN(SUBSTITUTE($C196,Table46[[#Headers],[18_0]],"")))/4)*$D196</f>
        <v>0</v>
      </c>
      <c r="R196" s="51">
        <f>((LEN($C196)-LEN(SUBSTITUTE($C196,Table46[[#Headers],[18_1]],"")))/4)*$D196</f>
        <v>0</v>
      </c>
      <c r="S196" s="51">
        <f>((LEN($C196)-LEN(SUBSTITUTE($C196,Table46[[#Headers],[18_2]],"")))/4)*$D196</f>
        <v>2.516045699731847E-4</v>
      </c>
      <c r="T196" s="51">
        <f>((LEN($C196)-LEN(SUBSTITUTE($C196,Table46[[#Headers],[18_3]],"")))/4)*$D196</f>
        <v>0</v>
      </c>
      <c r="U196" s="51">
        <f>((LEN($C196)-LEN(SUBSTITUTE($C196,Table46[[#Headers],[18_4]],"")))/4)*$D196</f>
        <v>0</v>
      </c>
      <c r="V196" s="51">
        <f>((LEN($C196)-LEN(SUBSTITUTE($C196,Table46[[#Headers],[18_5]],"")))/4)*$D196</f>
        <v>0</v>
      </c>
      <c r="W196" s="51">
        <f>((LEN($C196)-LEN(SUBSTITUTE($C196,Table46[[#Headers],[19_1]],"")))/4)*$D196</f>
        <v>0</v>
      </c>
      <c r="X196" s="51">
        <f>((LEN($C196)-LEN(SUBSTITUTE($C196,Table46[[#Headers],[20_0]],"")))/4)*$D196</f>
        <v>0</v>
      </c>
      <c r="Y196" s="51">
        <f>((LEN($C196)-LEN(SUBSTITUTE($C196,Table46[[#Headers],[20_1]],"")))/4)*$D196</f>
        <v>0</v>
      </c>
      <c r="Z196" s="51">
        <f>((LEN($C196)-LEN(SUBSTITUTE($C196,Table46[[#Headers],[20_2]],"")))/4)*$D196</f>
        <v>0</v>
      </c>
      <c r="AA196" s="51">
        <f>((LEN($C196)-LEN(SUBSTITUTE($C196,Table46[[#Headers],[20_3]],"")))/4)*$D196</f>
        <v>0</v>
      </c>
      <c r="AB196" s="51">
        <f>((LEN($C196)-LEN(SUBSTITUTE($C196,Table46[[#Headers],[20_4]],"")))/4)*$D196</f>
        <v>0</v>
      </c>
      <c r="AC196" s="51">
        <f>((LEN($C196)-LEN(SUBSTITUTE($C196,Table46[[#Headers],[20_5]],"")))/4)*$D196</f>
        <v>0</v>
      </c>
      <c r="AD196" s="51">
        <f>((LEN($C196)-LEN(SUBSTITUTE($C196,Table46[[#Headers],[22_0]],"")))/4)*$D196</f>
        <v>0</v>
      </c>
      <c r="AE196" s="51">
        <f>((LEN($C196)-LEN(SUBSTITUTE($C196,Table46[[#Headers],[22_5]],"")))/4)*$D196</f>
        <v>0</v>
      </c>
      <c r="AF196" s="51">
        <f>((LEN($C196)-LEN(SUBSTITUTE($C196,Table46[[#Headers],[22_6]],"")))/4)*$D196</f>
        <v>0</v>
      </c>
      <c r="AG196" s="51">
        <f t="shared" si="47"/>
        <v>2.516045699731847E-4</v>
      </c>
      <c r="AH196" s="51">
        <f t="shared" si="48"/>
        <v>0</v>
      </c>
      <c r="AI196" s="51">
        <f>Table46[[#This Row],[Column29]]/$D$213*0.5</f>
        <v>4.2786922780882041E-3</v>
      </c>
      <c r="AJ196" s="51">
        <f>Table46[[#This Row],[Column29]]/$D$213*1.5</f>
        <v>1.2836076834264612E-2</v>
      </c>
    </row>
    <row r="197" spans="3:36">
      <c r="C197" s="50" t="s">
        <v>517</v>
      </c>
      <c r="D197" s="51">
        <v>4.5634302626355828E-4</v>
      </c>
      <c r="E197" s="51">
        <f>((LEN($C197)-LEN(SUBSTITUTE($C197,Table46[[#Headers],[12_0]],"")))/4)*$D197</f>
        <v>0</v>
      </c>
      <c r="F197" s="51">
        <f>((LEN($C197)-LEN(SUBSTITUTE($C197,Table46[[#Headers],[13_0]],"")))/4)*$D197</f>
        <v>0</v>
      </c>
      <c r="G197" s="51">
        <f>((LEN($C197)-LEN(SUBSTITUTE($C197,Table46[[#Headers],[14_0]],"")))/4)*$D197</f>
        <v>0</v>
      </c>
      <c r="H197" s="51">
        <f>((LEN($C197)-LEN(SUBSTITUTE($C197,Table46[[#Headers],[14_1]],"")))/4)*$D197</f>
        <v>0</v>
      </c>
      <c r="I197" s="51">
        <f>((LEN($C197)-LEN(SUBSTITUTE($C197,Table46[[#Headers],[15_0]],"")))/4)*$D197</f>
        <v>0</v>
      </c>
      <c r="J197" s="51">
        <f>((LEN($C197)-LEN(SUBSTITUTE($C197,Table46[[#Headers],[15_1]],"")))/4)*$D197</f>
        <v>0</v>
      </c>
      <c r="K197" s="51">
        <f>((LEN($C197)-LEN(SUBSTITUTE($C197,Table46[[#Headers],[16_0]],"")))/4)*$D197</f>
        <v>0</v>
      </c>
      <c r="L197" s="51">
        <f>((LEN($C197)-LEN(SUBSTITUTE($C197,Table46[[#Headers],[16_1]],"")))/4)*$D197</f>
        <v>4.5634302626355828E-4</v>
      </c>
      <c r="M197" s="51">
        <f>((LEN($C197)-LEN(SUBSTITUTE($C197,Table46[[#Headers],[16_2]],"")))/4)*$D197</f>
        <v>0</v>
      </c>
      <c r="N197" s="51">
        <f>((LEN($C197)-LEN(SUBSTITUTE($C197,Table46[[#Headers],[16_3]],"")))/4)*$D197</f>
        <v>0</v>
      </c>
      <c r="O197" s="51">
        <f>((LEN($C197)-LEN(SUBSTITUTE($C197,Table46[[#Headers],[17_0]],"")))/4)*$D197</f>
        <v>0</v>
      </c>
      <c r="P197" s="51">
        <f>((LEN($C197)-LEN(SUBSTITUTE($C197,Table46[[#Headers],[17_1]],"")))/4)*$D197</f>
        <v>0</v>
      </c>
      <c r="Q197" s="51">
        <f>((LEN($C197)-LEN(SUBSTITUTE($C197,Table46[[#Headers],[18_0]],"")))/4)*$D197</f>
        <v>0</v>
      </c>
      <c r="R197" s="51">
        <f>((LEN($C197)-LEN(SUBSTITUTE($C197,Table46[[#Headers],[18_1]],"")))/4)*$D197</f>
        <v>0</v>
      </c>
      <c r="S197" s="51">
        <f>((LEN($C197)-LEN(SUBSTITUTE($C197,Table46[[#Headers],[18_2]],"")))/4)*$D197</f>
        <v>0</v>
      </c>
      <c r="T197" s="51">
        <f>((LEN($C197)-LEN(SUBSTITUTE($C197,Table46[[#Headers],[18_3]],"")))/4)*$D197</f>
        <v>4.5634302626355828E-4</v>
      </c>
      <c r="U197" s="51">
        <f>((LEN($C197)-LEN(SUBSTITUTE($C197,Table46[[#Headers],[18_4]],"")))/4)*$D197</f>
        <v>0</v>
      </c>
      <c r="V197" s="51">
        <f>((LEN($C197)-LEN(SUBSTITUTE($C197,Table46[[#Headers],[18_5]],"")))/4)*$D197</f>
        <v>0</v>
      </c>
      <c r="W197" s="51">
        <f>((LEN($C197)-LEN(SUBSTITUTE($C197,Table46[[#Headers],[19_1]],"")))/4)*$D197</f>
        <v>0</v>
      </c>
      <c r="X197" s="51">
        <f>((LEN($C197)-LEN(SUBSTITUTE($C197,Table46[[#Headers],[20_0]],"")))/4)*$D197</f>
        <v>0</v>
      </c>
      <c r="Y197" s="51">
        <f>((LEN($C197)-LEN(SUBSTITUTE($C197,Table46[[#Headers],[20_1]],"")))/4)*$D197</f>
        <v>0</v>
      </c>
      <c r="Z197" s="51">
        <f>((LEN($C197)-LEN(SUBSTITUTE($C197,Table46[[#Headers],[20_2]],"")))/4)*$D197</f>
        <v>0</v>
      </c>
      <c r="AA197" s="51">
        <f>((LEN($C197)-LEN(SUBSTITUTE($C197,Table46[[#Headers],[20_3]],"")))/4)*$D197</f>
        <v>0</v>
      </c>
      <c r="AB197" s="51">
        <f>((LEN($C197)-LEN(SUBSTITUTE($C197,Table46[[#Headers],[20_4]],"")))/4)*$D197</f>
        <v>0</v>
      </c>
      <c r="AC197" s="51">
        <f>((LEN($C197)-LEN(SUBSTITUTE($C197,Table46[[#Headers],[20_5]],"")))/4)*$D197</f>
        <v>0</v>
      </c>
      <c r="AD197" s="51">
        <f>((LEN($C197)-LEN(SUBSTITUTE($C197,Table46[[#Headers],[22_0]],"")))/4)*$D197</f>
        <v>0</v>
      </c>
      <c r="AE197" s="51">
        <f>((LEN($C197)-LEN(SUBSTITUTE($C197,Table46[[#Headers],[22_5]],"")))/4)*$D197</f>
        <v>0</v>
      </c>
      <c r="AF197" s="51">
        <f>((LEN($C197)-LEN(SUBSTITUTE($C197,Table46[[#Headers],[22_6]],"")))/4)*$D197</f>
        <v>0</v>
      </c>
      <c r="AG197" s="51">
        <f t="shared" si="47"/>
        <v>4.5634302626355828E-4</v>
      </c>
      <c r="AH197" s="51">
        <f t="shared" si="48"/>
        <v>0</v>
      </c>
      <c r="AI197" s="51">
        <f>Table46[[#This Row],[Column29]]/$D$213*0.5</f>
        <v>7.7603971296760898E-3</v>
      </c>
      <c r="AJ197" s="51">
        <f>Table46[[#This Row],[Column29]]/$D$213*1.5</f>
        <v>2.3281191389028268E-2</v>
      </c>
    </row>
    <row r="198" spans="3:36">
      <c r="C198" s="50" t="s">
        <v>518</v>
      </c>
      <c r="D198" s="51">
        <v>7.5891019785148683E-4</v>
      </c>
      <c r="E198" s="51">
        <f>((LEN($C198)-LEN(SUBSTITUTE($C198,Table46[[#Headers],[12_0]],"")))/4)*$D198</f>
        <v>0</v>
      </c>
      <c r="F198" s="51">
        <f>((LEN($C198)-LEN(SUBSTITUTE($C198,Table46[[#Headers],[13_0]],"")))/4)*$D198</f>
        <v>0</v>
      </c>
      <c r="G198" s="51">
        <f>((LEN($C198)-LEN(SUBSTITUTE($C198,Table46[[#Headers],[14_0]],"")))/4)*$D198</f>
        <v>0</v>
      </c>
      <c r="H198" s="51">
        <f>((LEN($C198)-LEN(SUBSTITUTE($C198,Table46[[#Headers],[14_1]],"")))/4)*$D198</f>
        <v>0</v>
      </c>
      <c r="I198" s="51">
        <f>((LEN($C198)-LEN(SUBSTITUTE($C198,Table46[[#Headers],[15_0]],"")))/4)*$D198</f>
        <v>0</v>
      </c>
      <c r="J198" s="51">
        <f>((LEN($C198)-LEN(SUBSTITUTE($C198,Table46[[#Headers],[15_1]],"")))/4)*$D198</f>
        <v>0</v>
      </c>
      <c r="K198" s="51">
        <f>((LEN($C198)-LEN(SUBSTITUTE($C198,Table46[[#Headers],[16_0]],"")))/4)*$D198</f>
        <v>0</v>
      </c>
      <c r="L198" s="51">
        <f>((LEN($C198)-LEN(SUBSTITUTE($C198,Table46[[#Headers],[16_1]],"")))/4)*$D198</f>
        <v>7.5891019785148683E-4</v>
      </c>
      <c r="M198" s="51">
        <f>((LEN($C198)-LEN(SUBSTITUTE($C198,Table46[[#Headers],[16_2]],"")))/4)*$D198</f>
        <v>0</v>
      </c>
      <c r="N198" s="51">
        <f>((LEN($C198)-LEN(SUBSTITUTE($C198,Table46[[#Headers],[16_3]],"")))/4)*$D198</f>
        <v>0</v>
      </c>
      <c r="O198" s="51">
        <f>((LEN($C198)-LEN(SUBSTITUTE($C198,Table46[[#Headers],[17_0]],"")))/4)*$D198</f>
        <v>0</v>
      </c>
      <c r="P198" s="51">
        <f>((LEN($C198)-LEN(SUBSTITUTE($C198,Table46[[#Headers],[17_1]],"")))/4)*$D198</f>
        <v>0</v>
      </c>
      <c r="Q198" s="51">
        <f>((LEN($C198)-LEN(SUBSTITUTE($C198,Table46[[#Headers],[18_0]],"")))/4)*$D198</f>
        <v>0</v>
      </c>
      <c r="R198" s="51">
        <f>((LEN($C198)-LEN(SUBSTITUTE($C198,Table46[[#Headers],[18_1]],"")))/4)*$D198</f>
        <v>0</v>
      </c>
      <c r="S198" s="51">
        <f>((LEN($C198)-LEN(SUBSTITUTE($C198,Table46[[#Headers],[18_2]],"")))/4)*$D198</f>
        <v>0</v>
      </c>
      <c r="T198" s="51">
        <f>((LEN($C198)-LEN(SUBSTITUTE($C198,Table46[[#Headers],[18_3]],"")))/4)*$D198</f>
        <v>0</v>
      </c>
      <c r="U198" s="51">
        <f>((LEN($C198)-LEN(SUBSTITUTE($C198,Table46[[#Headers],[18_4]],"")))/4)*$D198</f>
        <v>7.5891019785148683E-4</v>
      </c>
      <c r="V198" s="51">
        <f>((LEN($C198)-LEN(SUBSTITUTE($C198,Table46[[#Headers],[18_5]],"")))/4)*$D198</f>
        <v>0</v>
      </c>
      <c r="W198" s="51">
        <f>((LEN($C198)-LEN(SUBSTITUTE($C198,Table46[[#Headers],[19_1]],"")))/4)*$D198</f>
        <v>0</v>
      </c>
      <c r="X198" s="51">
        <f>((LEN($C198)-LEN(SUBSTITUTE($C198,Table46[[#Headers],[20_0]],"")))/4)*$D198</f>
        <v>0</v>
      </c>
      <c r="Y198" s="51">
        <f>((LEN($C198)-LEN(SUBSTITUTE($C198,Table46[[#Headers],[20_1]],"")))/4)*$D198</f>
        <v>0</v>
      </c>
      <c r="Z198" s="51">
        <f>((LEN($C198)-LEN(SUBSTITUTE($C198,Table46[[#Headers],[20_2]],"")))/4)*$D198</f>
        <v>0</v>
      </c>
      <c r="AA198" s="51">
        <f>((LEN($C198)-LEN(SUBSTITUTE($C198,Table46[[#Headers],[20_3]],"")))/4)*$D198</f>
        <v>0</v>
      </c>
      <c r="AB198" s="51">
        <f>((LEN($C198)-LEN(SUBSTITUTE($C198,Table46[[#Headers],[20_4]],"")))/4)*$D198</f>
        <v>0</v>
      </c>
      <c r="AC198" s="51">
        <f>((LEN($C198)-LEN(SUBSTITUTE($C198,Table46[[#Headers],[20_5]],"")))/4)*$D198</f>
        <v>0</v>
      </c>
      <c r="AD198" s="51">
        <f>((LEN($C198)-LEN(SUBSTITUTE($C198,Table46[[#Headers],[22_0]],"")))/4)*$D198</f>
        <v>0</v>
      </c>
      <c r="AE198" s="51">
        <f>((LEN($C198)-LEN(SUBSTITUTE($C198,Table46[[#Headers],[22_5]],"")))/4)*$D198</f>
        <v>0</v>
      </c>
      <c r="AF198" s="51">
        <f>((LEN($C198)-LEN(SUBSTITUTE($C198,Table46[[#Headers],[22_6]],"")))/4)*$D198</f>
        <v>0</v>
      </c>
      <c r="AG198" s="51">
        <f t="shared" si="47"/>
        <v>7.5891019785148683E-4</v>
      </c>
      <c r="AH198" s="51">
        <f t="shared" si="48"/>
        <v>0</v>
      </c>
      <c r="AI198" s="51">
        <f>Table46[[#This Row],[Column29]]/$D$213*0.5</f>
        <v>1.290574016066409E-2</v>
      </c>
      <c r="AJ198" s="51">
        <f>Table46[[#This Row],[Column29]]/$D$213*1.5</f>
        <v>3.8717220481992269E-2</v>
      </c>
    </row>
    <row r="199" spans="3:36">
      <c r="C199" s="50" t="s">
        <v>519</v>
      </c>
      <c r="D199" s="51">
        <v>8.2072992482429028E-5</v>
      </c>
      <c r="E199" s="51">
        <f>((LEN($C199)-LEN(SUBSTITUTE($C199,Table46[[#Headers],[12_0]],"")))/4)*$D199</f>
        <v>0</v>
      </c>
      <c r="F199" s="51">
        <f>((LEN($C199)-LEN(SUBSTITUTE($C199,Table46[[#Headers],[13_0]],"")))/4)*$D199</f>
        <v>0</v>
      </c>
      <c r="G199" s="51">
        <f>((LEN($C199)-LEN(SUBSTITUTE($C199,Table46[[#Headers],[14_0]],"")))/4)*$D199</f>
        <v>0</v>
      </c>
      <c r="H199" s="51">
        <f>((LEN($C199)-LEN(SUBSTITUTE($C199,Table46[[#Headers],[14_1]],"")))/4)*$D199</f>
        <v>0</v>
      </c>
      <c r="I199" s="51">
        <f>((LEN($C199)-LEN(SUBSTITUTE($C199,Table46[[#Headers],[15_0]],"")))/4)*$D199</f>
        <v>0</v>
      </c>
      <c r="J199" s="51">
        <f>((LEN($C199)-LEN(SUBSTITUTE($C199,Table46[[#Headers],[15_1]],"")))/4)*$D199</f>
        <v>0</v>
      </c>
      <c r="K199" s="51">
        <f>((LEN($C199)-LEN(SUBSTITUTE($C199,Table46[[#Headers],[16_0]],"")))/4)*$D199</f>
        <v>0</v>
      </c>
      <c r="L199" s="51">
        <f>((LEN($C199)-LEN(SUBSTITUTE($C199,Table46[[#Headers],[16_1]],"")))/4)*$D199</f>
        <v>8.2072992482429028E-5</v>
      </c>
      <c r="M199" s="51">
        <f>((LEN($C199)-LEN(SUBSTITUTE($C199,Table46[[#Headers],[16_2]],"")))/4)*$D199</f>
        <v>0</v>
      </c>
      <c r="N199" s="51">
        <f>((LEN($C199)-LEN(SUBSTITUTE($C199,Table46[[#Headers],[16_3]],"")))/4)*$D199</f>
        <v>0</v>
      </c>
      <c r="O199" s="51">
        <f>((LEN($C199)-LEN(SUBSTITUTE($C199,Table46[[#Headers],[17_0]],"")))/4)*$D199</f>
        <v>0</v>
      </c>
      <c r="P199" s="51">
        <f>((LEN($C199)-LEN(SUBSTITUTE($C199,Table46[[#Headers],[17_1]],"")))/4)*$D199</f>
        <v>0</v>
      </c>
      <c r="Q199" s="51">
        <f>((LEN($C199)-LEN(SUBSTITUTE($C199,Table46[[#Headers],[18_0]],"")))/4)*$D199</f>
        <v>0</v>
      </c>
      <c r="R199" s="51">
        <f>((LEN($C199)-LEN(SUBSTITUTE($C199,Table46[[#Headers],[18_1]],"")))/4)*$D199</f>
        <v>0</v>
      </c>
      <c r="S199" s="51">
        <f>((LEN($C199)-LEN(SUBSTITUTE($C199,Table46[[#Headers],[18_2]],"")))/4)*$D199</f>
        <v>0</v>
      </c>
      <c r="T199" s="51">
        <f>((LEN($C199)-LEN(SUBSTITUTE($C199,Table46[[#Headers],[18_3]],"")))/4)*$D199</f>
        <v>0</v>
      </c>
      <c r="U199" s="51">
        <f>((LEN($C199)-LEN(SUBSTITUTE($C199,Table46[[#Headers],[18_4]],"")))/4)*$D199</f>
        <v>0</v>
      </c>
      <c r="V199" s="51">
        <f>((LEN($C199)-LEN(SUBSTITUTE($C199,Table46[[#Headers],[18_5]],"")))/4)*$D199</f>
        <v>0</v>
      </c>
      <c r="W199" s="51">
        <f>((LEN($C199)-LEN(SUBSTITUTE($C199,Table46[[#Headers],[19_1]],"")))/4)*$D199</f>
        <v>0</v>
      </c>
      <c r="X199" s="51">
        <f>((LEN($C199)-LEN(SUBSTITUTE($C199,Table46[[#Headers],[20_0]],"")))/4)*$D199</f>
        <v>0</v>
      </c>
      <c r="Y199" s="51">
        <f>((LEN($C199)-LEN(SUBSTITUTE($C199,Table46[[#Headers],[20_1]],"")))/4)*$D199</f>
        <v>0</v>
      </c>
      <c r="Z199" s="51">
        <f>((LEN($C199)-LEN(SUBSTITUTE($C199,Table46[[#Headers],[20_2]],"")))/4)*$D199</f>
        <v>0</v>
      </c>
      <c r="AA199" s="51">
        <f>((LEN($C199)-LEN(SUBSTITUTE($C199,Table46[[#Headers],[20_3]],"")))/4)*$D199</f>
        <v>0</v>
      </c>
      <c r="AB199" s="51">
        <f>((LEN($C199)-LEN(SUBSTITUTE($C199,Table46[[#Headers],[20_4]],"")))/4)*$D199</f>
        <v>8.2072992482429028E-5</v>
      </c>
      <c r="AC199" s="51">
        <f>((LEN($C199)-LEN(SUBSTITUTE($C199,Table46[[#Headers],[20_5]],"")))/4)*$D199</f>
        <v>0</v>
      </c>
      <c r="AD199" s="51">
        <f>((LEN($C199)-LEN(SUBSTITUTE($C199,Table46[[#Headers],[22_0]],"")))/4)*$D199</f>
        <v>0</v>
      </c>
      <c r="AE199" s="51">
        <f>((LEN($C199)-LEN(SUBSTITUTE($C199,Table46[[#Headers],[22_5]],"")))/4)*$D199</f>
        <v>0</v>
      </c>
      <c r="AF199" s="51">
        <f>((LEN($C199)-LEN(SUBSTITUTE($C199,Table46[[#Headers],[22_6]],"")))/4)*$D199</f>
        <v>0</v>
      </c>
      <c r="AG199" s="51">
        <f t="shared" si="47"/>
        <v>8.2072992482429028E-5</v>
      </c>
      <c r="AH199" s="51">
        <f t="shared" si="48"/>
        <v>0</v>
      </c>
      <c r="AI199" s="51">
        <f>Table46[[#This Row],[Column29]]/$D$213*0.5</f>
        <v>1.3957023086328937E-3</v>
      </c>
      <c r="AJ199" s="51">
        <f>Table46[[#This Row],[Column29]]/$D$213*1.5</f>
        <v>4.187106925898681E-3</v>
      </c>
    </row>
    <row r="200" spans="3:36">
      <c r="C200" s="50" t="s">
        <v>520</v>
      </c>
      <c r="D200" s="51">
        <v>1.6811069776051886E-3</v>
      </c>
      <c r="E200" s="51">
        <f>((LEN($C200)-LEN(SUBSTITUTE($C200,Table46[[#Headers],[12_0]],"")))/4)*$D200</f>
        <v>0</v>
      </c>
      <c r="F200" s="51">
        <f>((LEN($C200)-LEN(SUBSTITUTE($C200,Table46[[#Headers],[13_0]],"")))/4)*$D200</f>
        <v>0</v>
      </c>
      <c r="G200" s="51">
        <f>((LEN($C200)-LEN(SUBSTITUTE($C200,Table46[[#Headers],[14_0]],"")))/4)*$D200</f>
        <v>0</v>
      </c>
      <c r="H200" s="51">
        <f>((LEN($C200)-LEN(SUBSTITUTE($C200,Table46[[#Headers],[14_1]],"")))/4)*$D200</f>
        <v>0</v>
      </c>
      <c r="I200" s="51">
        <f>((LEN($C200)-LEN(SUBSTITUTE($C200,Table46[[#Headers],[15_0]],"")))/4)*$D200</f>
        <v>0</v>
      </c>
      <c r="J200" s="51">
        <f>((LEN($C200)-LEN(SUBSTITUTE($C200,Table46[[#Headers],[15_1]],"")))/4)*$D200</f>
        <v>0</v>
      </c>
      <c r="K200" s="51">
        <f>((LEN($C200)-LEN(SUBSTITUTE($C200,Table46[[#Headers],[16_0]],"")))/4)*$D200</f>
        <v>0</v>
      </c>
      <c r="L200" s="51">
        <f>((LEN($C200)-LEN(SUBSTITUTE($C200,Table46[[#Headers],[16_1]],"")))/4)*$D200</f>
        <v>1.6811069776051886E-3</v>
      </c>
      <c r="M200" s="51">
        <f>((LEN($C200)-LEN(SUBSTITUTE($C200,Table46[[#Headers],[16_2]],"")))/4)*$D200</f>
        <v>0</v>
      </c>
      <c r="N200" s="51">
        <f>((LEN($C200)-LEN(SUBSTITUTE($C200,Table46[[#Headers],[16_3]],"")))/4)*$D200</f>
        <v>0</v>
      </c>
      <c r="O200" s="51">
        <f>((LEN($C200)-LEN(SUBSTITUTE($C200,Table46[[#Headers],[17_0]],"")))/4)*$D200</f>
        <v>0</v>
      </c>
      <c r="P200" s="51">
        <f>((LEN($C200)-LEN(SUBSTITUTE($C200,Table46[[#Headers],[17_1]],"")))/4)*$D200</f>
        <v>0</v>
      </c>
      <c r="Q200" s="51">
        <f>((LEN($C200)-LEN(SUBSTITUTE($C200,Table46[[#Headers],[18_0]],"")))/4)*$D200</f>
        <v>0</v>
      </c>
      <c r="R200" s="51">
        <f>((LEN($C200)-LEN(SUBSTITUTE($C200,Table46[[#Headers],[18_1]],"")))/4)*$D200</f>
        <v>0</v>
      </c>
      <c r="S200" s="51">
        <f>((LEN($C200)-LEN(SUBSTITUTE($C200,Table46[[#Headers],[18_2]],"")))/4)*$D200</f>
        <v>0</v>
      </c>
      <c r="T200" s="51">
        <f>((LEN($C200)-LEN(SUBSTITUTE($C200,Table46[[#Headers],[18_3]],"")))/4)*$D200</f>
        <v>0</v>
      </c>
      <c r="U200" s="51">
        <f>((LEN($C200)-LEN(SUBSTITUTE($C200,Table46[[#Headers],[18_4]],"")))/4)*$D200</f>
        <v>0</v>
      </c>
      <c r="V200" s="51">
        <f>((LEN($C200)-LEN(SUBSTITUTE($C200,Table46[[#Headers],[18_5]],"")))/4)*$D200</f>
        <v>0</v>
      </c>
      <c r="W200" s="51">
        <f>((LEN($C200)-LEN(SUBSTITUTE($C200,Table46[[#Headers],[19_1]],"")))/4)*$D200</f>
        <v>0</v>
      </c>
      <c r="X200" s="51">
        <f>((LEN($C200)-LEN(SUBSTITUTE($C200,Table46[[#Headers],[20_0]],"")))/4)*$D200</f>
        <v>0</v>
      </c>
      <c r="Y200" s="51">
        <f>((LEN($C200)-LEN(SUBSTITUTE($C200,Table46[[#Headers],[20_1]],"")))/4)*$D200</f>
        <v>0</v>
      </c>
      <c r="Z200" s="51">
        <f>((LEN($C200)-LEN(SUBSTITUTE($C200,Table46[[#Headers],[20_2]],"")))/4)*$D200</f>
        <v>0</v>
      </c>
      <c r="AA200" s="51">
        <f>((LEN($C200)-LEN(SUBSTITUTE($C200,Table46[[#Headers],[20_3]],"")))/4)*$D200</f>
        <v>0</v>
      </c>
      <c r="AB200" s="51">
        <f>((LEN($C200)-LEN(SUBSTITUTE($C200,Table46[[#Headers],[20_4]],"")))/4)*$D200</f>
        <v>0</v>
      </c>
      <c r="AC200" s="51">
        <f>((LEN($C200)-LEN(SUBSTITUTE($C200,Table46[[#Headers],[20_5]],"")))/4)*$D200</f>
        <v>1.6811069776051886E-3</v>
      </c>
      <c r="AD200" s="51">
        <f>((LEN($C200)-LEN(SUBSTITUTE($C200,Table46[[#Headers],[22_0]],"")))/4)*$D200</f>
        <v>0</v>
      </c>
      <c r="AE200" s="51">
        <f>((LEN($C200)-LEN(SUBSTITUTE($C200,Table46[[#Headers],[22_5]],"")))/4)*$D200</f>
        <v>0</v>
      </c>
      <c r="AF200" s="51">
        <f>((LEN($C200)-LEN(SUBSTITUTE($C200,Table46[[#Headers],[22_6]],"")))/4)*$D200</f>
        <v>0</v>
      </c>
      <c r="AG200" s="51">
        <f t="shared" si="47"/>
        <v>1.6811069776051886E-3</v>
      </c>
      <c r="AH200" s="51">
        <f t="shared" si="48"/>
        <v>0</v>
      </c>
      <c r="AI200" s="51">
        <f>Table46[[#This Row],[Column29]]/$D$213*0.5</f>
        <v>2.8588270254733938E-2</v>
      </c>
      <c r="AJ200" s="51">
        <f>Table46[[#This Row],[Column29]]/$D$213*1.5</f>
        <v>8.576481076420181E-2</v>
      </c>
    </row>
    <row r="201" spans="3:36">
      <c r="C201" s="50" t="s">
        <v>521</v>
      </c>
      <c r="D201" s="51">
        <v>1.9066716347802832E-3</v>
      </c>
      <c r="E201" s="51">
        <f>((LEN($C201)-LEN(SUBSTITUTE($C201,Table46[[#Headers],[12_0]],"")))/4)*$D201</f>
        <v>0</v>
      </c>
      <c r="F201" s="51">
        <f>((LEN($C201)-LEN(SUBSTITUTE($C201,Table46[[#Headers],[13_0]],"")))/4)*$D201</f>
        <v>0</v>
      </c>
      <c r="G201" s="51">
        <f>((LEN($C201)-LEN(SUBSTITUTE($C201,Table46[[#Headers],[14_0]],"")))/4)*$D201</f>
        <v>0</v>
      </c>
      <c r="H201" s="51">
        <f>((LEN($C201)-LEN(SUBSTITUTE($C201,Table46[[#Headers],[14_1]],"")))/4)*$D201</f>
        <v>0</v>
      </c>
      <c r="I201" s="51">
        <f>((LEN($C201)-LEN(SUBSTITUTE($C201,Table46[[#Headers],[15_0]],"")))/4)*$D201</f>
        <v>0</v>
      </c>
      <c r="J201" s="51">
        <f>((LEN($C201)-LEN(SUBSTITUTE($C201,Table46[[#Headers],[15_1]],"")))/4)*$D201</f>
        <v>0</v>
      </c>
      <c r="K201" s="51">
        <f>((LEN($C201)-LEN(SUBSTITUTE($C201,Table46[[#Headers],[16_0]],"")))/4)*$D201</f>
        <v>0</v>
      </c>
      <c r="L201" s="51">
        <f>((LEN($C201)-LEN(SUBSTITUTE($C201,Table46[[#Headers],[16_1]],"")))/4)*$D201</f>
        <v>0</v>
      </c>
      <c r="M201" s="51">
        <f>((LEN($C201)-LEN(SUBSTITUTE($C201,Table46[[#Headers],[16_2]],"")))/4)*$D201</f>
        <v>1.9066716347802832E-3</v>
      </c>
      <c r="N201" s="51">
        <f>((LEN($C201)-LEN(SUBSTITUTE($C201,Table46[[#Headers],[16_3]],"")))/4)*$D201</f>
        <v>0</v>
      </c>
      <c r="O201" s="51">
        <f>((LEN($C201)-LEN(SUBSTITUTE($C201,Table46[[#Headers],[17_0]],"")))/4)*$D201</f>
        <v>0</v>
      </c>
      <c r="P201" s="51">
        <f>((LEN($C201)-LEN(SUBSTITUTE($C201,Table46[[#Headers],[17_1]],"")))/4)*$D201</f>
        <v>0</v>
      </c>
      <c r="Q201" s="51">
        <f>((LEN($C201)-LEN(SUBSTITUTE($C201,Table46[[#Headers],[18_0]],"")))/4)*$D201</f>
        <v>0</v>
      </c>
      <c r="R201" s="51">
        <f>((LEN($C201)-LEN(SUBSTITUTE($C201,Table46[[#Headers],[18_1]],"")))/4)*$D201</f>
        <v>0</v>
      </c>
      <c r="S201" s="51">
        <f>((LEN($C201)-LEN(SUBSTITUTE($C201,Table46[[#Headers],[18_2]],"")))/4)*$D201</f>
        <v>0</v>
      </c>
      <c r="T201" s="51">
        <f>((LEN($C201)-LEN(SUBSTITUTE($C201,Table46[[#Headers],[18_3]],"")))/4)*$D201</f>
        <v>0</v>
      </c>
      <c r="U201" s="51">
        <f>((LEN($C201)-LEN(SUBSTITUTE($C201,Table46[[#Headers],[18_4]],"")))/4)*$D201</f>
        <v>0</v>
      </c>
      <c r="V201" s="51">
        <f>((LEN($C201)-LEN(SUBSTITUTE($C201,Table46[[#Headers],[18_5]],"")))/4)*$D201</f>
        <v>0</v>
      </c>
      <c r="W201" s="51">
        <f>((LEN($C201)-LEN(SUBSTITUTE($C201,Table46[[#Headers],[19_1]],"")))/4)*$D201</f>
        <v>0</v>
      </c>
      <c r="X201" s="51">
        <f>((LEN($C201)-LEN(SUBSTITUTE($C201,Table46[[#Headers],[20_0]],"")))/4)*$D201</f>
        <v>0</v>
      </c>
      <c r="Y201" s="51">
        <f>((LEN($C201)-LEN(SUBSTITUTE($C201,Table46[[#Headers],[20_1]],"")))/4)*$D201</f>
        <v>0</v>
      </c>
      <c r="Z201" s="51">
        <f>((LEN($C201)-LEN(SUBSTITUTE($C201,Table46[[#Headers],[20_2]],"")))/4)*$D201</f>
        <v>0</v>
      </c>
      <c r="AA201" s="51">
        <f>((LEN($C201)-LEN(SUBSTITUTE($C201,Table46[[#Headers],[20_3]],"")))/4)*$D201</f>
        <v>0</v>
      </c>
      <c r="AB201" s="51">
        <f>((LEN($C201)-LEN(SUBSTITUTE($C201,Table46[[#Headers],[20_4]],"")))/4)*$D201</f>
        <v>0</v>
      </c>
      <c r="AC201" s="51">
        <f>((LEN($C201)-LEN(SUBSTITUTE($C201,Table46[[#Headers],[20_5]],"")))/4)*$D201</f>
        <v>1.9066716347802832E-3</v>
      </c>
      <c r="AD201" s="51">
        <f>((LEN($C201)-LEN(SUBSTITUTE($C201,Table46[[#Headers],[22_0]],"")))/4)*$D201</f>
        <v>0</v>
      </c>
      <c r="AE201" s="51">
        <f>((LEN($C201)-LEN(SUBSTITUTE($C201,Table46[[#Headers],[22_5]],"")))/4)*$D201</f>
        <v>0</v>
      </c>
      <c r="AF201" s="51">
        <f>((LEN($C201)-LEN(SUBSTITUTE($C201,Table46[[#Headers],[22_6]],"")))/4)*$D201</f>
        <v>0</v>
      </c>
      <c r="AG201" s="51">
        <f t="shared" si="47"/>
        <v>1.9066716347802832E-3</v>
      </c>
      <c r="AH201" s="51">
        <f t="shared" si="48"/>
        <v>0</v>
      </c>
      <c r="AI201" s="51">
        <f>Table46[[#This Row],[Column29]]/$D$213*0.5</f>
        <v>3.2424137611863225E-2</v>
      </c>
      <c r="AJ201" s="51">
        <f>Table46[[#This Row],[Column29]]/$D$213*1.5</f>
        <v>9.7272412835589683E-2</v>
      </c>
    </row>
    <row r="202" spans="3:36">
      <c r="C202" s="50" t="s">
        <v>522</v>
      </c>
      <c r="D202" s="51">
        <v>8.9435212052406098E-5</v>
      </c>
      <c r="E202" s="51">
        <f>((LEN($C202)-LEN(SUBSTITUTE($C202,Table46[[#Headers],[12_0]],"")))/4)*$D202</f>
        <v>0</v>
      </c>
      <c r="F202" s="51">
        <f>((LEN($C202)-LEN(SUBSTITUTE($C202,Table46[[#Headers],[13_0]],"")))/4)*$D202</f>
        <v>0</v>
      </c>
      <c r="G202" s="51">
        <f>((LEN($C202)-LEN(SUBSTITUTE($C202,Table46[[#Headers],[14_0]],"")))/4)*$D202</f>
        <v>0</v>
      </c>
      <c r="H202" s="51">
        <f>((LEN($C202)-LEN(SUBSTITUTE($C202,Table46[[#Headers],[14_1]],"")))/4)*$D202</f>
        <v>0</v>
      </c>
      <c r="I202" s="51">
        <f>((LEN($C202)-LEN(SUBSTITUTE($C202,Table46[[#Headers],[15_0]],"")))/4)*$D202</f>
        <v>0</v>
      </c>
      <c r="J202" s="51">
        <f>((LEN($C202)-LEN(SUBSTITUTE($C202,Table46[[#Headers],[15_1]],"")))/4)*$D202</f>
        <v>0</v>
      </c>
      <c r="K202" s="51">
        <f>((LEN($C202)-LEN(SUBSTITUTE($C202,Table46[[#Headers],[16_0]],"")))/4)*$D202</f>
        <v>0</v>
      </c>
      <c r="L202" s="51">
        <f>((LEN($C202)-LEN(SUBSTITUTE($C202,Table46[[#Headers],[16_1]],"")))/4)*$D202</f>
        <v>0</v>
      </c>
      <c r="M202" s="51">
        <f>((LEN($C202)-LEN(SUBSTITUTE($C202,Table46[[#Headers],[16_2]],"")))/4)*$D202</f>
        <v>0</v>
      </c>
      <c r="N202" s="51">
        <f>((LEN($C202)-LEN(SUBSTITUTE($C202,Table46[[#Headers],[16_3]],"")))/4)*$D202</f>
        <v>8.9435212052406098E-5</v>
      </c>
      <c r="O202" s="51">
        <f>((LEN($C202)-LEN(SUBSTITUTE($C202,Table46[[#Headers],[17_0]],"")))/4)*$D202</f>
        <v>0</v>
      </c>
      <c r="P202" s="51">
        <f>((LEN($C202)-LEN(SUBSTITUTE($C202,Table46[[#Headers],[17_1]],"")))/4)*$D202</f>
        <v>0</v>
      </c>
      <c r="Q202" s="51">
        <f>((LEN($C202)-LEN(SUBSTITUTE($C202,Table46[[#Headers],[18_0]],"")))/4)*$D202</f>
        <v>0</v>
      </c>
      <c r="R202" s="51">
        <f>((LEN($C202)-LEN(SUBSTITUTE($C202,Table46[[#Headers],[18_1]],"")))/4)*$D202</f>
        <v>0</v>
      </c>
      <c r="S202" s="51">
        <f>((LEN($C202)-LEN(SUBSTITUTE($C202,Table46[[#Headers],[18_2]],"")))/4)*$D202</f>
        <v>0</v>
      </c>
      <c r="T202" s="51">
        <f>((LEN($C202)-LEN(SUBSTITUTE($C202,Table46[[#Headers],[18_3]],"")))/4)*$D202</f>
        <v>8.9435212052406098E-5</v>
      </c>
      <c r="U202" s="51">
        <f>((LEN($C202)-LEN(SUBSTITUTE($C202,Table46[[#Headers],[18_4]],"")))/4)*$D202</f>
        <v>0</v>
      </c>
      <c r="V202" s="51">
        <f>((LEN($C202)-LEN(SUBSTITUTE($C202,Table46[[#Headers],[18_5]],"")))/4)*$D202</f>
        <v>0</v>
      </c>
      <c r="W202" s="51">
        <f>((LEN($C202)-LEN(SUBSTITUTE($C202,Table46[[#Headers],[19_1]],"")))/4)*$D202</f>
        <v>0</v>
      </c>
      <c r="X202" s="51">
        <f>((LEN($C202)-LEN(SUBSTITUTE($C202,Table46[[#Headers],[20_0]],"")))/4)*$D202</f>
        <v>0</v>
      </c>
      <c r="Y202" s="51">
        <f>((LEN($C202)-LEN(SUBSTITUTE($C202,Table46[[#Headers],[20_1]],"")))/4)*$D202</f>
        <v>0</v>
      </c>
      <c r="Z202" s="51">
        <f>((LEN($C202)-LEN(SUBSTITUTE($C202,Table46[[#Headers],[20_2]],"")))/4)*$D202</f>
        <v>0</v>
      </c>
      <c r="AA202" s="51">
        <f>((LEN($C202)-LEN(SUBSTITUTE($C202,Table46[[#Headers],[20_3]],"")))/4)*$D202</f>
        <v>0</v>
      </c>
      <c r="AB202" s="51">
        <f>((LEN($C202)-LEN(SUBSTITUTE($C202,Table46[[#Headers],[20_4]],"")))/4)*$D202</f>
        <v>0</v>
      </c>
      <c r="AC202" s="51">
        <f>((LEN($C202)-LEN(SUBSTITUTE($C202,Table46[[#Headers],[20_5]],"")))/4)*$D202</f>
        <v>0</v>
      </c>
      <c r="AD202" s="51">
        <f>((LEN($C202)-LEN(SUBSTITUTE($C202,Table46[[#Headers],[22_0]],"")))/4)*$D202</f>
        <v>0</v>
      </c>
      <c r="AE202" s="51">
        <f>((LEN($C202)-LEN(SUBSTITUTE($C202,Table46[[#Headers],[22_5]],"")))/4)*$D202</f>
        <v>0</v>
      </c>
      <c r="AF202" s="51">
        <f>((LEN($C202)-LEN(SUBSTITUTE($C202,Table46[[#Headers],[22_6]],"")))/4)*$D202</f>
        <v>0</v>
      </c>
      <c r="AG202" s="51">
        <f t="shared" si="47"/>
        <v>8.9435212052406098E-5</v>
      </c>
      <c r="AH202" s="51">
        <f t="shared" si="48"/>
        <v>0</v>
      </c>
      <c r="AI202" s="51">
        <f>Table46[[#This Row],[Column29]]/$D$213*0.5</f>
        <v>1.5209014337004868E-3</v>
      </c>
      <c r="AJ202" s="51">
        <f>Table46[[#This Row],[Column29]]/$D$213*1.5</f>
        <v>4.5627043011014605E-3</v>
      </c>
    </row>
    <row r="203" spans="3:36">
      <c r="C203" s="50" t="s">
        <v>523</v>
      </c>
      <c r="D203" s="51">
        <v>3.0514538077585832E-4</v>
      </c>
      <c r="E203" s="51">
        <f>((LEN($C203)-LEN(SUBSTITUTE($C203,Table46[[#Headers],[12_0]],"")))/4)*$D203</f>
        <v>0</v>
      </c>
      <c r="F203" s="51">
        <f>((LEN($C203)-LEN(SUBSTITUTE($C203,Table46[[#Headers],[13_0]],"")))/4)*$D203</f>
        <v>0</v>
      </c>
      <c r="G203" s="51">
        <f>((LEN($C203)-LEN(SUBSTITUTE($C203,Table46[[#Headers],[14_0]],"")))/4)*$D203</f>
        <v>0</v>
      </c>
      <c r="H203" s="51">
        <f>((LEN($C203)-LEN(SUBSTITUTE($C203,Table46[[#Headers],[14_1]],"")))/4)*$D203</f>
        <v>0</v>
      </c>
      <c r="I203" s="51">
        <f>((LEN($C203)-LEN(SUBSTITUTE($C203,Table46[[#Headers],[15_0]],"")))/4)*$D203</f>
        <v>0</v>
      </c>
      <c r="J203" s="51">
        <f>((LEN($C203)-LEN(SUBSTITUTE($C203,Table46[[#Headers],[15_1]],"")))/4)*$D203</f>
        <v>0</v>
      </c>
      <c r="K203" s="51">
        <f>((LEN($C203)-LEN(SUBSTITUTE($C203,Table46[[#Headers],[16_0]],"")))/4)*$D203</f>
        <v>0</v>
      </c>
      <c r="L203" s="51">
        <f>((LEN($C203)-LEN(SUBSTITUTE($C203,Table46[[#Headers],[16_1]],"")))/4)*$D203</f>
        <v>0</v>
      </c>
      <c r="M203" s="51">
        <f>((LEN($C203)-LEN(SUBSTITUTE($C203,Table46[[#Headers],[16_2]],"")))/4)*$D203</f>
        <v>0</v>
      </c>
      <c r="N203" s="51">
        <f>((LEN($C203)-LEN(SUBSTITUTE($C203,Table46[[#Headers],[16_3]],"")))/4)*$D203</f>
        <v>3.0514538077585832E-4</v>
      </c>
      <c r="O203" s="51">
        <f>((LEN($C203)-LEN(SUBSTITUTE($C203,Table46[[#Headers],[17_0]],"")))/4)*$D203</f>
        <v>0</v>
      </c>
      <c r="P203" s="51">
        <f>((LEN($C203)-LEN(SUBSTITUTE($C203,Table46[[#Headers],[17_1]],"")))/4)*$D203</f>
        <v>0</v>
      </c>
      <c r="Q203" s="51">
        <f>((LEN($C203)-LEN(SUBSTITUTE($C203,Table46[[#Headers],[18_0]],"")))/4)*$D203</f>
        <v>0</v>
      </c>
      <c r="R203" s="51">
        <f>((LEN($C203)-LEN(SUBSTITUTE($C203,Table46[[#Headers],[18_1]],"")))/4)*$D203</f>
        <v>0</v>
      </c>
      <c r="S203" s="51">
        <f>((LEN($C203)-LEN(SUBSTITUTE($C203,Table46[[#Headers],[18_2]],"")))/4)*$D203</f>
        <v>0</v>
      </c>
      <c r="T203" s="51">
        <f>((LEN($C203)-LEN(SUBSTITUTE($C203,Table46[[#Headers],[18_3]],"")))/4)*$D203</f>
        <v>0</v>
      </c>
      <c r="U203" s="51">
        <f>((LEN($C203)-LEN(SUBSTITUTE($C203,Table46[[#Headers],[18_4]],"")))/4)*$D203</f>
        <v>0</v>
      </c>
      <c r="V203" s="51">
        <f>((LEN($C203)-LEN(SUBSTITUTE($C203,Table46[[#Headers],[18_5]],"")))/4)*$D203</f>
        <v>0</v>
      </c>
      <c r="W203" s="51">
        <f>((LEN($C203)-LEN(SUBSTITUTE($C203,Table46[[#Headers],[19_1]],"")))/4)*$D203</f>
        <v>0</v>
      </c>
      <c r="X203" s="51">
        <f>((LEN($C203)-LEN(SUBSTITUTE($C203,Table46[[#Headers],[20_0]],"")))/4)*$D203</f>
        <v>0</v>
      </c>
      <c r="Y203" s="51">
        <f>((LEN($C203)-LEN(SUBSTITUTE($C203,Table46[[#Headers],[20_1]],"")))/4)*$D203</f>
        <v>0</v>
      </c>
      <c r="Z203" s="51">
        <f>((LEN($C203)-LEN(SUBSTITUTE($C203,Table46[[#Headers],[20_2]],"")))/4)*$D203</f>
        <v>0</v>
      </c>
      <c r="AA203" s="51">
        <f>((LEN($C203)-LEN(SUBSTITUTE($C203,Table46[[#Headers],[20_3]],"")))/4)*$D203</f>
        <v>0</v>
      </c>
      <c r="AB203" s="51">
        <f>((LEN($C203)-LEN(SUBSTITUTE($C203,Table46[[#Headers],[20_4]],"")))/4)*$D203</f>
        <v>0</v>
      </c>
      <c r="AC203" s="51">
        <f>((LEN($C203)-LEN(SUBSTITUTE($C203,Table46[[#Headers],[20_5]],"")))/4)*$D203</f>
        <v>3.0514538077585832E-4</v>
      </c>
      <c r="AD203" s="51">
        <f>((LEN($C203)-LEN(SUBSTITUTE($C203,Table46[[#Headers],[22_0]],"")))/4)*$D203</f>
        <v>0</v>
      </c>
      <c r="AE203" s="51">
        <f>((LEN($C203)-LEN(SUBSTITUTE($C203,Table46[[#Headers],[22_5]],"")))/4)*$D203</f>
        <v>0</v>
      </c>
      <c r="AF203" s="51">
        <f>((LEN($C203)-LEN(SUBSTITUTE($C203,Table46[[#Headers],[22_6]],"")))/4)*$D203</f>
        <v>0</v>
      </c>
      <c r="AG203" s="51">
        <f t="shared" si="47"/>
        <v>3.0514538077585832E-4</v>
      </c>
      <c r="AH203" s="51">
        <f t="shared" si="48"/>
        <v>0</v>
      </c>
      <c r="AI203" s="51">
        <f>Table46[[#This Row],[Column29]]/$D$213*0.5</f>
        <v>5.1891870825680926E-3</v>
      </c>
      <c r="AJ203" s="51">
        <f>Table46[[#This Row],[Column29]]/$D$213*1.5</f>
        <v>1.5567561247704278E-2</v>
      </c>
    </row>
    <row r="204" spans="3:36">
      <c r="C204" s="50" t="s">
        <v>524</v>
      </c>
      <c r="D204" s="51">
        <v>5.5574731384262588E-5</v>
      </c>
      <c r="E204" s="51">
        <f>((LEN($C204)-LEN(SUBSTITUTE($C204,Table46[[#Headers],[12_0]],"")))/4)*$D204</f>
        <v>0</v>
      </c>
      <c r="F204" s="51">
        <f>((LEN($C204)-LEN(SUBSTITUTE($C204,Table46[[#Headers],[13_0]],"")))/4)*$D204</f>
        <v>0</v>
      </c>
      <c r="G204" s="51">
        <f>((LEN($C204)-LEN(SUBSTITUTE($C204,Table46[[#Headers],[14_0]],"")))/4)*$D204</f>
        <v>0</v>
      </c>
      <c r="H204" s="51">
        <f>((LEN($C204)-LEN(SUBSTITUTE($C204,Table46[[#Headers],[14_1]],"")))/4)*$D204</f>
        <v>0</v>
      </c>
      <c r="I204" s="51">
        <f>((LEN($C204)-LEN(SUBSTITUTE($C204,Table46[[#Headers],[15_0]],"")))/4)*$D204</f>
        <v>0</v>
      </c>
      <c r="J204" s="51">
        <f>((LEN($C204)-LEN(SUBSTITUTE($C204,Table46[[#Headers],[15_1]],"")))/4)*$D204</f>
        <v>0</v>
      </c>
      <c r="K204" s="51">
        <f>((LEN($C204)-LEN(SUBSTITUTE($C204,Table46[[#Headers],[16_0]],"")))/4)*$D204</f>
        <v>0</v>
      </c>
      <c r="L204" s="51">
        <f>((LEN($C204)-LEN(SUBSTITUTE($C204,Table46[[#Headers],[16_1]],"")))/4)*$D204</f>
        <v>0</v>
      </c>
      <c r="M204" s="51">
        <f>((LEN($C204)-LEN(SUBSTITUTE($C204,Table46[[#Headers],[16_2]],"")))/4)*$D204</f>
        <v>0</v>
      </c>
      <c r="N204" s="51">
        <f>((LEN($C204)-LEN(SUBSTITUTE($C204,Table46[[#Headers],[16_3]],"")))/4)*$D204</f>
        <v>0</v>
      </c>
      <c r="O204" s="51">
        <f>((LEN($C204)-LEN(SUBSTITUTE($C204,Table46[[#Headers],[17_0]],"")))/4)*$D204</f>
        <v>0</v>
      </c>
      <c r="P204" s="51">
        <f>((LEN($C204)-LEN(SUBSTITUTE($C204,Table46[[#Headers],[17_1]],"")))/4)*$D204</f>
        <v>0</v>
      </c>
      <c r="Q204" s="51">
        <f>((LEN($C204)-LEN(SUBSTITUTE($C204,Table46[[#Headers],[18_0]],"")))/4)*$D204</f>
        <v>0</v>
      </c>
      <c r="R204" s="51">
        <f>((LEN($C204)-LEN(SUBSTITUTE($C204,Table46[[#Headers],[18_1]],"")))/4)*$D204</f>
        <v>5.5574731384262588E-5</v>
      </c>
      <c r="S204" s="51">
        <f>((LEN($C204)-LEN(SUBSTITUTE($C204,Table46[[#Headers],[18_2]],"")))/4)*$D204</f>
        <v>0</v>
      </c>
      <c r="T204" s="51">
        <f>((LEN($C204)-LEN(SUBSTITUTE($C204,Table46[[#Headers],[18_3]],"")))/4)*$D204</f>
        <v>0</v>
      </c>
      <c r="U204" s="51">
        <f>((LEN($C204)-LEN(SUBSTITUTE($C204,Table46[[#Headers],[18_4]],"")))/4)*$D204</f>
        <v>5.5574731384262588E-5</v>
      </c>
      <c r="V204" s="51">
        <f>((LEN($C204)-LEN(SUBSTITUTE($C204,Table46[[#Headers],[18_5]],"")))/4)*$D204</f>
        <v>0</v>
      </c>
      <c r="W204" s="51">
        <f>((LEN($C204)-LEN(SUBSTITUTE($C204,Table46[[#Headers],[19_1]],"")))/4)*$D204</f>
        <v>0</v>
      </c>
      <c r="X204" s="51">
        <f>((LEN($C204)-LEN(SUBSTITUTE($C204,Table46[[#Headers],[20_0]],"")))/4)*$D204</f>
        <v>0</v>
      </c>
      <c r="Y204" s="51">
        <f>((LEN($C204)-LEN(SUBSTITUTE($C204,Table46[[#Headers],[20_1]],"")))/4)*$D204</f>
        <v>0</v>
      </c>
      <c r="Z204" s="51">
        <f>((LEN($C204)-LEN(SUBSTITUTE($C204,Table46[[#Headers],[20_2]],"")))/4)*$D204</f>
        <v>0</v>
      </c>
      <c r="AA204" s="51">
        <f>((LEN($C204)-LEN(SUBSTITUTE($C204,Table46[[#Headers],[20_3]],"")))/4)*$D204</f>
        <v>0</v>
      </c>
      <c r="AB204" s="51">
        <f>((LEN($C204)-LEN(SUBSTITUTE($C204,Table46[[#Headers],[20_4]],"")))/4)*$D204</f>
        <v>0</v>
      </c>
      <c r="AC204" s="51">
        <f>((LEN($C204)-LEN(SUBSTITUTE($C204,Table46[[#Headers],[20_5]],"")))/4)*$D204</f>
        <v>0</v>
      </c>
      <c r="AD204" s="51">
        <f>((LEN($C204)-LEN(SUBSTITUTE($C204,Table46[[#Headers],[22_0]],"")))/4)*$D204</f>
        <v>0</v>
      </c>
      <c r="AE204" s="51">
        <f>((LEN($C204)-LEN(SUBSTITUTE($C204,Table46[[#Headers],[22_5]],"")))/4)*$D204</f>
        <v>0</v>
      </c>
      <c r="AF204" s="51">
        <f>((LEN($C204)-LEN(SUBSTITUTE($C204,Table46[[#Headers],[22_6]],"")))/4)*$D204</f>
        <v>0</v>
      </c>
      <c r="AG204" s="51">
        <f t="shared" si="47"/>
        <v>5.5574731384262588E-5</v>
      </c>
      <c r="AH204" s="51">
        <f t="shared" si="48"/>
        <v>0</v>
      </c>
      <c r="AI204" s="51">
        <f>Table46[[#This Row],[Column29]]/$D$213*0.5</f>
        <v>9.4508288961529276E-4</v>
      </c>
      <c r="AJ204" s="51">
        <f>Table46[[#This Row],[Column29]]/$D$213*1.5</f>
        <v>2.8352486688458783E-3</v>
      </c>
    </row>
    <row r="205" spans="3:36">
      <c r="C205" s="50" t="s">
        <v>525</v>
      </c>
      <c r="D205" s="51">
        <v>1.7617762784186337E-4</v>
      </c>
      <c r="E205" s="51">
        <f>((LEN($C205)-LEN(SUBSTITUTE($C205,Table46[[#Headers],[12_0]],"")))/4)*$D205</f>
        <v>0</v>
      </c>
      <c r="F205" s="51">
        <f>((LEN($C205)-LEN(SUBSTITUTE($C205,Table46[[#Headers],[13_0]],"")))/4)*$D205</f>
        <v>0</v>
      </c>
      <c r="G205" s="51">
        <f>((LEN($C205)-LEN(SUBSTITUTE($C205,Table46[[#Headers],[14_0]],"")))/4)*$D205</f>
        <v>0</v>
      </c>
      <c r="H205" s="51">
        <f>((LEN($C205)-LEN(SUBSTITUTE($C205,Table46[[#Headers],[14_1]],"")))/4)*$D205</f>
        <v>0</v>
      </c>
      <c r="I205" s="51">
        <f>((LEN($C205)-LEN(SUBSTITUTE($C205,Table46[[#Headers],[15_0]],"")))/4)*$D205</f>
        <v>0</v>
      </c>
      <c r="J205" s="51">
        <f>((LEN($C205)-LEN(SUBSTITUTE($C205,Table46[[#Headers],[15_1]],"")))/4)*$D205</f>
        <v>0</v>
      </c>
      <c r="K205" s="51">
        <f>((LEN($C205)-LEN(SUBSTITUTE($C205,Table46[[#Headers],[16_0]],"")))/4)*$D205</f>
        <v>0</v>
      </c>
      <c r="L205" s="51">
        <f>((LEN($C205)-LEN(SUBSTITUTE($C205,Table46[[#Headers],[16_1]],"")))/4)*$D205</f>
        <v>0</v>
      </c>
      <c r="M205" s="51">
        <f>((LEN($C205)-LEN(SUBSTITUTE($C205,Table46[[#Headers],[16_2]],"")))/4)*$D205</f>
        <v>0</v>
      </c>
      <c r="N205" s="51">
        <f>((LEN($C205)-LEN(SUBSTITUTE($C205,Table46[[#Headers],[16_3]],"")))/4)*$D205</f>
        <v>0</v>
      </c>
      <c r="O205" s="51">
        <f>((LEN($C205)-LEN(SUBSTITUTE($C205,Table46[[#Headers],[17_0]],"")))/4)*$D205</f>
        <v>0</v>
      </c>
      <c r="P205" s="51">
        <f>((LEN($C205)-LEN(SUBSTITUTE($C205,Table46[[#Headers],[17_1]],"")))/4)*$D205</f>
        <v>0</v>
      </c>
      <c r="Q205" s="51">
        <f>((LEN($C205)-LEN(SUBSTITUTE($C205,Table46[[#Headers],[18_0]],"")))/4)*$D205</f>
        <v>0</v>
      </c>
      <c r="R205" s="51">
        <f>((LEN($C205)-LEN(SUBSTITUTE($C205,Table46[[#Headers],[18_1]],"")))/4)*$D205</f>
        <v>1.7617762784186337E-4</v>
      </c>
      <c r="S205" s="51">
        <f>((LEN($C205)-LEN(SUBSTITUTE($C205,Table46[[#Headers],[18_2]],"")))/4)*$D205</f>
        <v>0</v>
      </c>
      <c r="T205" s="51">
        <f>((LEN($C205)-LEN(SUBSTITUTE($C205,Table46[[#Headers],[18_3]],"")))/4)*$D205</f>
        <v>0</v>
      </c>
      <c r="U205" s="51">
        <f>((LEN($C205)-LEN(SUBSTITUTE($C205,Table46[[#Headers],[18_4]],"")))/4)*$D205</f>
        <v>0</v>
      </c>
      <c r="V205" s="51">
        <f>((LEN($C205)-LEN(SUBSTITUTE($C205,Table46[[#Headers],[18_5]],"")))/4)*$D205</f>
        <v>0</v>
      </c>
      <c r="W205" s="51">
        <f>((LEN($C205)-LEN(SUBSTITUTE($C205,Table46[[#Headers],[19_1]],"")))/4)*$D205</f>
        <v>1.7617762784186337E-4</v>
      </c>
      <c r="X205" s="51">
        <f>((LEN($C205)-LEN(SUBSTITUTE($C205,Table46[[#Headers],[20_0]],"")))/4)*$D205</f>
        <v>0</v>
      </c>
      <c r="Y205" s="51">
        <f>((LEN($C205)-LEN(SUBSTITUTE($C205,Table46[[#Headers],[20_1]],"")))/4)*$D205</f>
        <v>0</v>
      </c>
      <c r="Z205" s="51">
        <f>((LEN($C205)-LEN(SUBSTITUTE($C205,Table46[[#Headers],[20_2]],"")))/4)*$D205</f>
        <v>0</v>
      </c>
      <c r="AA205" s="51">
        <f>((LEN($C205)-LEN(SUBSTITUTE($C205,Table46[[#Headers],[20_3]],"")))/4)*$D205</f>
        <v>0</v>
      </c>
      <c r="AB205" s="51">
        <f>((LEN($C205)-LEN(SUBSTITUTE($C205,Table46[[#Headers],[20_4]],"")))/4)*$D205</f>
        <v>0</v>
      </c>
      <c r="AC205" s="51">
        <f>((LEN($C205)-LEN(SUBSTITUTE($C205,Table46[[#Headers],[20_5]],"")))/4)*$D205</f>
        <v>0</v>
      </c>
      <c r="AD205" s="51">
        <f>((LEN($C205)-LEN(SUBSTITUTE($C205,Table46[[#Headers],[22_0]],"")))/4)*$D205</f>
        <v>0</v>
      </c>
      <c r="AE205" s="51">
        <f>((LEN($C205)-LEN(SUBSTITUTE($C205,Table46[[#Headers],[22_5]],"")))/4)*$D205</f>
        <v>0</v>
      </c>
      <c r="AF205" s="51">
        <f>((LEN($C205)-LEN(SUBSTITUTE($C205,Table46[[#Headers],[22_6]],"")))/4)*$D205</f>
        <v>0</v>
      </c>
      <c r="AG205" s="51">
        <f t="shared" si="47"/>
        <v>1.7617762784186337E-4</v>
      </c>
      <c r="AH205" s="51">
        <f t="shared" si="48"/>
        <v>0</v>
      </c>
      <c r="AI205" s="51">
        <f>Table46[[#This Row],[Column29]]/$D$213*0.5</f>
        <v>2.9960101913062117E-3</v>
      </c>
      <c r="AJ205" s="51">
        <f>Table46[[#This Row],[Column29]]/$D$213*1.5</f>
        <v>8.9880305739186359E-3</v>
      </c>
    </row>
    <row r="206" spans="3:36">
      <c r="C206" s="50" t="s">
        <v>526</v>
      </c>
      <c r="D206" s="44">
        <v>4.6195779293949405E-4</v>
      </c>
      <c r="E206" s="51">
        <f>((LEN($C206)-LEN(SUBSTITUTE($C206,Table46[[#Headers],[12_0]],"")))/4)*$D206</f>
        <v>0</v>
      </c>
      <c r="F206" s="51">
        <f>((LEN($C206)-LEN(SUBSTITUTE($C206,Table46[[#Headers],[13_0]],"")))/4)*$D206</f>
        <v>0</v>
      </c>
      <c r="G206" s="51">
        <f>((LEN($C206)-LEN(SUBSTITUTE($C206,Table46[[#Headers],[14_0]],"")))/4)*$D206</f>
        <v>0</v>
      </c>
      <c r="H206" s="51">
        <f>((LEN($C206)-LEN(SUBSTITUTE($C206,Table46[[#Headers],[14_1]],"")))/4)*$D206</f>
        <v>0</v>
      </c>
      <c r="I206" s="51">
        <f>((LEN($C206)-LEN(SUBSTITUTE($C206,Table46[[#Headers],[15_0]],"")))/4)*$D206</f>
        <v>0</v>
      </c>
      <c r="J206" s="51">
        <f>((LEN($C206)-LEN(SUBSTITUTE($C206,Table46[[#Headers],[15_1]],"")))/4)*$D206</f>
        <v>0</v>
      </c>
      <c r="K206" s="51">
        <f>((LEN($C206)-LEN(SUBSTITUTE($C206,Table46[[#Headers],[16_0]],"")))/4)*$D206</f>
        <v>0</v>
      </c>
      <c r="L206" s="51">
        <f>((LEN($C206)-LEN(SUBSTITUTE($C206,Table46[[#Headers],[16_1]],"")))/4)*$D206</f>
        <v>0</v>
      </c>
      <c r="M206" s="51">
        <f>((LEN($C206)-LEN(SUBSTITUTE($C206,Table46[[#Headers],[16_2]],"")))/4)*$D206</f>
        <v>0</v>
      </c>
      <c r="N206" s="51">
        <f>((LEN($C206)-LEN(SUBSTITUTE($C206,Table46[[#Headers],[16_3]],"")))/4)*$D206</f>
        <v>0</v>
      </c>
      <c r="O206" s="51">
        <f>((LEN($C206)-LEN(SUBSTITUTE($C206,Table46[[#Headers],[17_0]],"")))/4)*$D206</f>
        <v>0</v>
      </c>
      <c r="P206" s="51">
        <f>((LEN($C206)-LEN(SUBSTITUTE($C206,Table46[[#Headers],[17_1]],"")))/4)*$D206</f>
        <v>0</v>
      </c>
      <c r="Q206" s="51">
        <f>((LEN($C206)-LEN(SUBSTITUTE($C206,Table46[[#Headers],[18_0]],"")))/4)*$D206</f>
        <v>0</v>
      </c>
      <c r="R206" s="51">
        <f>((LEN($C206)-LEN(SUBSTITUTE($C206,Table46[[#Headers],[18_1]],"")))/4)*$D206</f>
        <v>4.6195779293949405E-4</v>
      </c>
      <c r="S206" s="51">
        <f>((LEN($C206)-LEN(SUBSTITUTE($C206,Table46[[#Headers],[18_2]],"")))/4)*$D206</f>
        <v>0</v>
      </c>
      <c r="T206" s="51">
        <f>((LEN($C206)-LEN(SUBSTITUTE($C206,Table46[[#Headers],[18_3]],"")))/4)*$D206</f>
        <v>0</v>
      </c>
      <c r="U206" s="51">
        <f>((LEN($C206)-LEN(SUBSTITUTE($C206,Table46[[#Headers],[18_4]],"")))/4)*$D206</f>
        <v>0</v>
      </c>
      <c r="V206" s="51">
        <f>((LEN($C206)-LEN(SUBSTITUTE($C206,Table46[[#Headers],[18_5]],"")))/4)*$D206</f>
        <v>0</v>
      </c>
      <c r="W206" s="51">
        <f>((LEN($C206)-LEN(SUBSTITUTE($C206,Table46[[#Headers],[19_1]],"")))/4)*$D206</f>
        <v>0</v>
      </c>
      <c r="X206" s="51">
        <f>((LEN($C206)-LEN(SUBSTITUTE($C206,Table46[[#Headers],[20_0]],"")))/4)*$D206</f>
        <v>0</v>
      </c>
      <c r="Y206" s="51">
        <f>((LEN($C206)-LEN(SUBSTITUTE($C206,Table46[[#Headers],[20_1]],"")))/4)*$D206</f>
        <v>0</v>
      </c>
      <c r="Z206" s="51">
        <f>((LEN($C206)-LEN(SUBSTITUTE($C206,Table46[[#Headers],[20_2]],"")))/4)*$D206</f>
        <v>0</v>
      </c>
      <c r="AA206" s="51">
        <f>((LEN($C206)-LEN(SUBSTITUTE($C206,Table46[[#Headers],[20_3]],"")))/4)*$D206</f>
        <v>0</v>
      </c>
      <c r="AB206" s="51">
        <f>((LEN($C206)-LEN(SUBSTITUTE($C206,Table46[[#Headers],[20_4]],"")))/4)*$D206</f>
        <v>0</v>
      </c>
      <c r="AC206" s="51">
        <f>((LEN($C206)-LEN(SUBSTITUTE($C206,Table46[[#Headers],[20_5]],"")))/4)*$D206</f>
        <v>4.6195779293949405E-4</v>
      </c>
      <c r="AD206" s="51">
        <f>((LEN($C206)-LEN(SUBSTITUTE($C206,Table46[[#Headers],[22_0]],"")))/4)*$D206</f>
        <v>0</v>
      </c>
      <c r="AE206" s="51">
        <f>((LEN($C206)-LEN(SUBSTITUTE($C206,Table46[[#Headers],[22_5]],"")))/4)*$D206</f>
        <v>0</v>
      </c>
      <c r="AF206" s="51">
        <f>((LEN($C206)-LEN(SUBSTITUTE($C206,Table46[[#Headers],[22_6]],"")))/4)*$D206</f>
        <v>0</v>
      </c>
      <c r="AG206" s="51">
        <f t="shared" si="47"/>
        <v>4.6195779293949405E-4</v>
      </c>
      <c r="AH206" s="51">
        <f t="shared" si="48"/>
        <v>0</v>
      </c>
      <c r="AI206" s="51">
        <f>Table46[[#This Row],[Column29]]/$D$213*0.5</f>
        <v>7.8558797308949536E-3</v>
      </c>
      <c r="AJ206" s="51">
        <f>Table46[[#This Row],[Column29]]/$D$213*1.5</f>
        <v>2.3567639192684862E-2</v>
      </c>
    </row>
    <row r="207" spans="3:36">
      <c r="C207" s="50" t="s">
        <v>527</v>
      </c>
      <c r="D207" s="51">
        <v>1.2557884019030513E-3</v>
      </c>
      <c r="E207" s="51">
        <f>((LEN($C207)-LEN(SUBSTITUTE($C207,Table46[[#Headers],[12_0]],"")))/4)*$D207</f>
        <v>0</v>
      </c>
      <c r="F207" s="51">
        <f>((LEN($C207)-LEN(SUBSTITUTE($C207,Table46[[#Headers],[13_0]],"")))/4)*$D207</f>
        <v>0</v>
      </c>
      <c r="G207" s="51">
        <f>((LEN($C207)-LEN(SUBSTITUTE($C207,Table46[[#Headers],[14_0]],"")))/4)*$D207</f>
        <v>0</v>
      </c>
      <c r="H207" s="51">
        <f>((LEN($C207)-LEN(SUBSTITUTE($C207,Table46[[#Headers],[14_1]],"")))/4)*$D207</f>
        <v>0</v>
      </c>
      <c r="I207" s="51">
        <f>((LEN($C207)-LEN(SUBSTITUTE($C207,Table46[[#Headers],[15_0]],"")))/4)*$D207</f>
        <v>0</v>
      </c>
      <c r="J207" s="51">
        <f>((LEN($C207)-LEN(SUBSTITUTE($C207,Table46[[#Headers],[15_1]],"")))/4)*$D207</f>
        <v>0</v>
      </c>
      <c r="K207" s="51">
        <f>((LEN($C207)-LEN(SUBSTITUTE($C207,Table46[[#Headers],[16_0]],"")))/4)*$D207</f>
        <v>0</v>
      </c>
      <c r="L207" s="51">
        <f>((LEN($C207)-LEN(SUBSTITUTE($C207,Table46[[#Headers],[16_1]],"")))/4)*$D207</f>
        <v>0</v>
      </c>
      <c r="M207" s="51">
        <f>((LEN($C207)-LEN(SUBSTITUTE($C207,Table46[[#Headers],[16_2]],"")))/4)*$D207</f>
        <v>0</v>
      </c>
      <c r="N207" s="51">
        <f>((LEN($C207)-LEN(SUBSTITUTE($C207,Table46[[#Headers],[16_3]],"")))/4)*$D207</f>
        <v>0</v>
      </c>
      <c r="O207" s="51">
        <f>((LEN($C207)-LEN(SUBSTITUTE($C207,Table46[[#Headers],[17_0]],"")))/4)*$D207</f>
        <v>0</v>
      </c>
      <c r="P207" s="51">
        <f>((LEN($C207)-LEN(SUBSTITUTE($C207,Table46[[#Headers],[17_1]],"")))/4)*$D207</f>
        <v>0</v>
      </c>
      <c r="Q207" s="51">
        <f>((LEN($C207)-LEN(SUBSTITUTE($C207,Table46[[#Headers],[18_0]],"")))/4)*$D207</f>
        <v>0</v>
      </c>
      <c r="R207" s="51">
        <f>((LEN($C207)-LEN(SUBSTITUTE($C207,Table46[[#Headers],[18_1]],"")))/4)*$D207</f>
        <v>0</v>
      </c>
      <c r="S207" s="51">
        <f>((LEN($C207)-LEN(SUBSTITUTE($C207,Table46[[#Headers],[18_2]],"")))/4)*$D207</f>
        <v>1.2557884019030513E-3</v>
      </c>
      <c r="T207" s="51">
        <f>((LEN($C207)-LEN(SUBSTITUTE($C207,Table46[[#Headers],[18_3]],"")))/4)*$D207</f>
        <v>0</v>
      </c>
      <c r="U207" s="51">
        <f>((LEN($C207)-LEN(SUBSTITUTE($C207,Table46[[#Headers],[18_4]],"")))/4)*$D207</f>
        <v>0</v>
      </c>
      <c r="V207" s="51">
        <f>((LEN($C207)-LEN(SUBSTITUTE($C207,Table46[[#Headers],[18_5]],"")))/4)*$D207</f>
        <v>0</v>
      </c>
      <c r="W207" s="51">
        <f>((LEN($C207)-LEN(SUBSTITUTE($C207,Table46[[#Headers],[19_1]],"")))/4)*$D207</f>
        <v>0</v>
      </c>
      <c r="X207" s="51">
        <f>((LEN($C207)-LEN(SUBSTITUTE($C207,Table46[[#Headers],[20_0]],"")))/4)*$D207</f>
        <v>0</v>
      </c>
      <c r="Y207" s="51">
        <f>((LEN($C207)-LEN(SUBSTITUTE($C207,Table46[[#Headers],[20_1]],"")))/4)*$D207</f>
        <v>0</v>
      </c>
      <c r="Z207" s="51">
        <f>((LEN($C207)-LEN(SUBSTITUTE($C207,Table46[[#Headers],[20_2]],"")))/4)*$D207</f>
        <v>0</v>
      </c>
      <c r="AA207" s="51">
        <f>((LEN($C207)-LEN(SUBSTITUTE($C207,Table46[[#Headers],[20_3]],"")))/4)*$D207</f>
        <v>0</v>
      </c>
      <c r="AB207" s="51">
        <f>((LEN($C207)-LEN(SUBSTITUTE($C207,Table46[[#Headers],[20_4]],"")))/4)*$D207</f>
        <v>0</v>
      </c>
      <c r="AC207" s="51">
        <f>((LEN($C207)-LEN(SUBSTITUTE($C207,Table46[[#Headers],[20_5]],"")))/4)*$D207</f>
        <v>1.2557884019030513E-3</v>
      </c>
      <c r="AD207" s="51">
        <f>((LEN($C207)-LEN(SUBSTITUTE($C207,Table46[[#Headers],[22_0]],"")))/4)*$D207</f>
        <v>0</v>
      </c>
      <c r="AE207" s="51">
        <f>((LEN($C207)-LEN(SUBSTITUTE($C207,Table46[[#Headers],[22_5]],"")))/4)*$D207</f>
        <v>0</v>
      </c>
      <c r="AF207" s="51">
        <f>((LEN($C207)-LEN(SUBSTITUTE($C207,Table46[[#Headers],[22_6]],"")))/4)*$D207</f>
        <v>0</v>
      </c>
      <c r="AG207" s="51">
        <f t="shared" si="47"/>
        <v>1.2557884019030513E-3</v>
      </c>
      <c r="AH207" s="51">
        <f t="shared" si="48"/>
        <v>0</v>
      </c>
      <c r="AI207" s="51">
        <f>Table46[[#This Row],[Column29]]/$D$213*0.5</f>
        <v>2.1355463212404946E-2</v>
      </c>
      <c r="AJ207" s="51">
        <f>Table46[[#This Row],[Column29]]/$D$213*1.5</f>
        <v>6.4066389637214838E-2</v>
      </c>
    </row>
    <row r="208" spans="3:36">
      <c r="C208" s="50" t="s">
        <v>528</v>
      </c>
      <c r="D208" s="44">
        <v>2.9882017423480409E-3</v>
      </c>
      <c r="E208" s="51">
        <f>((LEN($C208)-LEN(SUBSTITUTE($C208,Table46[[#Headers],[12_0]],"")))/4)*$D208</f>
        <v>0</v>
      </c>
      <c r="F208" s="51">
        <f>((LEN($C208)-LEN(SUBSTITUTE($C208,Table46[[#Headers],[13_0]],"")))/4)*$D208</f>
        <v>0</v>
      </c>
      <c r="G208" s="51">
        <f>((LEN($C208)-LEN(SUBSTITUTE($C208,Table46[[#Headers],[14_0]],"")))/4)*$D208</f>
        <v>0</v>
      </c>
      <c r="H208" s="51">
        <f>((LEN($C208)-LEN(SUBSTITUTE($C208,Table46[[#Headers],[14_1]],"")))/4)*$D208</f>
        <v>0</v>
      </c>
      <c r="I208" s="51">
        <f>((LEN($C208)-LEN(SUBSTITUTE($C208,Table46[[#Headers],[15_0]],"")))/4)*$D208</f>
        <v>0</v>
      </c>
      <c r="J208" s="51">
        <f>((LEN($C208)-LEN(SUBSTITUTE($C208,Table46[[#Headers],[15_1]],"")))/4)*$D208</f>
        <v>0</v>
      </c>
      <c r="K208" s="51">
        <f>((LEN($C208)-LEN(SUBSTITUTE($C208,Table46[[#Headers],[16_0]],"")))/4)*$D208</f>
        <v>0</v>
      </c>
      <c r="L208" s="51">
        <f>((LEN($C208)-LEN(SUBSTITUTE($C208,Table46[[#Headers],[16_1]],"")))/4)*$D208</f>
        <v>0</v>
      </c>
      <c r="M208" s="51">
        <f>((LEN($C208)-LEN(SUBSTITUTE($C208,Table46[[#Headers],[16_2]],"")))/4)*$D208</f>
        <v>0</v>
      </c>
      <c r="N208" s="51">
        <f>((LEN($C208)-LEN(SUBSTITUTE($C208,Table46[[#Headers],[16_3]],"")))/4)*$D208</f>
        <v>0</v>
      </c>
      <c r="O208" s="51">
        <f>((LEN($C208)-LEN(SUBSTITUTE($C208,Table46[[#Headers],[17_0]],"")))/4)*$D208</f>
        <v>0</v>
      </c>
      <c r="P208" s="51">
        <f>((LEN($C208)-LEN(SUBSTITUTE($C208,Table46[[#Headers],[17_1]],"")))/4)*$D208</f>
        <v>0</v>
      </c>
      <c r="Q208" s="51">
        <f>((LEN($C208)-LEN(SUBSTITUTE($C208,Table46[[#Headers],[18_0]],"")))/4)*$D208</f>
        <v>0</v>
      </c>
      <c r="R208" s="51">
        <f>((LEN($C208)-LEN(SUBSTITUTE($C208,Table46[[#Headers],[18_1]],"")))/4)*$D208</f>
        <v>0</v>
      </c>
      <c r="S208" s="51">
        <f>((LEN($C208)-LEN(SUBSTITUTE($C208,Table46[[#Headers],[18_2]],"")))/4)*$D208</f>
        <v>0</v>
      </c>
      <c r="T208" s="51">
        <f>((LEN($C208)-LEN(SUBSTITUTE($C208,Table46[[#Headers],[18_3]],"")))/4)*$D208</f>
        <v>2.9882017423480409E-3</v>
      </c>
      <c r="U208" s="51">
        <f>((LEN($C208)-LEN(SUBSTITUTE($C208,Table46[[#Headers],[18_4]],"")))/4)*$D208</f>
        <v>0</v>
      </c>
      <c r="V208" s="51">
        <f>((LEN($C208)-LEN(SUBSTITUTE($C208,Table46[[#Headers],[18_5]],"")))/4)*$D208</f>
        <v>0</v>
      </c>
      <c r="W208" s="51">
        <f>((LEN($C208)-LEN(SUBSTITUTE($C208,Table46[[#Headers],[19_1]],"")))/4)*$D208</f>
        <v>0</v>
      </c>
      <c r="X208" s="51">
        <f>((LEN($C208)-LEN(SUBSTITUTE($C208,Table46[[#Headers],[20_0]],"")))/4)*$D208</f>
        <v>0</v>
      </c>
      <c r="Y208" s="51">
        <f>((LEN($C208)-LEN(SUBSTITUTE($C208,Table46[[#Headers],[20_1]],"")))/4)*$D208</f>
        <v>0</v>
      </c>
      <c r="Z208" s="51">
        <f>((LEN($C208)-LEN(SUBSTITUTE($C208,Table46[[#Headers],[20_2]],"")))/4)*$D208</f>
        <v>0</v>
      </c>
      <c r="AA208" s="51">
        <f>((LEN($C208)-LEN(SUBSTITUTE($C208,Table46[[#Headers],[20_3]],"")))/4)*$D208</f>
        <v>0</v>
      </c>
      <c r="AB208" s="51">
        <f>((LEN($C208)-LEN(SUBSTITUTE($C208,Table46[[#Headers],[20_4]],"")))/4)*$D208</f>
        <v>0</v>
      </c>
      <c r="AC208" s="51">
        <f>((LEN($C208)-LEN(SUBSTITUTE($C208,Table46[[#Headers],[20_5]],"")))/4)*$D208</f>
        <v>2.9882017423480409E-3</v>
      </c>
      <c r="AD208" s="51">
        <f>((LEN($C208)-LEN(SUBSTITUTE($C208,Table46[[#Headers],[22_0]],"")))/4)*$D208</f>
        <v>0</v>
      </c>
      <c r="AE208" s="51">
        <f>((LEN($C208)-LEN(SUBSTITUTE($C208,Table46[[#Headers],[22_5]],"")))/4)*$D208</f>
        <v>0</v>
      </c>
      <c r="AF208" s="51">
        <f>((LEN($C208)-LEN(SUBSTITUTE($C208,Table46[[#Headers],[22_6]],"")))/4)*$D208</f>
        <v>0</v>
      </c>
      <c r="AG208" s="51">
        <f t="shared" si="47"/>
        <v>2.9882017423480409E-3</v>
      </c>
      <c r="AH208" s="51">
        <f t="shared" si="48"/>
        <v>0</v>
      </c>
      <c r="AI208" s="51">
        <f>Table46[[#This Row],[Column29]]/$D$213*0.5</f>
        <v>5.0816230093582694E-2</v>
      </c>
      <c r="AJ208" s="51">
        <f>Table46[[#This Row],[Column29]]/$D$213*1.5</f>
        <v>0.15244869028074809</v>
      </c>
    </row>
    <row r="209" spans="3:36">
      <c r="C209" s="50" t="s">
        <v>529</v>
      </c>
      <c r="D209" s="51">
        <v>6.1369972703353482E-4</v>
      </c>
      <c r="E209" s="51">
        <f>((LEN($C209)-LEN(SUBSTITUTE($C209,Table46[[#Headers],[12_0]],"")))/4)*$D209</f>
        <v>0</v>
      </c>
      <c r="F209" s="51">
        <f>((LEN($C209)-LEN(SUBSTITUTE($C209,Table46[[#Headers],[13_0]],"")))/4)*$D209</f>
        <v>0</v>
      </c>
      <c r="G209" s="51">
        <f>((LEN($C209)-LEN(SUBSTITUTE($C209,Table46[[#Headers],[14_0]],"")))/4)*$D209</f>
        <v>0</v>
      </c>
      <c r="H209" s="51">
        <f>((LEN($C209)-LEN(SUBSTITUTE($C209,Table46[[#Headers],[14_1]],"")))/4)*$D209</f>
        <v>0</v>
      </c>
      <c r="I209" s="51">
        <f>((LEN($C209)-LEN(SUBSTITUTE($C209,Table46[[#Headers],[15_0]],"")))/4)*$D209</f>
        <v>0</v>
      </c>
      <c r="J209" s="51">
        <f>((LEN($C209)-LEN(SUBSTITUTE($C209,Table46[[#Headers],[15_1]],"")))/4)*$D209</f>
        <v>0</v>
      </c>
      <c r="K209" s="51">
        <f>((LEN($C209)-LEN(SUBSTITUTE($C209,Table46[[#Headers],[16_0]],"")))/4)*$D209</f>
        <v>0</v>
      </c>
      <c r="L209" s="51">
        <f>((LEN($C209)-LEN(SUBSTITUTE($C209,Table46[[#Headers],[16_1]],"")))/4)*$D209</f>
        <v>0</v>
      </c>
      <c r="M209" s="51">
        <f>((LEN($C209)-LEN(SUBSTITUTE($C209,Table46[[#Headers],[16_2]],"")))/4)*$D209</f>
        <v>0</v>
      </c>
      <c r="N209" s="51">
        <f>((LEN($C209)-LEN(SUBSTITUTE($C209,Table46[[#Headers],[16_3]],"")))/4)*$D209</f>
        <v>0</v>
      </c>
      <c r="O209" s="51">
        <f>((LEN($C209)-LEN(SUBSTITUTE($C209,Table46[[#Headers],[17_0]],"")))/4)*$D209</f>
        <v>0</v>
      </c>
      <c r="P209" s="51">
        <f>((LEN($C209)-LEN(SUBSTITUTE($C209,Table46[[#Headers],[17_1]],"")))/4)*$D209</f>
        <v>0</v>
      </c>
      <c r="Q209" s="51">
        <f>((LEN($C209)-LEN(SUBSTITUTE($C209,Table46[[#Headers],[18_0]],"")))/4)*$D209</f>
        <v>0</v>
      </c>
      <c r="R209" s="51">
        <f>((LEN($C209)-LEN(SUBSTITUTE($C209,Table46[[#Headers],[18_1]],"")))/4)*$D209</f>
        <v>0</v>
      </c>
      <c r="S209" s="51">
        <f>((LEN($C209)-LEN(SUBSTITUTE($C209,Table46[[#Headers],[18_2]],"")))/4)*$D209</f>
        <v>0</v>
      </c>
      <c r="T209" s="51">
        <f>((LEN($C209)-LEN(SUBSTITUTE($C209,Table46[[#Headers],[18_3]],"")))/4)*$D209</f>
        <v>0</v>
      </c>
      <c r="U209" s="51">
        <f>((LEN($C209)-LEN(SUBSTITUTE($C209,Table46[[#Headers],[18_4]],"")))/4)*$D209</f>
        <v>1.2273994540670696E-3</v>
      </c>
      <c r="V209" s="51">
        <f>((LEN($C209)-LEN(SUBSTITUTE($C209,Table46[[#Headers],[18_5]],"")))/4)*$D209</f>
        <v>0</v>
      </c>
      <c r="W209" s="51">
        <f>((LEN($C209)-LEN(SUBSTITUTE($C209,Table46[[#Headers],[19_1]],"")))/4)*$D209</f>
        <v>0</v>
      </c>
      <c r="X209" s="51">
        <f>((LEN($C209)-LEN(SUBSTITUTE($C209,Table46[[#Headers],[20_0]],"")))/4)*$D209</f>
        <v>0</v>
      </c>
      <c r="Y209" s="51">
        <f>((LEN($C209)-LEN(SUBSTITUTE($C209,Table46[[#Headers],[20_1]],"")))/4)*$D209</f>
        <v>0</v>
      </c>
      <c r="Z209" s="51">
        <f>((LEN($C209)-LEN(SUBSTITUTE($C209,Table46[[#Headers],[20_2]],"")))/4)*$D209</f>
        <v>0</v>
      </c>
      <c r="AA209" s="51">
        <f>((LEN($C209)-LEN(SUBSTITUTE($C209,Table46[[#Headers],[20_3]],"")))/4)*$D209</f>
        <v>0</v>
      </c>
      <c r="AB209" s="51">
        <f>((LEN($C209)-LEN(SUBSTITUTE($C209,Table46[[#Headers],[20_4]],"")))/4)*$D209</f>
        <v>0</v>
      </c>
      <c r="AC209" s="51">
        <f>((LEN($C209)-LEN(SUBSTITUTE($C209,Table46[[#Headers],[20_5]],"")))/4)*$D209</f>
        <v>0</v>
      </c>
      <c r="AD209" s="51">
        <f>((LEN($C209)-LEN(SUBSTITUTE($C209,Table46[[#Headers],[22_0]],"")))/4)*$D209</f>
        <v>0</v>
      </c>
      <c r="AE209" s="51">
        <f>((LEN($C209)-LEN(SUBSTITUTE($C209,Table46[[#Headers],[22_5]],"")))/4)*$D209</f>
        <v>0</v>
      </c>
      <c r="AF209" s="51">
        <f>((LEN($C209)-LEN(SUBSTITUTE($C209,Table46[[#Headers],[22_6]],"")))/4)*$D209</f>
        <v>0</v>
      </c>
      <c r="AG209" s="51">
        <f t="shared" si="47"/>
        <v>6.1369972703353482E-4</v>
      </c>
      <c r="AH209" s="51">
        <f t="shared" si="48"/>
        <v>0</v>
      </c>
      <c r="AI209" s="51">
        <f>Table46[[#This Row],[Column29]]/$D$213*0.5</f>
        <v>1.0436345744447639E-2</v>
      </c>
      <c r="AJ209" s="51">
        <f>Table46[[#This Row],[Column29]]/$D$213*1.5</f>
        <v>3.1309037233342912E-2</v>
      </c>
    </row>
    <row r="210" spans="3:36">
      <c r="C210" s="50" t="s">
        <v>530</v>
      </c>
      <c r="D210" s="44">
        <v>8.9417737523465671E-3</v>
      </c>
      <c r="E210" s="51">
        <f>((LEN($C210)-LEN(SUBSTITUTE($C210,Table46[[#Headers],[12_0]],"")))/4)*$D210</f>
        <v>0</v>
      </c>
      <c r="F210" s="51">
        <f>((LEN($C210)-LEN(SUBSTITUTE($C210,Table46[[#Headers],[13_0]],"")))/4)*$D210</f>
        <v>0</v>
      </c>
      <c r="G210" s="51">
        <f>((LEN($C210)-LEN(SUBSTITUTE($C210,Table46[[#Headers],[14_0]],"")))/4)*$D210</f>
        <v>0</v>
      </c>
      <c r="H210" s="51">
        <f>((LEN($C210)-LEN(SUBSTITUTE($C210,Table46[[#Headers],[14_1]],"")))/4)*$D210</f>
        <v>0</v>
      </c>
      <c r="I210" s="51">
        <f>((LEN($C210)-LEN(SUBSTITUTE($C210,Table46[[#Headers],[15_0]],"")))/4)*$D210</f>
        <v>0</v>
      </c>
      <c r="J210" s="51">
        <f>((LEN($C210)-LEN(SUBSTITUTE($C210,Table46[[#Headers],[15_1]],"")))/4)*$D210</f>
        <v>0</v>
      </c>
      <c r="K210" s="51">
        <f>((LEN($C210)-LEN(SUBSTITUTE($C210,Table46[[#Headers],[16_0]],"")))/4)*$D210</f>
        <v>0</v>
      </c>
      <c r="L210" s="51">
        <f>((LEN($C210)-LEN(SUBSTITUTE($C210,Table46[[#Headers],[16_1]],"")))/4)*$D210</f>
        <v>0</v>
      </c>
      <c r="M210" s="51">
        <f>((LEN($C210)-LEN(SUBSTITUTE($C210,Table46[[#Headers],[16_2]],"")))/4)*$D210</f>
        <v>0</v>
      </c>
      <c r="N210" s="51">
        <f>((LEN($C210)-LEN(SUBSTITUTE($C210,Table46[[#Headers],[16_3]],"")))/4)*$D210</f>
        <v>0</v>
      </c>
      <c r="O210" s="51">
        <f>((LEN($C210)-LEN(SUBSTITUTE($C210,Table46[[#Headers],[17_0]],"")))/4)*$D210</f>
        <v>0</v>
      </c>
      <c r="P210" s="51">
        <f>((LEN($C210)-LEN(SUBSTITUTE($C210,Table46[[#Headers],[17_1]],"")))/4)*$D210</f>
        <v>0</v>
      </c>
      <c r="Q210" s="51">
        <f>((LEN($C210)-LEN(SUBSTITUTE($C210,Table46[[#Headers],[18_0]],"")))/4)*$D210</f>
        <v>0</v>
      </c>
      <c r="R210" s="51">
        <f>((LEN($C210)-LEN(SUBSTITUTE($C210,Table46[[#Headers],[18_1]],"")))/4)*$D210</f>
        <v>0</v>
      </c>
      <c r="S210" s="51">
        <f>((LEN($C210)-LEN(SUBSTITUTE($C210,Table46[[#Headers],[18_2]],"")))/4)*$D210</f>
        <v>0</v>
      </c>
      <c r="T210" s="51">
        <f>((LEN($C210)-LEN(SUBSTITUTE($C210,Table46[[#Headers],[18_3]],"")))/4)*$D210</f>
        <v>0</v>
      </c>
      <c r="U210" s="51">
        <f>((LEN($C210)-LEN(SUBSTITUTE($C210,Table46[[#Headers],[18_4]],"")))/4)*$D210</f>
        <v>8.9417737523465671E-3</v>
      </c>
      <c r="V210" s="51">
        <f>((LEN($C210)-LEN(SUBSTITUTE($C210,Table46[[#Headers],[18_5]],"")))/4)*$D210</f>
        <v>0</v>
      </c>
      <c r="W210" s="51">
        <f>((LEN($C210)-LEN(SUBSTITUTE($C210,Table46[[#Headers],[19_1]],"")))/4)*$D210</f>
        <v>0</v>
      </c>
      <c r="X210" s="51">
        <f>((LEN($C210)-LEN(SUBSTITUTE($C210,Table46[[#Headers],[20_0]],"")))/4)*$D210</f>
        <v>0</v>
      </c>
      <c r="Y210" s="51">
        <f>((LEN($C210)-LEN(SUBSTITUTE($C210,Table46[[#Headers],[20_1]],"")))/4)*$D210</f>
        <v>0</v>
      </c>
      <c r="Z210" s="51">
        <f>((LEN($C210)-LEN(SUBSTITUTE($C210,Table46[[#Headers],[20_2]],"")))/4)*$D210</f>
        <v>0</v>
      </c>
      <c r="AA210" s="51">
        <f>((LEN($C210)-LEN(SUBSTITUTE($C210,Table46[[#Headers],[20_3]],"")))/4)*$D210</f>
        <v>0</v>
      </c>
      <c r="AB210" s="51">
        <f>((LEN($C210)-LEN(SUBSTITUTE($C210,Table46[[#Headers],[20_4]],"")))/4)*$D210</f>
        <v>0</v>
      </c>
      <c r="AC210" s="51">
        <f>((LEN($C210)-LEN(SUBSTITUTE($C210,Table46[[#Headers],[20_5]],"")))/4)*$D210</f>
        <v>8.9417737523465671E-3</v>
      </c>
      <c r="AD210" s="51">
        <f>((LEN($C210)-LEN(SUBSTITUTE($C210,Table46[[#Headers],[22_0]],"")))/4)*$D210</f>
        <v>0</v>
      </c>
      <c r="AE210" s="51">
        <f>((LEN($C210)-LEN(SUBSTITUTE($C210,Table46[[#Headers],[22_5]],"")))/4)*$D210</f>
        <v>0</v>
      </c>
      <c r="AF210" s="51">
        <f>((LEN($C210)-LEN(SUBSTITUTE($C210,Table46[[#Headers],[22_6]],"")))/4)*$D210</f>
        <v>0</v>
      </c>
      <c r="AG210" s="51">
        <f t="shared" si="47"/>
        <v>8.9417737523465671E-3</v>
      </c>
      <c r="AH210" s="51">
        <f t="shared" si="48"/>
        <v>0</v>
      </c>
      <c r="AI210" s="51">
        <f>Table46[[#This Row],[Column29]]/$D$213*0.5</f>
        <v>0.15206042684619994</v>
      </c>
      <c r="AJ210" s="51">
        <f>Table46[[#This Row],[Column29]]/$D$213*1.5</f>
        <v>0.45618128053859985</v>
      </c>
    </row>
    <row r="211" spans="3:36">
      <c r="C211" s="50" t="s">
        <v>531</v>
      </c>
      <c r="D211" s="51">
        <v>2.9022041425462078E-4</v>
      </c>
      <c r="E211" s="51">
        <f>((LEN($C211)-LEN(SUBSTITUTE($C211,Table46[[#Headers],[12_0]],"")))/4)*$D211</f>
        <v>0</v>
      </c>
      <c r="F211" s="51">
        <f>((LEN($C211)-LEN(SUBSTITUTE($C211,Table46[[#Headers],[13_0]],"")))/4)*$D211</f>
        <v>0</v>
      </c>
      <c r="G211" s="51">
        <f>((LEN($C211)-LEN(SUBSTITUTE($C211,Table46[[#Headers],[14_0]],"")))/4)*$D211</f>
        <v>0</v>
      </c>
      <c r="H211" s="51">
        <f>((LEN($C211)-LEN(SUBSTITUTE($C211,Table46[[#Headers],[14_1]],"")))/4)*$D211</f>
        <v>0</v>
      </c>
      <c r="I211" s="51">
        <f>((LEN($C211)-LEN(SUBSTITUTE($C211,Table46[[#Headers],[15_0]],"")))/4)*$D211</f>
        <v>0</v>
      </c>
      <c r="J211" s="51">
        <f>((LEN($C211)-LEN(SUBSTITUTE($C211,Table46[[#Headers],[15_1]],"")))/4)*$D211</f>
        <v>0</v>
      </c>
      <c r="K211" s="51">
        <f>((LEN($C211)-LEN(SUBSTITUTE($C211,Table46[[#Headers],[16_0]],"")))/4)*$D211</f>
        <v>0</v>
      </c>
      <c r="L211" s="51">
        <f>((LEN($C211)-LEN(SUBSTITUTE($C211,Table46[[#Headers],[16_1]],"")))/4)*$D211</f>
        <v>0</v>
      </c>
      <c r="M211" s="51">
        <f>((LEN($C211)-LEN(SUBSTITUTE($C211,Table46[[#Headers],[16_2]],"")))/4)*$D211</f>
        <v>0</v>
      </c>
      <c r="N211" s="51">
        <f>((LEN($C211)-LEN(SUBSTITUTE($C211,Table46[[#Headers],[16_3]],"")))/4)*$D211</f>
        <v>0</v>
      </c>
      <c r="O211" s="51">
        <f>((LEN($C211)-LEN(SUBSTITUTE($C211,Table46[[#Headers],[17_0]],"")))/4)*$D211</f>
        <v>0</v>
      </c>
      <c r="P211" s="51">
        <f>((LEN($C211)-LEN(SUBSTITUTE($C211,Table46[[#Headers],[17_1]],"")))/4)*$D211</f>
        <v>0</v>
      </c>
      <c r="Q211" s="51">
        <f>((LEN($C211)-LEN(SUBSTITUTE($C211,Table46[[#Headers],[18_0]],"")))/4)*$D211</f>
        <v>0</v>
      </c>
      <c r="R211" s="51">
        <f>((LEN($C211)-LEN(SUBSTITUTE($C211,Table46[[#Headers],[18_1]],"")))/4)*$D211</f>
        <v>0</v>
      </c>
      <c r="S211" s="51">
        <f>((LEN($C211)-LEN(SUBSTITUTE($C211,Table46[[#Headers],[18_2]],"")))/4)*$D211</f>
        <v>0</v>
      </c>
      <c r="T211" s="51">
        <f>((LEN($C211)-LEN(SUBSTITUTE($C211,Table46[[#Headers],[18_3]],"")))/4)*$D211</f>
        <v>0</v>
      </c>
      <c r="U211" s="51">
        <f>((LEN($C211)-LEN(SUBSTITUTE($C211,Table46[[#Headers],[18_4]],"")))/4)*$D211</f>
        <v>2.9022041425462078E-4</v>
      </c>
      <c r="V211" s="51">
        <f>((LEN($C211)-LEN(SUBSTITUTE($C211,Table46[[#Headers],[18_5]],"")))/4)*$D211</f>
        <v>0</v>
      </c>
      <c r="W211" s="51">
        <f>((LEN($C211)-LEN(SUBSTITUTE($C211,Table46[[#Headers],[19_1]],"")))/4)*$D211</f>
        <v>0</v>
      </c>
      <c r="X211" s="51">
        <f>((LEN($C211)-LEN(SUBSTITUTE($C211,Table46[[#Headers],[20_0]],"")))/4)*$D211</f>
        <v>0</v>
      </c>
      <c r="Y211" s="51">
        <f>((LEN($C211)-LEN(SUBSTITUTE($C211,Table46[[#Headers],[20_1]],"")))/4)*$D211</f>
        <v>0</v>
      </c>
      <c r="Z211" s="51">
        <f>((LEN($C211)-LEN(SUBSTITUTE($C211,Table46[[#Headers],[20_2]],"")))/4)*$D211</f>
        <v>0</v>
      </c>
      <c r="AA211" s="51">
        <f>((LEN($C211)-LEN(SUBSTITUTE($C211,Table46[[#Headers],[20_3]],"")))/4)*$D211</f>
        <v>0</v>
      </c>
      <c r="AB211" s="51">
        <f>((LEN($C211)-LEN(SUBSTITUTE($C211,Table46[[#Headers],[20_4]],"")))/4)*$D211</f>
        <v>0</v>
      </c>
      <c r="AC211" s="51">
        <f>((LEN($C211)-LEN(SUBSTITUTE($C211,Table46[[#Headers],[20_5]],"")))/4)*$D211</f>
        <v>0</v>
      </c>
      <c r="AD211" s="51">
        <f>((LEN($C211)-LEN(SUBSTITUTE($C211,Table46[[#Headers],[22_0]],"")))/4)*$D211</f>
        <v>0</v>
      </c>
      <c r="AE211" s="51">
        <f>((LEN($C211)-LEN(SUBSTITUTE($C211,Table46[[#Headers],[22_5]],"")))/4)*$D211</f>
        <v>0</v>
      </c>
      <c r="AF211" s="51">
        <f>((LEN($C211)-LEN(SUBSTITUTE($C211,Table46[[#Headers],[22_6]],"")))/4)*$D211</f>
        <v>2.9022041425462078E-4</v>
      </c>
      <c r="AG211" s="51">
        <f t="shared" si="47"/>
        <v>2.9022041425462078E-4</v>
      </c>
      <c r="AH211" s="51">
        <f t="shared" si="48"/>
        <v>0</v>
      </c>
      <c r="AI211" s="51">
        <f>Table46[[#This Row],[Column29]]/$D$213*0.5</f>
        <v>4.935378739532233E-3</v>
      </c>
      <c r="AJ211" s="51">
        <f>Table46[[#This Row],[Column29]]/$D$213*1.5</f>
        <v>1.4806136218596699E-2</v>
      </c>
    </row>
    <row r="212" spans="3:36">
      <c r="C212" s="50" t="s">
        <v>532</v>
      </c>
      <c r="D212" s="44">
        <v>1.1255028976063367E-3</v>
      </c>
      <c r="E212" s="51">
        <f>((LEN($C212)-LEN(SUBSTITUTE($C212,Table46[[#Headers],[12_0]],"")))/4)*$D212</f>
        <v>0</v>
      </c>
      <c r="F212" s="51">
        <f>((LEN($C212)-LEN(SUBSTITUTE($C212,Table46[[#Headers],[13_0]],"")))/4)*$D212</f>
        <v>0</v>
      </c>
      <c r="G212" s="51">
        <f>((LEN($C212)-LEN(SUBSTITUTE($C212,Table46[[#Headers],[14_0]],"")))/4)*$D212</f>
        <v>0</v>
      </c>
      <c r="H212" s="51">
        <f>((LEN($C212)-LEN(SUBSTITUTE($C212,Table46[[#Headers],[14_1]],"")))/4)*$D212</f>
        <v>0</v>
      </c>
      <c r="I212" s="51">
        <f>((LEN($C212)-LEN(SUBSTITUTE($C212,Table46[[#Headers],[15_0]],"")))/4)*$D212</f>
        <v>0</v>
      </c>
      <c r="J212" s="51">
        <f>((LEN($C212)-LEN(SUBSTITUTE($C212,Table46[[#Headers],[15_1]],"")))/4)*$D212</f>
        <v>0</v>
      </c>
      <c r="K212" s="51">
        <f>((LEN($C212)-LEN(SUBSTITUTE($C212,Table46[[#Headers],[16_0]],"")))/4)*$D212</f>
        <v>0</v>
      </c>
      <c r="L212" s="51">
        <f>((LEN($C212)-LEN(SUBSTITUTE($C212,Table46[[#Headers],[16_1]],"")))/4)*$D212</f>
        <v>0</v>
      </c>
      <c r="M212" s="51">
        <f>((LEN($C212)-LEN(SUBSTITUTE($C212,Table46[[#Headers],[16_2]],"")))/4)*$D212</f>
        <v>0</v>
      </c>
      <c r="N212" s="51">
        <f>((LEN($C212)-LEN(SUBSTITUTE($C212,Table46[[#Headers],[16_3]],"")))/4)*$D212</f>
        <v>0</v>
      </c>
      <c r="O212" s="51">
        <f>((LEN($C212)-LEN(SUBSTITUTE($C212,Table46[[#Headers],[17_0]],"")))/4)*$D212</f>
        <v>0</v>
      </c>
      <c r="P212" s="51">
        <f>((LEN($C212)-LEN(SUBSTITUTE($C212,Table46[[#Headers],[17_1]],"")))/4)*$D212</f>
        <v>0</v>
      </c>
      <c r="Q212" s="51">
        <f>((LEN($C212)-LEN(SUBSTITUTE($C212,Table46[[#Headers],[18_0]],"")))/4)*$D212</f>
        <v>0</v>
      </c>
      <c r="R212" s="51">
        <f>((LEN($C212)-LEN(SUBSTITUTE($C212,Table46[[#Headers],[18_1]],"")))/4)*$D212</f>
        <v>0</v>
      </c>
      <c r="S212" s="51">
        <f>((LEN($C212)-LEN(SUBSTITUTE($C212,Table46[[#Headers],[18_2]],"")))/4)*$D212</f>
        <v>0</v>
      </c>
      <c r="T212" s="51">
        <f>((LEN($C212)-LEN(SUBSTITUTE($C212,Table46[[#Headers],[18_3]],"")))/4)*$D212</f>
        <v>0</v>
      </c>
      <c r="U212" s="51">
        <f>((LEN($C212)-LEN(SUBSTITUTE($C212,Table46[[#Headers],[18_4]],"")))/4)*$D212</f>
        <v>0</v>
      </c>
      <c r="V212" s="51">
        <f>((LEN($C212)-LEN(SUBSTITUTE($C212,Table46[[#Headers],[18_5]],"")))/4)*$D212</f>
        <v>0</v>
      </c>
      <c r="W212" s="51">
        <f>((LEN($C212)-LEN(SUBSTITUTE($C212,Table46[[#Headers],[19_1]],"")))/4)*$D212</f>
        <v>0</v>
      </c>
      <c r="X212" s="51">
        <f>((LEN($C212)-LEN(SUBSTITUTE($C212,Table46[[#Headers],[20_0]],"")))/4)*$D212</f>
        <v>0</v>
      </c>
      <c r="Y212" s="51">
        <f>((LEN($C212)-LEN(SUBSTITUTE($C212,Table46[[#Headers],[20_1]],"")))/4)*$D212</f>
        <v>0</v>
      </c>
      <c r="Z212" s="51">
        <f>((LEN($C212)-LEN(SUBSTITUTE($C212,Table46[[#Headers],[20_2]],"")))/4)*$D212</f>
        <v>0</v>
      </c>
      <c r="AA212" s="51">
        <f>((LEN($C212)-LEN(SUBSTITUTE($C212,Table46[[#Headers],[20_3]],"")))/4)*$D212</f>
        <v>0</v>
      </c>
      <c r="AB212" s="51">
        <f>((LEN($C212)-LEN(SUBSTITUTE($C212,Table46[[#Headers],[20_4]],"")))/4)*$D212</f>
        <v>0</v>
      </c>
      <c r="AC212" s="51">
        <f>((LEN($C212)-LEN(SUBSTITUTE($C212,Table46[[#Headers],[20_5]],"")))/4)*$D212</f>
        <v>2.2510057952126734E-3</v>
      </c>
      <c r="AD212" s="51">
        <f>((LEN($C212)-LEN(SUBSTITUTE($C212,Table46[[#Headers],[22_0]],"")))/4)*$D212</f>
        <v>0</v>
      </c>
      <c r="AE212" s="51">
        <f>((LEN($C212)-LEN(SUBSTITUTE($C212,Table46[[#Headers],[22_5]],"")))/4)*$D212</f>
        <v>0</v>
      </c>
      <c r="AF212" s="51">
        <f>((LEN($C212)-LEN(SUBSTITUTE($C212,Table46[[#Headers],[22_6]],"")))/4)*$D212</f>
        <v>0</v>
      </c>
      <c r="AG212" s="51">
        <f t="shared" si="47"/>
        <v>1.1255028976063367E-3</v>
      </c>
      <c r="AH212" s="51">
        <f t="shared" si="48"/>
        <v>0</v>
      </c>
      <c r="AI212" s="51">
        <f>Table46[[#This Row],[Column29]]/$D$213*0.5</f>
        <v>1.9139877139224354E-2</v>
      </c>
      <c r="AJ212" s="51">
        <f>Table46[[#This Row],[Column29]]/$D$213*1.5</f>
        <v>5.7419631417673062E-2</v>
      </c>
    </row>
    <row r="213" spans="3:36">
      <c r="C213" s="51"/>
      <c r="D213" s="51">
        <f t="shared" ref="D213:AF213" si="49">SUM(D189:D212)</f>
        <v>2.9402040812994162E-2</v>
      </c>
      <c r="E213" s="51">
        <f t="shared" si="49"/>
        <v>0</v>
      </c>
      <c r="F213" s="51">
        <f t="shared" si="49"/>
        <v>0</v>
      </c>
      <c r="G213" s="51">
        <f t="shared" si="49"/>
        <v>1.4094496695036618E-3</v>
      </c>
      <c r="H213" s="51">
        <f t="shared" si="49"/>
        <v>0</v>
      </c>
      <c r="I213" s="51">
        <f t="shared" si="49"/>
        <v>0</v>
      </c>
      <c r="J213" s="51">
        <f t="shared" si="49"/>
        <v>0</v>
      </c>
      <c r="K213" s="51">
        <f t="shared" si="49"/>
        <v>2.1080870658951034E-3</v>
      </c>
      <c r="L213" s="51">
        <f t="shared" si="49"/>
        <v>1.306805432378429E-2</v>
      </c>
      <c r="M213" s="51">
        <f t="shared" si="49"/>
        <v>2.479836184025812E-3</v>
      </c>
      <c r="N213" s="51">
        <f t="shared" si="49"/>
        <v>3.945805928282644E-4</v>
      </c>
      <c r="O213" s="51">
        <f t="shared" si="49"/>
        <v>0</v>
      </c>
      <c r="P213" s="51">
        <f t="shared" si="49"/>
        <v>0</v>
      </c>
      <c r="Q213" s="51">
        <f t="shared" si="49"/>
        <v>0</v>
      </c>
      <c r="R213" s="51">
        <f t="shared" si="49"/>
        <v>9.0626917632604699E-4</v>
      </c>
      <c r="S213" s="51">
        <f t="shared" si="49"/>
        <v>1.5073929718762359E-3</v>
      </c>
      <c r="T213" s="51">
        <f t="shared" si="49"/>
        <v>3.5339799806640053E-3</v>
      </c>
      <c r="U213" s="51">
        <f t="shared" si="49"/>
        <v>1.1273878549904007E-2</v>
      </c>
      <c r="V213" s="51">
        <f t="shared" si="49"/>
        <v>0</v>
      </c>
      <c r="W213" s="51">
        <f t="shared" si="49"/>
        <v>1.7617762784186337E-4</v>
      </c>
      <c r="X213" s="51">
        <f t="shared" si="49"/>
        <v>0</v>
      </c>
      <c r="Y213" s="51">
        <f t="shared" si="49"/>
        <v>0</v>
      </c>
      <c r="Z213" s="51">
        <f t="shared" si="49"/>
        <v>0</v>
      </c>
      <c r="AA213" s="51">
        <f t="shared" si="49"/>
        <v>0</v>
      </c>
      <c r="AB213" s="51">
        <f t="shared" si="49"/>
        <v>8.2072992482429028E-5</v>
      </c>
      <c r="AC213" s="51">
        <f t="shared" si="49"/>
        <v>2.1574082076601983E-2</v>
      </c>
      <c r="AD213" s="51">
        <f t="shared" si="49"/>
        <v>0</v>
      </c>
      <c r="AE213" s="51">
        <f t="shared" si="49"/>
        <v>0</v>
      </c>
      <c r="AF213" s="51">
        <f t="shared" si="49"/>
        <v>2.9022041425462078E-4</v>
      </c>
      <c r="AG213" s="51">
        <f t="shared" si="47"/>
        <v>2.9402040812994159E-2</v>
      </c>
      <c r="AH213" s="51">
        <f t="shared" si="48"/>
        <v>0</v>
      </c>
      <c r="AI213" s="51">
        <f>Table46[[#This Row],[Column29]]/$D$213*0.5</f>
        <v>0.49999999999999994</v>
      </c>
      <c r="AJ213" s="51">
        <f>Table46[[#This Row],[Column29]]/$D$213*1.5</f>
        <v>1.4999999999999998</v>
      </c>
    </row>
    <row r="214" spans="3:36">
      <c r="D214" s="44">
        <f>SUM(E213:AF213)</f>
        <v>5.8804081625988318E-2</v>
      </c>
      <c r="E214" s="44">
        <f>E213/$D$214*100</f>
        <v>0</v>
      </c>
      <c r="F214" s="44">
        <f t="shared" ref="F214:AF214" si="50">F213/$D$214*100</f>
        <v>0</v>
      </c>
      <c r="G214" s="44">
        <f t="shared" si="50"/>
        <v>2.3968568686578364</v>
      </c>
      <c r="H214" s="44">
        <f t="shared" si="50"/>
        <v>0</v>
      </c>
      <c r="I214" s="44">
        <f t="shared" si="50"/>
        <v>0</v>
      </c>
      <c r="J214" s="44">
        <f t="shared" si="50"/>
        <v>0</v>
      </c>
      <c r="K214" s="44">
        <f t="shared" si="50"/>
        <v>3.5849332352525671</v>
      </c>
      <c r="L214" s="44">
        <f t="shared" si="50"/>
        <v>22.223039561949211</v>
      </c>
      <c r="M214" s="44">
        <f t="shared" si="50"/>
        <v>4.2171157434246105</v>
      </c>
      <c r="N214" s="44">
        <f t="shared" si="50"/>
        <v>0.67100885162685797</v>
      </c>
      <c r="O214" s="44">
        <f t="shared" si="50"/>
        <v>0</v>
      </c>
      <c r="P214" s="44">
        <f t="shared" si="50"/>
        <v>0</v>
      </c>
      <c r="Q214" s="44">
        <f t="shared" si="50"/>
        <v>0</v>
      </c>
      <c r="R214" s="44">
        <f t="shared" si="50"/>
        <v>1.5411671286530622</v>
      </c>
      <c r="S214" s="44">
        <f t="shared" si="50"/>
        <v>2.5634155490493153</v>
      </c>
      <c r="T214" s="44">
        <f t="shared" si="50"/>
        <v>6.009752865695928</v>
      </c>
      <c r="U214" s="44">
        <f t="shared" si="50"/>
        <v>19.171932012490686</v>
      </c>
      <c r="V214" s="44">
        <f t="shared" si="50"/>
        <v>0</v>
      </c>
      <c r="W214" s="44">
        <f t="shared" si="50"/>
        <v>0.2996010191306212</v>
      </c>
      <c r="X214" s="44">
        <f t="shared" si="50"/>
        <v>0</v>
      </c>
      <c r="Y214" s="44">
        <f t="shared" si="50"/>
        <v>0</v>
      </c>
      <c r="Z214" s="44">
        <f t="shared" si="50"/>
        <v>0</v>
      </c>
      <c r="AA214" s="44">
        <f t="shared" si="50"/>
        <v>0</v>
      </c>
      <c r="AB214" s="44">
        <f t="shared" si="50"/>
        <v>0.13957023086328937</v>
      </c>
      <c r="AC214" s="44">
        <f t="shared" si="50"/>
        <v>36.688069059252804</v>
      </c>
      <c r="AD214" s="44">
        <f t="shared" si="50"/>
        <v>0</v>
      </c>
      <c r="AE214" s="44">
        <f t="shared" si="50"/>
        <v>0</v>
      </c>
      <c r="AF214" s="44">
        <f t="shared" si="50"/>
        <v>0.49353787395322329</v>
      </c>
      <c r="AI214" s="51">
        <f>Table46[[#This Row],[Column29]]/$D$213*0.5</f>
        <v>0</v>
      </c>
      <c r="AJ214" s="51">
        <f>Table46[[#This Row],[Column29]]/$D$213*1.5</f>
        <v>0</v>
      </c>
    </row>
    <row r="215" spans="3:36">
      <c r="C215" s="51"/>
      <c r="D215" s="51">
        <f>SUM(E214:AF214)</f>
        <v>100.00000000000001</v>
      </c>
      <c r="E215" s="51">
        <f>IF(E214 &gt; 1, E214, 0)</f>
        <v>0</v>
      </c>
      <c r="F215" s="51">
        <f t="shared" ref="F215:AE215" si="51">IF(F214 &gt; 1, F214, 0)</f>
        <v>0</v>
      </c>
      <c r="G215" s="51">
        <f t="shared" si="51"/>
        <v>2.3968568686578364</v>
      </c>
      <c r="H215" s="51">
        <f t="shared" si="51"/>
        <v>0</v>
      </c>
      <c r="I215" s="51">
        <f t="shared" si="51"/>
        <v>0</v>
      </c>
      <c r="J215" s="51">
        <f t="shared" si="51"/>
        <v>0</v>
      </c>
      <c r="K215" s="51">
        <f t="shared" si="51"/>
        <v>3.5849332352525671</v>
      </c>
      <c r="L215" s="51">
        <f t="shared" si="51"/>
        <v>22.223039561949211</v>
      </c>
      <c r="M215" s="51">
        <f t="shared" si="51"/>
        <v>4.2171157434246105</v>
      </c>
      <c r="N215" s="51">
        <f t="shared" si="51"/>
        <v>0</v>
      </c>
      <c r="O215" s="51">
        <f t="shared" si="51"/>
        <v>0</v>
      </c>
      <c r="P215" s="51">
        <f t="shared" si="51"/>
        <v>0</v>
      </c>
      <c r="Q215" s="51">
        <f t="shared" si="51"/>
        <v>0</v>
      </c>
      <c r="R215" s="51">
        <f t="shared" si="51"/>
        <v>1.5411671286530622</v>
      </c>
      <c r="S215" s="51">
        <f t="shared" si="51"/>
        <v>2.5634155490493153</v>
      </c>
      <c r="T215" s="51">
        <f t="shared" si="51"/>
        <v>6.009752865695928</v>
      </c>
      <c r="U215" s="51">
        <f t="shared" si="51"/>
        <v>19.171932012490686</v>
      </c>
      <c r="V215" s="51">
        <f t="shared" si="51"/>
        <v>0</v>
      </c>
      <c r="W215" s="51">
        <f t="shared" si="51"/>
        <v>0</v>
      </c>
      <c r="X215" s="51">
        <f t="shared" si="51"/>
        <v>0</v>
      </c>
      <c r="Y215" s="51">
        <f t="shared" si="51"/>
        <v>0</v>
      </c>
      <c r="Z215" s="51">
        <f t="shared" si="51"/>
        <v>0</v>
      </c>
      <c r="AA215" s="51">
        <f t="shared" si="51"/>
        <v>0</v>
      </c>
      <c r="AB215" s="44">
        <v>0.13957023086328937</v>
      </c>
      <c r="AC215" s="51">
        <f t="shared" si="51"/>
        <v>36.688069059252804</v>
      </c>
      <c r="AD215" s="51">
        <f t="shared" si="51"/>
        <v>0</v>
      </c>
      <c r="AE215" s="51">
        <f t="shared" si="51"/>
        <v>0</v>
      </c>
      <c r="AF215" s="51">
        <v>0.49353787395322329</v>
      </c>
      <c r="AG215" s="51"/>
      <c r="AH215" s="51"/>
      <c r="AI215" s="51">
        <f>Table46[[#This Row],[Column29]]/$D$213*0.5</f>
        <v>0</v>
      </c>
      <c r="AJ215" s="51">
        <f>Table46[[#This Row],[Column29]]/$D$213*1.5</f>
        <v>0</v>
      </c>
    </row>
    <row r="216" spans="3:36">
      <c r="D216" s="44">
        <f>SUM(E215:AF215)</f>
        <v>99.029390129242543</v>
      </c>
      <c r="E216" s="48">
        <f>E215/$D$216</f>
        <v>0</v>
      </c>
      <c r="F216" s="48">
        <f t="shared" ref="F216:AF216" si="52">F215/$D$216</f>
        <v>0</v>
      </c>
      <c r="G216" s="48">
        <f t="shared" si="52"/>
        <v>2.4203490151052286E-2</v>
      </c>
      <c r="H216" s="48">
        <f t="shared" si="52"/>
        <v>0</v>
      </c>
      <c r="I216" s="48">
        <f t="shared" si="52"/>
        <v>0</v>
      </c>
      <c r="J216" s="48">
        <f t="shared" si="52"/>
        <v>0</v>
      </c>
      <c r="K216" s="48">
        <f t="shared" si="52"/>
        <v>3.6200699919224956E-2</v>
      </c>
      <c r="L216" s="48">
        <f t="shared" si="52"/>
        <v>0.22440852693272251</v>
      </c>
      <c r="M216" s="48">
        <f t="shared" si="52"/>
        <v>4.2584486665230223E-2</v>
      </c>
      <c r="N216" s="47">
        <f t="shared" si="52"/>
        <v>0</v>
      </c>
      <c r="O216" s="48">
        <f t="shared" si="52"/>
        <v>0</v>
      </c>
      <c r="P216" s="48">
        <f t="shared" si="52"/>
        <v>0</v>
      </c>
      <c r="Q216" s="48">
        <f t="shared" si="52"/>
        <v>0</v>
      </c>
      <c r="R216" s="48">
        <f t="shared" si="52"/>
        <v>1.5562724627928093E-2</v>
      </c>
      <c r="S216" s="48">
        <f t="shared" si="52"/>
        <v>2.5885401755012531E-2</v>
      </c>
      <c r="T216" s="48">
        <f t="shared" si="52"/>
        <v>6.0686558382846173E-2</v>
      </c>
      <c r="U216" s="48">
        <f t="shared" si="52"/>
        <v>0.19359840535693026</v>
      </c>
      <c r="V216" s="48">
        <f t="shared" si="52"/>
        <v>0</v>
      </c>
      <c r="W216" s="47">
        <f t="shared" si="52"/>
        <v>0</v>
      </c>
      <c r="X216" s="48">
        <f t="shared" si="52"/>
        <v>0</v>
      </c>
      <c r="Y216" s="48">
        <f t="shared" si="52"/>
        <v>0</v>
      </c>
      <c r="Z216" s="48">
        <f t="shared" si="52"/>
        <v>0</v>
      </c>
      <c r="AA216" s="48">
        <f t="shared" si="52"/>
        <v>0</v>
      </c>
      <c r="AB216" s="48">
        <f t="shared" si="52"/>
        <v>1.4093819085539887E-3</v>
      </c>
      <c r="AC216" s="48">
        <f t="shared" si="52"/>
        <v>0.37047657277674306</v>
      </c>
      <c r="AD216" s="48">
        <f t="shared" si="52"/>
        <v>0</v>
      </c>
      <c r="AE216" s="48">
        <f t="shared" si="52"/>
        <v>0</v>
      </c>
      <c r="AF216" s="48">
        <f t="shared" si="52"/>
        <v>4.9837515237558319E-3</v>
      </c>
      <c r="AI216" s="51">
        <f>Table46[[#This Row],[Column29]]/$D$213*0.5</f>
        <v>0</v>
      </c>
      <c r="AJ216" s="51">
        <f>Table46[[#This Row],[Column29]]/$D$213*1.5</f>
        <v>0</v>
      </c>
    </row>
    <row r="217" spans="3:36">
      <c r="C217" s="51"/>
      <c r="D217" s="51">
        <f>SUM(E216:AF216)</f>
        <v>1</v>
      </c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>
        <f>Table46[[#This Row],[Column29]]/$D$213*0.5</f>
        <v>0</v>
      </c>
      <c r="AJ217" s="51">
        <f>Table46[[#This Row],[Column29]]/$D$213*1.5</f>
        <v>0</v>
      </c>
    </row>
    <row r="220" spans="3:36">
      <c r="C220" s="49" t="s">
        <v>315</v>
      </c>
      <c r="D220" s="49" t="s">
        <v>316</v>
      </c>
      <c r="E220" s="49" t="s">
        <v>317</v>
      </c>
      <c r="F220" s="49" t="s">
        <v>318</v>
      </c>
      <c r="G220" s="49" t="s">
        <v>319</v>
      </c>
      <c r="H220" s="49" t="s">
        <v>320</v>
      </c>
      <c r="I220" s="49" t="s">
        <v>321</v>
      </c>
      <c r="J220" s="49" t="s">
        <v>322</v>
      </c>
      <c r="K220" s="49" t="s">
        <v>323</v>
      </c>
      <c r="L220" s="49" t="s">
        <v>324</v>
      </c>
      <c r="M220" s="49" t="s">
        <v>325</v>
      </c>
      <c r="N220" s="49" t="s">
        <v>326</v>
      </c>
      <c r="O220" s="49" t="s">
        <v>327</v>
      </c>
      <c r="P220" s="49" t="s">
        <v>328</v>
      </c>
      <c r="Q220" s="49" t="s">
        <v>329</v>
      </c>
      <c r="R220" s="49" t="s">
        <v>330</v>
      </c>
      <c r="S220" s="49" t="s">
        <v>331</v>
      </c>
      <c r="T220" s="49" t="s">
        <v>332</v>
      </c>
      <c r="U220" s="49" t="s">
        <v>333</v>
      </c>
      <c r="V220" s="49" t="s">
        <v>334</v>
      </c>
      <c r="W220" s="49" t="s">
        <v>508</v>
      </c>
      <c r="X220" s="49" t="s">
        <v>484</v>
      </c>
      <c r="Y220" s="49" t="s">
        <v>335</v>
      </c>
      <c r="Z220" s="49" t="s">
        <v>336</v>
      </c>
      <c r="AA220" s="49" t="s">
        <v>337</v>
      </c>
      <c r="AB220" s="49" t="s">
        <v>338</v>
      </c>
      <c r="AC220" s="49" t="s">
        <v>339</v>
      </c>
      <c r="AD220" s="49" t="s">
        <v>340</v>
      </c>
      <c r="AE220" s="49" t="s">
        <v>341</v>
      </c>
      <c r="AF220" s="49" t="s">
        <v>342</v>
      </c>
      <c r="AG220" s="49" t="s">
        <v>343</v>
      </c>
      <c r="AH220" s="49" t="s">
        <v>344</v>
      </c>
      <c r="AI220" s="49" t="s">
        <v>345</v>
      </c>
      <c r="AJ220" s="49" t="s">
        <v>346</v>
      </c>
    </row>
    <row r="221" spans="3:36">
      <c r="C221" s="53" t="s">
        <v>533</v>
      </c>
      <c r="D221" s="51">
        <v>1.7062015470343712E-4</v>
      </c>
      <c r="E221" s="51">
        <f>((LEN($C221)-LEN(SUBSTITUTE($C221,Table467[[#Headers],[12_0]],"")))/4)*$D221</f>
        <v>0</v>
      </c>
      <c r="F221" s="51">
        <f>((LEN($C221)-LEN(SUBSTITUTE($C221,Table467[[#Headers],[13_0]],"")))/4)*$D221</f>
        <v>0</v>
      </c>
      <c r="G221" s="51">
        <f>((LEN($C221)-LEN(SUBSTITUTE($C221,Table467[[#Headers],[14_0]],"")))/4)*$D221</f>
        <v>1.7062015470343712E-4</v>
      </c>
      <c r="H221" s="51">
        <f>((LEN($C221)-LEN(SUBSTITUTE($C221,Table467[[#Headers],[14_1]],"")))/4)*$D221</f>
        <v>0</v>
      </c>
      <c r="I221" s="51">
        <f>((LEN($C221)-LEN(SUBSTITUTE($C221,Table467[[#Headers],[15_0]],"")))/4)*$D221</f>
        <v>0</v>
      </c>
      <c r="J221" s="51">
        <f>((LEN($C221)-LEN(SUBSTITUTE($C221,Table467[[#Headers],[15_1]],"")))/4)*$D221</f>
        <v>0</v>
      </c>
      <c r="K221" s="51">
        <f>((LEN($C221)-LEN(SUBSTITUTE($C221,Table467[[#Headers],[16_0]],"")))/4)*$D221</f>
        <v>0</v>
      </c>
      <c r="L221" s="51">
        <f>((LEN($C221)-LEN(SUBSTITUTE($C221,Table467[[#Headers],[16_1]],"")))/4)*$D221</f>
        <v>1.7062015470343712E-4</v>
      </c>
      <c r="M221" s="51">
        <f>((LEN($C221)-LEN(SUBSTITUTE($C221,Table467[[#Headers],[16_2]],"")))/4)*$D221</f>
        <v>0</v>
      </c>
      <c r="N221" s="51">
        <f>((LEN($C221)-LEN(SUBSTITUTE($C221,Table467[[#Headers],[16_3]],"")))/4)*$D221</f>
        <v>0</v>
      </c>
      <c r="O221" s="51">
        <f>((LEN($C221)-LEN(SUBSTITUTE($C221,Table467[[#Headers],[17_0]],"")))/4)*$D221</f>
        <v>0</v>
      </c>
      <c r="P221" s="51">
        <f>((LEN($C221)-LEN(SUBSTITUTE($C221,Table467[[#Headers],[17_1]],"")))/4)*$D221</f>
        <v>0</v>
      </c>
      <c r="Q221" s="51">
        <f>((LEN($C221)-LEN(SUBSTITUTE($C221,Table467[[#Headers],[18_0]],"")))/4)*$D221</f>
        <v>0</v>
      </c>
      <c r="R221" s="51">
        <f>((LEN($C221)-LEN(SUBSTITUTE($C221,Table467[[#Headers],[18_1]],"")))/4)*$D221</f>
        <v>0</v>
      </c>
      <c r="S221" s="51">
        <f>((LEN($C221)-LEN(SUBSTITUTE($C221,Table467[[#Headers],[18_2]],"")))/4)*$D221</f>
        <v>0</v>
      </c>
      <c r="T221" s="51">
        <f>((LEN($C221)-LEN(SUBSTITUTE($C221,Table467[[#Headers],[18_3]],"")))/4)*$D221</f>
        <v>0</v>
      </c>
      <c r="U221" s="51">
        <f>((LEN($C221)-LEN(SUBSTITUTE($C221,Table467[[#Headers],[18_4]],"")))/4)*$D221</f>
        <v>0</v>
      </c>
      <c r="V221" s="51">
        <f>((LEN($C221)-LEN(SUBSTITUTE($C221,Table467[[#Headers],[18_5]],"")))/4)*$D221</f>
        <v>0</v>
      </c>
      <c r="W221" s="51">
        <f>((LEN($C221)-LEN(SUBSTITUTE($C221,Table467[[#Headers],[19_1]],"")))/4)*$D221</f>
        <v>0</v>
      </c>
      <c r="X221" s="51">
        <f>((LEN($C221)-LEN(SUBSTITUTE($C221,Table467[[#Headers],[20_0]],"")))/4)*$D221</f>
        <v>0</v>
      </c>
      <c r="Y221" s="51">
        <f>((LEN($C221)-LEN(SUBSTITUTE($C221,Table467[[#Headers],[20_1]],"")))/4)*$D221</f>
        <v>0</v>
      </c>
      <c r="Z221" s="51">
        <f>((LEN($C221)-LEN(SUBSTITUTE($C221,Table467[[#Headers],[20_2]],"")))/4)*$D221</f>
        <v>0</v>
      </c>
      <c r="AA221" s="51">
        <f>((LEN($C221)-LEN(SUBSTITUTE($C221,Table467[[#Headers],[20_3]],"")))/4)*$D221</f>
        <v>0</v>
      </c>
      <c r="AB221" s="51">
        <f>((LEN($C221)-LEN(SUBSTITUTE($C221,Table467[[#Headers],[20_4]],"")))/4)*$D221</f>
        <v>0</v>
      </c>
      <c r="AC221" s="51">
        <f>((LEN($C221)-LEN(SUBSTITUTE($C221,Table467[[#Headers],[20_5]],"")))/4)*$D221</f>
        <v>0</v>
      </c>
      <c r="AD221" s="51">
        <f>((LEN($C221)-LEN(SUBSTITUTE($C221,Table467[[#Headers],[22_0]],"")))/4)*$D221</f>
        <v>0</v>
      </c>
      <c r="AE221" s="51">
        <f>((LEN($C221)-LEN(SUBSTITUTE($C221,Table467[[#Headers],[22_5]],"")))/4)*$D221</f>
        <v>0</v>
      </c>
      <c r="AF221" s="51">
        <f>((LEN($C221)-LEN(SUBSTITUTE($C221,Table467[[#Headers],[22_6]],"")))/4)*$D221</f>
        <v>0</v>
      </c>
      <c r="AG221" s="51">
        <f t="shared" ref="AG221:AG233" si="53">SUM(E221:AF221)/2</f>
        <v>1.7062015470343712E-4</v>
      </c>
      <c r="AH221" s="51">
        <f t="shared" ref="AH221:AH233" si="54">D221-AG221</f>
        <v>0</v>
      </c>
      <c r="AI221" s="51">
        <f>Table467[[#This Row],[Column29]]/$D$233*0.5</f>
        <v>1.1929082446062762E-2</v>
      </c>
      <c r="AJ221" s="51">
        <f>Table467[[#This Row],[Column29]]/$D$233*1.5</f>
        <v>3.5787247338188284E-2</v>
      </c>
    </row>
    <row r="222" spans="3:36">
      <c r="C222" s="53" t="s">
        <v>534</v>
      </c>
      <c r="D222" s="44">
        <v>4.8372933719312278E-4</v>
      </c>
      <c r="E222" s="51">
        <f>((LEN($C222)-LEN(SUBSTITUTE($C222,Table467[[#Headers],[12_0]],"")))/4)*$D222</f>
        <v>0</v>
      </c>
      <c r="F222" s="51">
        <f>((LEN($C222)-LEN(SUBSTITUTE($C222,Table467[[#Headers],[13_0]],"")))/4)*$D222</f>
        <v>0</v>
      </c>
      <c r="G222" s="51">
        <f>((LEN($C222)-LEN(SUBSTITUTE($C222,Table467[[#Headers],[14_0]],"")))/4)*$D222</f>
        <v>4.8372933719312278E-4</v>
      </c>
      <c r="H222" s="51">
        <f>((LEN($C222)-LEN(SUBSTITUTE($C222,Table467[[#Headers],[14_1]],"")))/4)*$D222</f>
        <v>0</v>
      </c>
      <c r="I222" s="51">
        <f>((LEN($C222)-LEN(SUBSTITUTE($C222,Table467[[#Headers],[15_0]],"")))/4)*$D222</f>
        <v>0</v>
      </c>
      <c r="J222" s="51">
        <f>((LEN($C222)-LEN(SUBSTITUTE($C222,Table467[[#Headers],[15_1]],"")))/4)*$D222</f>
        <v>0</v>
      </c>
      <c r="K222" s="51">
        <f>((LEN($C222)-LEN(SUBSTITUTE($C222,Table467[[#Headers],[16_0]],"")))/4)*$D222</f>
        <v>0</v>
      </c>
      <c r="L222" s="51">
        <f>((LEN($C222)-LEN(SUBSTITUTE($C222,Table467[[#Headers],[16_1]],"")))/4)*$D222</f>
        <v>0</v>
      </c>
      <c r="M222" s="51">
        <f>((LEN($C222)-LEN(SUBSTITUTE($C222,Table467[[#Headers],[16_2]],"")))/4)*$D222</f>
        <v>0</v>
      </c>
      <c r="N222" s="51">
        <f>((LEN($C222)-LEN(SUBSTITUTE($C222,Table467[[#Headers],[16_3]],"")))/4)*$D222</f>
        <v>0</v>
      </c>
      <c r="O222" s="51">
        <f>((LEN($C222)-LEN(SUBSTITUTE($C222,Table467[[#Headers],[17_0]],"")))/4)*$D222</f>
        <v>0</v>
      </c>
      <c r="P222" s="51">
        <f>((LEN($C222)-LEN(SUBSTITUTE($C222,Table467[[#Headers],[17_1]],"")))/4)*$D222</f>
        <v>0</v>
      </c>
      <c r="Q222" s="51">
        <f>((LEN($C222)-LEN(SUBSTITUTE($C222,Table467[[#Headers],[18_0]],"")))/4)*$D222</f>
        <v>0</v>
      </c>
      <c r="R222" s="51">
        <f>((LEN($C222)-LEN(SUBSTITUTE($C222,Table467[[#Headers],[18_1]],"")))/4)*$D222</f>
        <v>0</v>
      </c>
      <c r="S222" s="51">
        <f>((LEN($C222)-LEN(SUBSTITUTE($C222,Table467[[#Headers],[18_2]],"")))/4)*$D222</f>
        <v>0</v>
      </c>
      <c r="T222" s="51">
        <f>((LEN($C222)-LEN(SUBSTITUTE($C222,Table467[[#Headers],[18_3]],"")))/4)*$D222</f>
        <v>0</v>
      </c>
      <c r="U222" s="51">
        <f>((LEN($C222)-LEN(SUBSTITUTE($C222,Table467[[#Headers],[18_4]],"")))/4)*$D222</f>
        <v>0</v>
      </c>
      <c r="V222" s="51">
        <f>((LEN($C222)-LEN(SUBSTITUTE($C222,Table467[[#Headers],[18_5]],"")))/4)*$D222</f>
        <v>0</v>
      </c>
      <c r="W222" s="51">
        <f>((LEN($C222)-LEN(SUBSTITUTE($C222,Table467[[#Headers],[19_1]],"")))/4)*$D222</f>
        <v>0</v>
      </c>
      <c r="X222" s="51">
        <f>((LEN($C222)-LEN(SUBSTITUTE($C222,Table467[[#Headers],[20_0]],"")))/4)*$D222</f>
        <v>0</v>
      </c>
      <c r="Y222" s="51">
        <f>((LEN($C222)-LEN(SUBSTITUTE($C222,Table467[[#Headers],[20_1]],"")))/4)*$D222</f>
        <v>0</v>
      </c>
      <c r="Z222" s="51">
        <f>((LEN($C222)-LEN(SUBSTITUTE($C222,Table467[[#Headers],[20_2]],"")))/4)*$D222</f>
        <v>0</v>
      </c>
      <c r="AA222" s="51">
        <f>((LEN($C222)-LEN(SUBSTITUTE($C222,Table467[[#Headers],[20_3]],"")))/4)*$D222</f>
        <v>0</v>
      </c>
      <c r="AB222" s="51">
        <f>((LEN($C222)-LEN(SUBSTITUTE($C222,Table467[[#Headers],[20_4]],"")))/4)*$D222</f>
        <v>0</v>
      </c>
      <c r="AC222" s="51">
        <f>((LEN($C222)-LEN(SUBSTITUTE($C222,Table467[[#Headers],[20_5]],"")))/4)*$D222</f>
        <v>4.8372933719312278E-4</v>
      </c>
      <c r="AD222" s="51">
        <f>((LEN($C222)-LEN(SUBSTITUTE($C222,Table467[[#Headers],[22_0]],"")))/4)*$D222</f>
        <v>0</v>
      </c>
      <c r="AE222" s="51">
        <f>((LEN($C222)-LEN(SUBSTITUTE($C222,Table467[[#Headers],[22_5]],"")))/4)*$D222</f>
        <v>0</v>
      </c>
      <c r="AF222" s="51">
        <f>((LEN($C222)-LEN(SUBSTITUTE($C222,Table467[[#Headers],[22_6]],"")))/4)*$D222</f>
        <v>0</v>
      </c>
      <c r="AG222" s="51">
        <f t="shared" si="53"/>
        <v>4.8372933719312278E-4</v>
      </c>
      <c r="AH222" s="51">
        <f t="shared" si="54"/>
        <v>0</v>
      </c>
      <c r="AI222" s="51">
        <f>Table467[[#This Row],[Column29]]/$D$233*0.5</f>
        <v>3.3820430856987209E-2</v>
      </c>
      <c r="AJ222" s="51">
        <f>Table467[[#This Row],[Column29]]/$D$233*1.5</f>
        <v>0.10146129257096162</v>
      </c>
    </row>
    <row r="223" spans="3:36">
      <c r="C223" s="53" t="s">
        <v>535</v>
      </c>
      <c r="D223" s="51">
        <v>2.7185783548281035E-4</v>
      </c>
      <c r="E223" s="51">
        <f>((LEN($C223)-LEN(SUBSTITUTE($C223,Table467[[#Headers],[12_0]],"")))/4)*$D223</f>
        <v>0</v>
      </c>
      <c r="F223" s="51">
        <f>((LEN($C223)-LEN(SUBSTITUTE($C223,Table467[[#Headers],[13_0]],"")))/4)*$D223</f>
        <v>0</v>
      </c>
      <c r="G223" s="51">
        <f>((LEN($C223)-LEN(SUBSTITUTE($C223,Table467[[#Headers],[14_0]],"")))/4)*$D223</f>
        <v>0</v>
      </c>
      <c r="H223" s="51">
        <f>((LEN($C223)-LEN(SUBSTITUTE($C223,Table467[[#Headers],[14_1]],"")))/4)*$D223</f>
        <v>0</v>
      </c>
      <c r="I223" s="51">
        <f>((LEN($C223)-LEN(SUBSTITUTE($C223,Table467[[#Headers],[15_0]],"")))/4)*$D223</f>
        <v>2.7185783548281035E-4</v>
      </c>
      <c r="J223" s="51">
        <f>((LEN($C223)-LEN(SUBSTITUTE($C223,Table467[[#Headers],[15_1]],"")))/4)*$D223</f>
        <v>0</v>
      </c>
      <c r="K223" s="51">
        <f>((LEN($C223)-LEN(SUBSTITUTE($C223,Table467[[#Headers],[16_0]],"")))/4)*$D223</f>
        <v>0</v>
      </c>
      <c r="L223" s="51">
        <f>((LEN($C223)-LEN(SUBSTITUTE($C223,Table467[[#Headers],[16_1]],"")))/4)*$D223</f>
        <v>0</v>
      </c>
      <c r="M223" s="51">
        <f>((LEN($C223)-LEN(SUBSTITUTE($C223,Table467[[#Headers],[16_2]],"")))/4)*$D223</f>
        <v>0</v>
      </c>
      <c r="N223" s="51">
        <f>((LEN($C223)-LEN(SUBSTITUTE($C223,Table467[[#Headers],[16_3]],"")))/4)*$D223</f>
        <v>0</v>
      </c>
      <c r="O223" s="51">
        <f>((LEN($C223)-LEN(SUBSTITUTE($C223,Table467[[#Headers],[17_0]],"")))/4)*$D223</f>
        <v>0</v>
      </c>
      <c r="P223" s="51">
        <f>((LEN($C223)-LEN(SUBSTITUTE($C223,Table467[[#Headers],[17_1]],"")))/4)*$D223</f>
        <v>0</v>
      </c>
      <c r="Q223" s="51">
        <f>((LEN($C223)-LEN(SUBSTITUTE($C223,Table467[[#Headers],[18_0]],"")))/4)*$D223</f>
        <v>0</v>
      </c>
      <c r="R223" s="51">
        <f>((LEN($C223)-LEN(SUBSTITUTE($C223,Table467[[#Headers],[18_1]],"")))/4)*$D223</f>
        <v>0</v>
      </c>
      <c r="S223" s="51">
        <f>((LEN($C223)-LEN(SUBSTITUTE($C223,Table467[[#Headers],[18_2]],"")))/4)*$D223</f>
        <v>0</v>
      </c>
      <c r="T223" s="51">
        <f>((LEN($C223)-LEN(SUBSTITUTE($C223,Table467[[#Headers],[18_3]],"")))/4)*$D223</f>
        <v>0</v>
      </c>
      <c r="U223" s="51">
        <f>((LEN($C223)-LEN(SUBSTITUTE($C223,Table467[[#Headers],[18_4]],"")))/4)*$D223</f>
        <v>0</v>
      </c>
      <c r="V223" s="51">
        <f>((LEN($C223)-LEN(SUBSTITUTE($C223,Table467[[#Headers],[18_5]],"")))/4)*$D223</f>
        <v>0</v>
      </c>
      <c r="W223" s="51">
        <f>((LEN($C223)-LEN(SUBSTITUTE($C223,Table467[[#Headers],[19_1]],"")))/4)*$D223</f>
        <v>0</v>
      </c>
      <c r="X223" s="51">
        <f>((LEN($C223)-LEN(SUBSTITUTE($C223,Table467[[#Headers],[20_0]],"")))/4)*$D223</f>
        <v>0</v>
      </c>
      <c r="Y223" s="51">
        <f>((LEN($C223)-LEN(SUBSTITUTE($C223,Table467[[#Headers],[20_1]],"")))/4)*$D223</f>
        <v>0</v>
      </c>
      <c r="Z223" s="51">
        <f>((LEN($C223)-LEN(SUBSTITUTE($C223,Table467[[#Headers],[20_2]],"")))/4)*$D223</f>
        <v>0</v>
      </c>
      <c r="AA223" s="51">
        <f>((LEN($C223)-LEN(SUBSTITUTE($C223,Table467[[#Headers],[20_3]],"")))/4)*$D223</f>
        <v>0</v>
      </c>
      <c r="AB223" s="51">
        <f>((LEN($C223)-LEN(SUBSTITUTE($C223,Table467[[#Headers],[20_4]],"")))/4)*$D223</f>
        <v>0</v>
      </c>
      <c r="AC223" s="51">
        <f>((LEN($C223)-LEN(SUBSTITUTE($C223,Table467[[#Headers],[20_5]],"")))/4)*$D223</f>
        <v>2.7185783548281035E-4</v>
      </c>
      <c r="AD223" s="51">
        <f>((LEN($C223)-LEN(SUBSTITUTE($C223,Table467[[#Headers],[22_0]],"")))/4)*$D223</f>
        <v>0</v>
      </c>
      <c r="AE223" s="51">
        <f>((LEN($C223)-LEN(SUBSTITUTE($C223,Table467[[#Headers],[22_5]],"")))/4)*$D223</f>
        <v>0</v>
      </c>
      <c r="AF223" s="51">
        <f>((LEN($C223)-LEN(SUBSTITUTE($C223,Table467[[#Headers],[22_6]],"")))/4)*$D223</f>
        <v>0</v>
      </c>
      <c r="AG223" s="51">
        <f t="shared" si="53"/>
        <v>2.7185783548281035E-4</v>
      </c>
      <c r="AH223" s="51">
        <f t="shared" si="54"/>
        <v>0</v>
      </c>
      <c r="AI223" s="51">
        <f>Table467[[#This Row],[Column29]]/$D$233*0.5</f>
        <v>1.9007218336658097E-2</v>
      </c>
      <c r="AJ223" s="51">
        <f>Table467[[#This Row],[Column29]]/$D$233*1.5</f>
        <v>5.702165500997429E-2</v>
      </c>
    </row>
    <row r="224" spans="3:36">
      <c r="C224" s="53" t="s">
        <v>536</v>
      </c>
      <c r="D224" s="44">
        <v>8.5688214699281571E-4</v>
      </c>
      <c r="E224" s="51">
        <f>((LEN($C224)-LEN(SUBSTITUTE($C224,Table467[[#Headers],[12_0]],"")))/4)*$D224</f>
        <v>0</v>
      </c>
      <c r="F224" s="51">
        <f>((LEN($C224)-LEN(SUBSTITUTE($C224,Table467[[#Headers],[13_0]],"")))/4)*$D224</f>
        <v>0</v>
      </c>
      <c r="G224" s="51">
        <f>((LEN($C224)-LEN(SUBSTITUTE($C224,Table467[[#Headers],[14_0]],"")))/4)*$D224</f>
        <v>0</v>
      </c>
      <c r="H224" s="51">
        <f>((LEN($C224)-LEN(SUBSTITUTE($C224,Table467[[#Headers],[14_1]],"")))/4)*$D224</f>
        <v>0</v>
      </c>
      <c r="I224" s="51">
        <f>((LEN($C224)-LEN(SUBSTITUTE($C224,Table467[[#Headers],[15_0]],"")))/4)*$D224</f>
        <v>0</v>
      </c>
      <c r="J224" s="51">
        <f>((LEN($C224)-LEN(SUBSTITUTE($C224,Table467[[#Headers],[15_1]],"")))/4)*$D224</f>
        <v>0</v>
      </c>
      <c r="K224" s="51">
        <f>((LEN($C224)-LEN(SUBSTITUTE($C224,Table467[[#Headers],[16_0]],"")))/4)*$D224</f>
        <v>8.5688214699281571E-4</v>
      </c>
      <c r="L224" s="51">
        <f>((LEN($C224)-LEN(SUBSTITUTE($C224,Table467[[#Headers],[16_1]],"")))/4)*$D224</f>
        <v>8.5688214699281571E-4</v>
      </c>
      <c r="M224" s="51">
        <f>((LEN($C224)-LEN(SUBSTITUTE($C224,Table467[[#Headers],[16_2]],"")))/4)*$D224</f>
        <v>0</v>
      </c>
      <c r="N224" s="51">
        <f>((LEN($C224)-LEN(SUBSTITUTE($C224,Table467[[#Headers],[16_3]],"")))/4)*$D224</f>
        <v>0</v>
      </c>
      <c r="O224" s="51">
        <f>((LEN($C224)-LEN(SUBSTITUTE($C224,Table467[[#Headers],[17_0]],"")))/4)*$D224</f>
        <v>0</v>
      </c>
      <c r="P224" s="51">
        <f>((LEN($C224)-LEN(SUBSTITUTE($C224,Table467[[#Headers],[17_1]],"")))/4)*$D224</f>
        <v>0</v>
      </c>
      <c r="Q224" s="51">
        <f>((LEN($C224)-LEN(SUBSTITUTE($C224,Table467[[#Headers],[18_0]],"")))/4)*$D224</f>
        <v>0</v>
      </c>
      <c r="R224" s="51">
        <f>((LEN($C224)-LEN(SUBSTITUTE($C224,Table467[[#Headers],[18_1]],"")))/4)*$D224</f>
        <v>0</v>
      </c>
      <c r="S224" s="51">
        <f>((LEN($C224)-LEN(SUBSTITUTE($C224,Table467[[#Headers],[18_2]],"")))/4)*$D224</f>
        <v>0</v>
      </c>
      <c r="T224" s="51">
        <f>((LEN($C224)-LEN(SUBSTITUTE($C224,Table467[[#Headers],[18_3]],"")))/4)*$D224</f>
        <v>0</v>
      </c>
      <c r="U224" s="51">
        <f>((LEN($C224)-LEN(SUBSTITUTE($C224,Table467[[#Headers],[18_4]],"")))/4)*$D224</f>
        <v>0</v>
      </c>
      <c r="V224" s="51">
        <f>((LEN($C224)-LEN(SUBSTITUTE($C224,Table467[[#Headers],[18_5]],"")))/4)*$D224</f>
        <v>0</v>
      </c>
      <c r="W224" s="51">
        <f>((LEN($C224)-LEN(SUBSTITUTE($C224,Table467[[#Headers],[19_1]],"")))/4)*$D224</f>
        <v>0</v>
      </c>
      <c r="X224" s="51">
        <f>((LEN($C224)-LEN(SUBSTITUTE($C224,Table467[[#Headers],[20_0]],"")))/4)*$D224</f>
        <v>0</v>
      </c>
      <c r="Y224" s="51">
        <f>((LEN($C224)-LEN(SUBSTITUTE($C224,Table467[[#Headers],[20_1]],"")))/4)*$D224</f>
        <v>0</v>
      </c>
      <c r="Z224" s="51">
        <f>((LEN($C224)-LEN(SUBSTITUTE($C224,Table467[[#Headers],[20_2]],"")))/4)*$D224</f>
        <v>0</v>
      </c>
      <c r="AA224" s="51">
        <f>((LEN($C224)-LEN(SUBSTITUTE($C224,Table467[[#Headers],[20_3]],"")))/4)*$D224</f>
        <v>0</v>
      </c>
      <c r="AB224" s="51">
        <f>((LEN($C224)-LEN(SUBSTITUTE($C224,Table467[[#Headers],[20_4]],"")))/4)*$D224</f>
        <v>0</v>
      </c>
      <c r="AC224" s="51">
        <f>((LEN($C224)-LEN(SUBSTITUTE($C224,Table467[[#Headers],[20_5]],"")))/4)*$D224</f>
        <v>0</v>
      </c>
      <c r="AD224" s="51">
        <f>((LEN($C224)-LEN(SUBSTITUTE($C224,Table467[[#Headers],[22_0]],"")))/4)*$D224</f>
        <v>0</v>
      </c>
      <c r="AE224" s="51">
        <f>((LEN($C224)-LEN(SUBSTITUTE($C224,Table467[[#Headers],[22_5]],"")))/4)*$D224</f>
        <v>0</v>
      </c>
      <c r="AF224" s="51">
        <f>((LEN($C224)-LEN(SUBSTITUTE($C224,Table467[[#Headers],[22_6]],"")))/4)*$D224</f>
        <v>0</v>
      </c>
      <c r="AG224" s="51">
        <f t="shared" si="53"/>
        <v>8.5688214699281571E-4</v>
      </c>
      <c r="AH224" s="51">
        <f t="shared" si="54"/>
        <v>0</v>
      </c>
      <c r="AI224" s="51">
        <f>Table467[[#This Row],[Column29]]/$D$233*0.5</f>
        <v>5.9909790820454882E-2</v>
      </c>
      <c r="AJ224" s="51">
        <f>Table467[[#This Row],[Column29]]/$D$233*1.5</f>
        <v>0.17972937246136464</v>
      </c>
    </row>
    <row r="225" spans="3:36">
      <c r="C225" s="53" t="s">
        <v>537</v>
      </c>
      <c r="D225" s="51">
        <v>8.9704491678700964E-4</v>
      </c>
      <c r="E225" s="51">
        <f>((LEN($C225)-LEN(SUBSTITUTE($C225,Table467[[#Headers],[12_0]],"")))/4)*$D225</f>
        <v>0</v>
      </c>
      <c r="F225" s="51">
        <f>((LEN($C225)-LEN(SUBSTITUTE($C225,Table467[[#Headers],[13_0]],"")))/4)*$D225</f>
        <v>0</v>
      </c>
      <c r="G225" s="51">
        <f>((LEN($C225)-LEN(SUBSTITUTE($C225,Table467[[#Headers],[14_0]],"")))/4)*$D225</f>
        <v>0</v>
      </c>
      <c r="H225" s="51">
        <f>((LEN($C225)-LEN(SUBSTITUTE($C225,Table467[[#Headers],[14_1]],"")))/4)*$D225</f>
        <v>0</v>
      </c>
      <c r="I225" s="51">
        <f>((LEN($C225)-LEN(SUBSTITUTE($C225,Table467[[#Headers],[15_0]],"")))/4)*$D225</f>
        <v>0</v>
      </c>
      <c r="J225" s="51">
        <f>((LEN($C225)-LEN(SUBSTITUTE($C225,Table467[[#Headers],[15_1]],"")))/4)*$D225</f>
        <v>0</v>
      </c>
      <c r="K225" s="51">
        <f>((LEN($C225)-LEN(SUBSTITUTE($C225,Table467[[#Headers],[16_0]],"")))/4)*$D225</f>
        <v>8.9704491678700964E-4</v>
      </c>
      <c r="L225" s="51">
        <f>((LEN($C225)-LEN(SUBSTITUTE($C225,Table467[[#Headers],[16_1]],"")))/4)*$D225</f>
        <v>0</v>
      </c>
      <c r="M225" s="51">
        <f>((LEN($C225)-LEN(SUBSTITUTE($C225,Table467[[#Headers],[16_2]],"")))/4)*$D225</f>
        <v>0</v>
      </c>
      <c r="N225" s="51">
        <f>((LEN($C225)-LEN(SUBSTITUTE($C225,Table467[[#Headers],[16_3]],"")))/4)*$D225</f>
        <v>0</v>
      </c>
      <c r="O225" s="51">
        <f>((LEN($C225)-LEN(SUBSTITUTE($C225,Table467[[#Headers],[17_0]],"")))/4)*$D225</f>
        <v>0</v>
      </c>
      <c r="P225" s="51">
        <f>((LEN($C225)-LEN(SUBSTITUTE($C225,Table467[[#Headers],[17_1]],"")))/4)*$D225</f>
        <v>0</v>
      </c>
      <c r="Q225" s="51">
        <f>((LEN($C225)-LEN(SUBSTITUTE($C225,Table467[[#Headers],[18_0]],"")))/4)*$D225</f>
        <v>0</v>
      </c>
      <c r="R225" s="51">
        <f>((LEN($C225)-LEN(SUBSTITUTE($C225,Table467[[#Headers],[18_1]],"")))/4)*$D225</f>
        <v>0</v>
      </c>
      <c r="S225" s="51">
        <f>((LEN($C225)-LEN(SUBSTITUTE($C225,Table467[[#Headers],[18_2]],"")))/4)*$D225</f>
        <v>0</v>
      </c>
      <c r="T225" s="51">
        <f>((LEN($C225)-LEN(SUBSTITUTE($C225,Table467[[#Headers],[18_3]],"")))/4)*$D225</f>
        <v>0</v>
      </c>
      <c r="U225" s="51">
        <f>((LEN($C225)-LEN(SUBSTITUTE($C225,Table467[[#Headers],[18_4]],"")))/4)*$D225</f>
        <v>0</v>
      </c>
      <c r="V225" s="51">
        <f>((LEN($C225)-LEN(SUBSTITUTE($C225,Table467[[#Headers],[18_5]],"")))/4)*$D225</f>
        <v>0</v>
      </c>
      <c r="W225" s="51">
        <f>((LEN($C225)-LEN(SUBSTITUTE($C225,Table467[[#Headers],[19_1]],"")))/4)*$D225</f>
        <v>0</v>
      </c>
      <c r="X225" s="51">
        <f>((LEN($C225)-LEN(SUBSTITUTE($C225,Table467[[#Headers],[20_0]],"")))/4)*$D225</f>
        <v>0</v>
      </c>
      <c r="Y225" s="51">
        <f>((LEN($C225)-LEN(SUBSTITUTE($C225,Table467[[#Headers],[20_1]],"")))/4)*$D225</f>
        <v>0</v>
      </c>
      <c r="Z225" s="51">
        <f>((LEN($C225)-LEN(SUBSTITUTE($C225,Table467[[#Headers],[20_2]],"")))/4)*$D225</f>
        <v>0</v>
      </c>
      <c r="AA225" s="51">
        <f>((LEN($C225)-LEN(SUBSTITUTE($C225,Table467[[#Headers],[20_3]],"")))/4)*$D225</f>
        <v>0</v>
      </c>
      <c r="AB225" s="51">
        <f>((LEN($C225)-LEN(SUBSTITUTE($C225,Table467[[#Headers],[20_4]],"")))/4)*$D225</f>
        <v>0</v>
      </c>
      <c r="AC225" s="51">
        <f>((LEN($C225)-LEN(SUBSTITUTE($C225,Table467[[#Headers],[20_5]],"")))/4)*$D225</f>
        <v>8.9704491678700964E-4</v>
      </c>
      <c r="AD225" s="51">
        <f>((LEN($C225)-LEN(SUBSTITUTE($C225,Table467[[#Headers],[22_0]],"")))/4)*$D225</f>
        <v>0</v>
      </c>
      <c r="AE225" s="51">
        <f>((LEN($C225)-LEN(SUBSTITUTE($C225,Table467[[#Headers],[22_5]],"")))/4)*$D225</f>
        <v>0</v>
      </c>
      <c r="AF225" s="51">
        <f>((LEN($C225)-LEN(SUBSTITUTE($C225,Table467[[#Headers],[22_6]],"")))/4)*$D225</f>
        <v>0</v>
      </c>
      <c r="AG225" s="51">
        <f t="shared" si="53"/>
        <v>8.9704491678700964E-4</v>
      </c>
      <c r="AH225" s="51">
        <f t="shared" si="54"/>
        <v>0</v>
      </c>
      <c r="AI225" s="51">
        <f>Table467[[#This Row],[Column29]]/$D$233*0.5</f>
        <v>6.2717811906650323E-2</v>
      </c>
      <c r="AJ225" s="51">
        <f>Table467[[#This Row],[Column29]]/$D$233*1.5</f>
        <v>0.18815343571995097</v>
      </c>
    </row>
    <row r="226" spans="3:36">
      <c r="C226" s="53" t="s">
        <v>538</v>
      </c>
      <c r="D226" s="44">
        <v>1.1491078350602708E-3</v>
      </c>
      <c r="E226" s="51">
        <f>((LEN($C226)-LEN(SUBSTITUTE($C226,Table467[[#Headers],[12_0]],"")))/4)*$D226</f>
        <v>0</v>
      </c>
      <c r="F226" s="51">
        <f>((LEN($C226)-LEN(SUBSTITUTE($C226,Table467[[#Headers],[13_0]],"")))/4)*$D226</f>
        <v>0</v>
      </c>
      <c r="G226" s="51">
        <f>((LEN($C226)-LEN(SUBSTITUTE($C226,Table467[[#Headers],[14_0]],"")))/4)*$D226</f>
        <v>0</v>
      </c>
      <c r="H226" s="51">
        <f>((LEN($C226)-LEN(SUBSTITUTE($C226,Table467[[#Headers],[14_1]],"")))/4)*$D226</f>
        <v>0</v>
      </c>
      <c r="I226" s="51">
        <f>((LEN($C226)-LEN(SUBSTITUTE($C226,Table467[[#Headers],[15_0]],"")))/4)*$D226</f>
        <v>0</v>
      </c>
      <c r="J226" s="51">
        <f>((LEN($C226)-LEN(SUBSTITUTE($C226,Table467[[#Headers],[15_1]],"")))/4)*$D226</f>
        <v>0</v>
      </c>
      <c r="K226" s="51">
        <f>((LEN($C226)-LEN(SUBSTITUTE($C226,Table467[[#Headers],[16_0]],"")))/4)*$D226</f>
        <v>0</v>
      </c>
      <c r="L226" s="51">
        <f>((LEN($C226)-LEN(SUBSTITUTE($C226,Table467[[#Headers],[16_1]],"")))/4)*$D226</f>
        <v>2.2982156701205417E-3</v>
      </c>
      <c r="M226" s="51">
        <f>((LEN($C226)-LEN(SUBSTITUTE($C226,Table467[[#Headers],[16_2]],"")))/4)*$D226</f>
        <v>0</v>
      </c>
      <c r="N226" s="51">
        <f>((LEN($C226)-LEN(SUBSTITUTE($C226,Table467[[#Headers],[16_3]],"")))/4)*$D226</f>
        <v>0</v>
      </c>
      <c r="O226" s="51">
        <f>((LEN($C226)-LEN(SUBSTITUTE($C226,Table467[[#Headers],[17_0]],"")))/4)*$D226</f>
        <v>0</v>
      </c>
      <c r="P226" s="51">
        <f>((LEN($C226)-LEN(SUBSTITUTE($C226,Table467[[#Headers],[17_1]],"")))/4)*$D226</f>
        <v>0</v>
      </c>
      <c r="Q226" s="51">
        <f>((LEN($C226)-LEN(SUBSTITUTE($C226,Table467[[#Headers],[18_0]],"")))/4)*$D226</f>
        <v>0</v>
      </c>
      <c r="R226" s="51">
        <f>((LEN($C226)-LEN(SUBSTITUTE($C226,Table467[[#Headers],[18_1]],"")))/4)*$D226</f>
        <v>0</v>
      </c>
      <c r="S226" s="51">
        <f>((LEN($C226)-LEN(SUBSTITUTE($C226,Table467[[#Headers],[18_2]],"")))/4)*$D226</f>
        <v>0</v>
      </c>
      <c r="T226" s="51">
        <f>((LEN($C226)-LEN(SUBSTITUTE($C226,Table467[[#Headers],[18_3]],"")))/4)*$D226</f>
        <v>0</v>
      </c>
      <c r="U226" s="51">
        <f>((LEN($C226)-LEN(SUBSTITUTE($C226,Table467[[#Headers],[18_4]],"")))/4)*$D226</f>
        <v>0</v>
      </c>
      <c r="V226" s="51">
        <f>((LEN($C226)-LEN(SUBSTITUTE($C226,Table467[[#Headers],[18_5]],"")))/4)*$D226</f>
        <v>0</v>
      </c>
      <c r="W226" s="51">
        <f>((LEN($C226)-LEN(SUBSTITUTE($C226,Table467[[#Headers],[19_1]],"")))/4)*$D226</f>
        <v>0</v>
      </c>
      <c r="X226" s="51">
        <f>((LEN($C226)-LEN(SUBSTITUTE($C226,Table467[[#Headers],[20_0]],"")))/4)*$D226</f>
        <v>0</v>
      </c>
      <c r="Y226" s="51">
        <f>((LEN($C226)-LEN(SUBSTITUTE($C226,Table467[[#Headers],[20_1]],"")))/4)*$D226</f>
        <v>0</v>
      </c>
      <c r="Z226" s="51">
        <f>((LEN($C226)-LEN(SUBSTITUTE($C226,Table467[[#Headers],[20_2]],"")))/4)*$D226</f>
        <v>0</v>
      </c>
      <c r="AA226" s="51">
        <f>((LEN($C226)-LEN(SUBSTITUTE($C226,Table467[[#Headers],[20_3]],"")))/4)*$D226</f>
        <v>0</v>
      </c>
      <c r="AB226" s="51">
        <f>((LEN($C226)-LEN(SUBSTITUTE($C226,Table467[[#Headers],[20_4]],"")))/4)*$D226</f>
        <v>0</v>
      </c>
      <c r="AC226" s="51">
        <f>((LEN($C226)-LEN(SUBSTITUTE($C226,Table467[[#Headers],[20_5]],"")))/4)*$D226</f>
        <v>0</v>
      </c>
      <c r="AD226" s="51">
        <f>((LEN($C226)-LEN(SUBSTITUTE($C226,Table467[[#Headers],[22_0]],"")))/4)*$D226</f>
        <v>0</v>
      </c>
      <c r="AE226" s="51">
        <f>((LEN($C226)-LEN(SUBSTITUTE($C226,Table467[[#Headers],[22_5]],"")))/4)*$D226</f>
        <v>0</v>
      </c>
      <c r="AF226" s="51">
        <f>((LEN($C226)-LEN(SUBSTITUTE($C226,Table467[[#Headers],[22_6]],"")))/4)*$D226</f>
        <v>0</v>
      </c>
      <c r="AG226" s="51">
        <f t="shared" si="53"/>
        <v>1.1491078350602708E-3</v>
      </c>
      <c r="AH226" s="51">
        <f t="shared" si="54"/>
        <v>0</v>
      </c>
      <c r="AI226" s="51">
        <f>Table467[[#This Row],[Column29]]/$D$233*0.5</f>
        <v>8.034104838128199E-2</v>
      </c>
      <c r="AJ226" s="51">
        <f>Table467[[#This Row],[Column29]]/$D$233*1.5</f>
        <v>0.24102314514384598</v>
      </c>
    </row>
    <row r="227" spans="3:36">
      <c r="C227" s="53" t="s">
        <v>539</v>
      </c>
      <c r="D227" s="51">
        <v>5.3769984952711802E-4</v>
      </c>
      <c r="E227" s="51">
        <f>((LEN($C227)-LEN(SUBSTITUTE($C227,Table467[[#Headers],[12_0]],"")))/4)*$D227</f>
        <v>0</v>
      </c>
      <c r="F227" s="51">
        <f>((LEN($C227)-LEN(SUBSTITUTE($C227,Table467[[#Headers],[13_0]],"")))/4)*$D227</f>
        <v>0</v>
      </c>
      <c r="G227" s="51">
        <f>((LEN($C227)-LEN(SUBSTITUTE($C227,Table467[[#Headers],[14_0]],"")))/4)*$D227</f>
        <v>0</v>
      </c>
      <c r="H227" s="51">
        <f>((LEN($C227)-LEN(SUBSTITUTE($C227,Table467[[#Headers],[14_1]],"")))/4)*$D227</f>
        <v>0</v>
      </c>
      <c r="I227" s="51">
        <f>((LEN($C227)-LEN(SUBSTITUTE($C227,Table467[[#Headers],[15_0]],"")))/4)*$D227</f>
        <v>0</v>
      </c>
      <c r="J227" s="51">
        <f>((LEN($C227)-LEN(SUBSTITUTE($C227,Table467[[#Headers],[15_1]],"")))/4)*$D227</f>
        <v>0</v>
      </c>
      <c r="K227" s="51">
        <f>((LEN($C227)-LEN(SUBSTITUTE($C227,Table467[[#Headers],[16_0]],"")))/4)*$D227</f>
        <v>0</v>
      </c>
      <c r="L227" s="51">
        <f>((LEN($C227)-LEN(SUBSTITUTE($C227,Table467[[#Headers],[16_1]],"")))/4)*$D227</f>
        <v>5.3769984952711802E-4</v>
      </c>
      <c r="M227" s="51">
        <f>((LEN($C227)-LEN(SUBSTITUTE($C227,Table467[[#Headers],[16_2]],"")))/4)*$D227</f>
        <v>0</v>
      </c>
      <c r="N227" s="51">
        <f>((LEN($C227)-LEN(SUBSTITUTE($C227,Table467[[#Headers],[16_3]],"")))/4)*$D227</f>
        <v>0</v>
      </c>
      <c r="O227" s="51">
        <f>((LEN($C227)-LEN(SUBSTITUTE($C227,Table467[[#Headers],[17_0]],"")))/4)*$D227</f>
        <v>0</v>
      </c>
      <c r="P227" s="51">
        <f>((LEN($C227)-LEN(SUBSTITUTE($C227,Table467[[#Headers],[17_1]],"")))/4)*$D227</f>
        <v>0</v>
      </c>
      <c r="Q227" s="51">
        <f>((LEN($C227)-LEN(SUBSTITUTE($C227,Table467[[#Headers],[18_0]],"")))/4)*$D227</f>
        <v>0</v>
      </c>
      <c r="R227" s="51">
        <f>((LEN($C227)-LEN(SUBSTITUTE($C227,Table467[[#Headers],[18_1]],"")))/4)*$D227</f>
        <v>0</v>
      </c>
      <c r="S227" s="51">
        <f>((LEN($C227)-LEN(SUBSTITUTE($C227,Table467[[#Headers],[18_2]],"")))/4)*$D227</f>
        <v>0</v>
      </c>
      <c r="T227" s="51">
        <f>((LEN($C227)-LEN(SUBSTITUTE($C227,Table467[[#Headers],[18_3]],"")))/4)*$D227</f>
        <v>0</v>
      </c>
      <c r="U227" s="51">
        <f>((LEN($C227)-LEN(SUBSTITUTE($C227,Table467[[#Headers],[18_4]],"")))/4)*$D227</f>
        <v>0</v>
      </c>
      <c r="V227" s="51">
        <f>((LEN($C227)-LEN(SUBSTITUTE($C227,Table467[[#Headers],[18_5]],"")))/4)*$D227</f>
        <v>0</v>
      </c>
      <c r="W227" s="51">
        <f>((LEN($C227)-LEN(SUBSTITUTE($C227,Table467[[#Headers],[19_1]],"")))/4)*$D227</f>
        <v>0</v>
      </c>
      <c r="X227" s="51">
        <f>((LEN($C227)-LEN(SUBSTITUTE($C227,Table467[[#Headers],[20_0]],"")))/4)*$D227</f>
        <v>0</v>
      </c>
      <c r="Y227" s="51">
        <f>((LEN($C227)-LEN(SUBSTITUTE($C227,Table467[[#Headers],[20_1]],"")))/4)*$D227</f>
        <v>0</v>
      </c>
      <c r="Z227" s="51">
        <f>((LEN($C227)-LEN(SUBSTITUTE($C227,Table467[[#Headers],[20_2]],"")))/4)*$D227</f>
        <v>0</v>
      </c>
      <c r="AA227" s="51">
        <f>((LEN($C227)-LEN(SUBSTITUTE($C227,Table467[[#Headers],[20_3]],"")))/4)*$D227</f>
        <v>0</v>
      </c>
      <c r="AB227" s="51">
        <f>((LEN($C227)-LEN(SUBSTITUTE($C227,Table467[[#Headers],[20_4]],"")))/4)*$D227</f>
        <v>0</v>
      </c>
      <c r="AC227" s="51">
        <f>((LEN($C227)-LEN(SUBSTITUTE($C227,Table467[[#Headers],[20_5]],"")))/4)*$D227</f>
        <v>5.3769984952711802E-4</v>
      </c>
      <c r="AD227" s="51">
        <f>((LEN($C227)-LEN(SUBSTITUTE($C227,Table467[[#Headers],[22_0]],"")))/4)*$D227</f>
        <v>0</v>
      </c>
      <c r="AE227" s="51">
        <f>((LEN($C227)-LEN(SUBSTITUTE($C227,Table467[[#Headers],[22_5]],"")))/4)*$D227</f>
        <v>0</v>
      </c>
      <c r="AF227" s="51">
        <f>((LEN($C227)-LEN(SUBSTITUTE($C227,Table467[[#Headers],[22_6]],"")))/4)*$D227</f>
        <v>0</v>
      </c>
      <c r="AG227" s="51">
        <f t="shared" si="53"/>
        <v>5.3769984952711802E-4</v>
      </c>
      <c r="AH227" s="51">
        <f t="shared" si="54"/>
        <v>0</v>
      </c>
      <c r="AI227" s="51">
        <f>Table467[[#This Row],[Column29]]/$D$233*0.5</f>
        <v>3.7593834370819014E-2</v>
      </c>
      <c r="AJ227" s="51">
        <f>Table467[[#This Row],[Column29]]/$D$233*1.5</f>
        <v>0.11278150311245705</v>
      </c>
    </row>
    <row r="228" spans="3:36">
      <c r="C228" s="53" t="s">
        <v>540</v>
      </c>
      <c r="D228" s="44">
        <v>3.2009899406585063E-4</v>
      </c>
      <c r="E228" s="51">
        <f>((LEN($C228)-LEN(SUBSTITUTE($C228,Table467[[#Headers],[12_0]],"")))/4)*$D228</f>
        <v>0</v>
      </c>
      <c r="F228" s="51">
        <f>((LEN($C228)-LEN(SUBSTITUTE($C228,Table467[[#Headers],[13_0]],"")))/4)*$D228</f>
        <v>0</v>
      </c>
      <c r="G228" s="51">
        <f>((LEN($C228)-LEN(SUBSTITUTE($C228,Table467[[#Headers],[14_0]],"")))/4)*$D228</f>
        <v>0</v>
      </c>
      <c r="H228" s="51">
        <f>((LEN($C228)-LEN(SUBSTITUTE($C228,Table467[[#Headers],[14_1]],"")))/4)*$D228</f>
        <v>0</v>
      </c>
      <c r="I228" s="51">
        <f>((LEN($C228)-LEN(SUBSTITUTE($C228,Table467[[#Headers],[15_0]],"")))/4)*$D228</f>
        <v>0</v>
      </c>
      <c r="J228" s="51">
        <f>((LEN($C228)-LEN(SUBSTITUTE($C228,Table467[[#Headers],[15_1]],"")))/4)*$D228</f>
        <v>0</v>
      </c>
      <c r="K228" s="51">
        <f>((LEN($C228)-LEN(SUBSTITUTE($C228,Table467[[#Headers],[16_0]],"")))/4)*$D228</f>
        <v>0</v>
      </c>
      <c r="L228" s="51">
        <f>((LEN($C228)-LEN(SUBSTITUTE($C228,Table467[[#Headers],[16_1]],"")))/4)*$D228</f>
        <v>0</v>
      </c>
      <c r="M228" s="51">
        <f>((LEN($C228)-LEN(SUBSTITUTE($C228,Table467[[#Headers],[16_2]],"")))/4)*$D228</f>
        <v>3.2009899406585063E-4</v>
      </c>
      <c r="N228" s="51">
        <f>((LEN($C228)-LEN(SUBSTITUTE($C228,Table467[[#Headers],[16_3]],"")))/4)*$D228</f>
        <v>0</v>
      </c>
      <c r="O228" s="51">
        <f>((LEN($C228)-LEN(SUBSTITUTE($C228,Table467[[#Headers],[17_0]],"")))/4)*$D228</f>
        <v>0</v>
      </c>
      <c r="P228" s="51">
        <f>((LEN($C228)-LEN(SUBSTITUTE($C228,Table467[[#Headers],[17_1]],"")))/4)*$D228</f>
        <v>0</v>
      </c>
      <c r="Q228" s="51">
        <f>((LEN($C228)-LEN(SUBSTITUTE($C228,Table467[[#Headers],[18_0]],"")))/4)*$D228</f>
        <v>0</v>
      </c>
      <c r="R228" s="51">
        <f>((LEN($C228)-LEN(SUBSTITUTE($C228,Table467[[#Headers],[18_1]],"")))/4)*$D228</f>
        <v>0</v>
      </c>
      <c r="S228" s="51">
        <f>((LEN($C228)-LEN(SUBSTITUTE($C228,Table467[[#Headers],[18_2]],"")))/4)*$D228</f>
        <v>0</v>
      </c>
      <c r="T228" s="51">
        <f>((LEN($C228)-LEN(SUBSTITUTE($C228,Table467[[#Headers],[18_3]],"")))/4)*$D228</f>
        <v>0</v>
      </c>
      <c r="U228" s="51">
        <f>((LEN($C228)-LEN(SUBSTITUTE($C228,Table467[[#Headers],[18_4]],"")))/4)*$D228</f>
        <v>0</v>
      </c>
      <c r="V228" s="51">
        <f>((LEN($C228)-LEN(SUBSTITUTE($C228,Table467[[#Headers],[18_5]],"")))/4)*$D228</f>
        <v>0</v>
      </c>
      <c r="W228" s="51">
        <f>((LEN($C228)-LEN(SUBSTITUTE($C228,Table467[[#Headers],[19_1]],"")))/4)*$D228</f>
        <v>0</v>
      </c>
      <c r="X228" s="51">
        <f>((LEN($C228)-LEN(SUBSTITUTE($C228,Table467[[#Headers],[20_0]],"")))/4)*$D228</f>
        <v>0</v>
      </c>
      <c r="Y228" s="51">
        <f>((LEN($C228)-LEN(SUBSTITUTE($C228,Table467[[#Headers],[20_1]],"")))/4)*$D228</f>
        <v>0</v>
      </c>
      <c r="Z228" s="51">
        <f>((LEN($C228)-LEN(SUBSTITUTE($C228,Table467[[#Headers],[20_2]],"")))/4)*$D228</f>
        <v>0</v>
      </c>
      <c r="AA228" s="51">
        <f>((LEN($C228)-LEN(SUBSTITUTE($C228,Table467[[#Headers],[20_3]],"")))/4)*$D228</f>
        <v>0</v>
      </c>
      <c r="AB228" s="51">
        <f>((LEN($C228)-LEN(SUBSTITUTE($C228,Table467[[#Headers],[20_4]],"")))/4)*$D228</f>
        <v>0</v>
      </c>
      <c r="AC228" s="51">
        <f>((LEN($C228)-LEN(SUBSTITUTE($C228,Table467[[#Headers],[20_5]],"")))/4)*$D228</f>
        <v>3.2009899406585063E-4</v>
      </c>
      <c r="AD228" s="51">
        <f>((LEN($C228)-LEN(SUBSTITUTE($C228,Table467[[#Headers],[22_0]],"")))/4)*$D228</f>
        <v>0</v>
      </c>
      <c r="AE228" s="51">
        <f>((LEN($C228)-LEN(SUBSTITUTE($C228,Table467[[#Headers],[22_5]],"")))/4)*$D228</f>
        <v>0</v>
      </c>
      <c r="AF228" s="51">
        <f>((LEN($C228)-LEN(SUBSTITUTE($C228,Table467[[#Headers],[22_6]],"")))/4)*$D228</f>
        <v>0</v>
      </c>
      <c r="AG228" s="51">
        <f t="shared" si="53"/>
        <v>3.2009899406585063E-4</v>
      </c>
      <c r="AH228" s="51">
        <f t="shared" si="54"/>
        <v>0</v>
      </c>
      <c r="AI228" s="51">
        <f>Table467[[#This Row],[Column29]]/$D$233*0.5</f>
        <v>2.2380048229064021E-2</v>
      </c>
      <c r="AJ228" s="51">
        <f>Table467[[#This Row],[Column29]]/$D$233*1.5</f>
        <v>6.7140144687192066E-2</v>
      </c>
    </row>
    <row r="229" spans="3:36">
      <c r="C229" s="53" t="s">
        <v>541</v>
      </c>
      <c r="D229" s="51">
        <v>1.0246949183582849E-4</v>
      </c>
      <c r="E229" s="51">
        <f>((LEN($C229)-LEN(SUBSTITUTE($C229,Table467[[#Headers],[12_0]],"")))/4)*$D229</f>
        <v>0</v>
      </c>
      <c r="F229" s="51">
        <f>((LEN($C229)-LEN(SUBSTITUTE($C229,Table467[[#Headers],[13_0]],"")))/4)*$D229</f>
        <v>0</v>
      </c>
      <c r="G229" s="51">
        <f>((LEN($C229)-LEN(SUBSTITUTE($C229,Table467[[#Headers],[14_0]],"")))/4)*$D229</f>
        <v>0</v>
      </c>
      <c r="H229" s="51">
        <f>((LEN($C229)-LEN(SUBSTITUTE($C229,Table467[[#Headers],[14_1]],"")))/4)*$D229</f>
        <v>0</v>
      </c>
      <c r="I229" s="51">
        <f>((LEN($C229)-LEN(SUBSTITUTE($C229,Table467[[#Headers],[15_0]],"")))/4)*$D229</f>
        <v>0</v>
      </c>
      <c r="J229" s="51">
        <f>((LEN($C229)-LEN(SUBSTITUTE($C229,Table467[[#Headers],[15_1]],"")))/4)*$D229</f>
        <v>0</v>
      </c>
      <c r="K229" s="51">
        <f>((LEN($C229)-LEN(SUBSTITUTE($C229,Table467[[#Headers],[16_0]],"")))/4)*$D229</f>
        <v>0</v>
      </c>
      <c r="L229" s="51">
        <f>((LEN($C229)-LEN(SUBSTITUTE($C229,Table467[[#Headers],[16_1]],"")))/4)*$D229</f>
        <v>0</v>
      </c>
      <c r="M229" s="51">
        <f>((LEN($C229)-LEN(SUBSTITUTE($C229,Table467[[#Headers],[16_2]],"")))/4)*$D229</f>
        <v>0</v>
      </c>
      <c r="N229" s="51">
        <f>((LEN($C229)-LEN(SUBSTITUTE($C229,Table467[[#Headers],[16_3]],"")))/4)*$D229</f>
        <v>1.0246949183582849E-4</v>
      </c>
      <c r="O229" s="51">
        <f>((LEN($C229)-LEN(SUBSTITUTE($C229,Table467[[#Headers],[17_0]],"")))/4)*$D229</f>
        <v>0</v>
      </c>
      <c r="P229" s="51">
        <f>((LEN($C229)-LEN(SUBSTITUTE($C229,Table467[[#Headers],[17_1]],"")))/4)*$D229</f>
        <v>0</v>
      </c>
      <c r="Q229" s="51">
        <f>((LEN($C229)-LEN(SUBSTITUTE($C229,Table467[[#Headers],[18_0]],"")))/4)*$D229</f>
        <v>0</v>
      </c>
      <c r="R229" s="51">
        <f>((LEN($C229)-LEN(SUBSTITUTE($C229,Table467[[#Headers],[18_1]],"")))/4)*$D229</f>
        <v>0</v>
      </c>
      <c r="S229" s="51">
        <f>((LEN($C229)-LEN(SUBSTITUTE($C229,Table467[[#Headers],[18_2]],"")))/4)*$D229</f>
        <v>0</v>
      </c>
      <c r="T229" s="51">
        <f>((LEN($C229)-LEN(SUBSTITUTE($C229,Table467[[#Headers],[18_3]],"")))/4)*$D229</f>
        <v>0</v>
      </c>
      <c r="U229" s="51">
        <f>((LEN($C229)-LEN(SUBSTITUTE($C229,Table467[[#Headers],[18_4]],"")))/4)*$D229</f>
        <v>0</v>
      </c>
      <c r="V229" s="51">
        <f>((LEN($C229)-LEN(SUBSTITUTE($C229,Table467[[#Headers],[18_5]],"")))/4)*$D229</f>
        <v>0</v>
      </c>
      <c r="W229" s="51">
        <f>((LEN($C229)-LEN(SUBSTITUTE($C229,Table467[[#Headers],[19_1]],"")))/4)*$D229</f>
        <v>0</v>
      </c>
      <c r="X229" s="51">
        <f>((LEN($C229)-LEN(SUBSTITUTE($C229,Table467[[#Headers],[20_0]],"")))/4)*$D229</f>
        <v>0</v>
      </c>
      <c r="Y229" s="51">
        <f>((LEN($C229)-LEN(SUBSTITUTE($C229,Table467[[#Headers],[20_1]],"")))/4)*$D229</f>
        <v>0</v>
      </c>
      <c r="Z229" s="51">
        <f>((LEN($C229)-LEN(SUBSTITUTE($C229,Table467[[#Headers],[20_2]],"")))/4)*$D229</f>
        <v>0</v>
      </c>
      <c r="AA229" s="51">
        <f>((LEN($C229)-LEN(SUBSTITUTE($C229,Table467[[#Headers],[20_3]],"")))/4)*$D229</f>
        <v>0</v>
      </c>
      <c r="AB229" s="51">
        <f>((LEN($C229)-LEN(SUBSTITUTE($C229,Table467[[#Headers],[20_4]],"")))/4)*$D229</f>
        <v>0</v>
      </c>
      <c r="AC229" s="51">
        <f>((LEN($C229)-LEN(SUBSTITUTE($C229,Table467[[#Headers],[20_5]],"")))/4)*$D229</f>
        <v>1.0246949183582849E-4</v>
      </c>
      <c r="AD229" s="51">
        <f>((LEN($C229)-LEN(SUBSTITUTE($C229,Table467[[#Headers],[22_0]],"")))/4)*$D229</f>
        <v>0</v>
      </c>
      <c r="AE229" s="51">
        <f>((LEN($C229)-LEN(SUBSTITUTE($C229,Table467[[#Headers],[22_5]],"")))/4)*$D229</f>
        <v>0</v>
      </c>
      <c r="AF229" s="51">
        <f>((LEN($C229)-LEN(SUBSTITUTE($C229,Table467[[#Headers],[22_6]],"")))/4)*$D229</f>
        <v>0</v>
      </c>
      <c r="AG229" s="51">
        <f t="shared" si="53"/>
        <v>1.0246949183582849E-4</v>
      </c>
      <c r="AH229" s="51">
        <f t="shared" si="54"/>
        <v>0</v>
      </c>
      <c r="AI229" s="51">
        <f>Table467[[#This Row],[Column29]]/$D$233*0.5</f>
        <v>7.1642592192018963E-3</v>
      </c>
      <c r="AJ229" s="51">
        <f>Table467[[#This Row],[Column29]]/$D$233*1.5</f>
        <v>2.149277765760569E-2</v>
      </c>
    </row>
    <row r="230" spans="3:36">
      <c r="C230" s="53" t="s">
        <v>542</v>
      </c>
      <c r="D230" s="51">
        <v>7.0556991443009674E-5</v>
      </c>
      <c r="E230" s="51">
        <f>((LEN($C230)-LEN(SUBSTITUTE($C230,Table467[[#Headers],[12_0]],"")))/4)*$D230</f>
        <v>0</v>
      </c>
      <c r="F230" s="51">
        <f>((LEN($C230)-LEN(SUBSTITUTE($C230,Table467[[#Headers],[13_0]],"")))/4)*$D230</f>
        <v>0</v>
      </c>
      <c r="G230" s="51">
        <f>((LEN($C230)-LEN(SUBSTITUTE($C230,Table467[[#Headers],[14_0]],"")))/4)*$D230</f>
        <v>0</v>
      </c>
      <c r="H230" s="51">
        <f>((LEN($C230)-LEN(SUBSTITUTE($C230,Table467[[#Headers],[14_1]],"")))/4)*$D230</f>
        <v>0</v>
      </c>
      <c r="I230" s="51">
        <f>((LEN($C230)-LEN(SUBSTITUTE($C230,Table467[[#Headers],[15_0]],"")))/4)*$D230</f>
        <v>0</v>
      </c>
      <c r="J230" s="51">
        <f>((LEN($C230)-LEN(SUBSTITUTE($C230,Table467[[#Headers],[15_1]],"")))/4)*$D230</f>
        <v>0</v>
      </c>
      <c r="K230" s="51">
        <f>((LEN($C230)-LEN(SUBSTITUTE($C230,Table467[[#Headers],[16_0]],"")))/4)*$D230</f>
        <v>0</v>
      </c>
      <c r="L230" s="51">
        <f>((LEN($C230)-LEN(SUBSTITUTE($C230,Table467[[#Headers],[16_1]],"")))/4)*$D230</f>
        <v>0</v>
      </c>
      <c r="M230" s="51">
        <f>((LEN($C230)-LEN(SUBSTITUTE($C230,Table467[[#Headers],[16_2]],"")))/4)*$D230</f>
        <v>0</v>
      </c>
      <c r="N230" s="51">
        <f>((LEN($C230)-LEN(SUBSTITUTE($C230,Table467[[#Headers],[16_3]],"")))/4)*$D230</f>
        <v>0</v>
      </c>
      <c r="O230" s="51">
        <f>((LEN($C230)-LEN(SUBSTITUTE($C230,Table467[[#Headers],[17_0]],"")))/4)*$D230</f>
        <v>0</v>
      </c>
      <c r="P230" s="51">
        <f>((LEN($C230)-LEN(SUBSTITUTE($C230,Table467[[#Headers],[17_1]],"")))/4)*$D230</f>
        <v>0</v>
      </c>
      <c r="Q230" s="51">
        <f>((LEN($C230)-LEN(SUBSTITUTE($C230,Table467[[#Headers],[18_0]],"")))/4)*$D230</f>
        <v>0</v>
      </c>
      <c r="R230" s="51">
        <f>((LEN($C230)-LEN(SUBSTITUTE($C230,Table467[[#Headers],[18_1]],"")))/4)*$D230</f>
        <v>0</v>
      </c>
      <c r="S230" s="51">
        <f>((LEN($C230)-LEN(SUBSTITUTE($C230,Table467[[#Headers],[18_2]],"")))/4)*$D230</f>
        <v>7.0556991443009674E-5</v>
      </c>
      <c r="T230" s="51">
        <f>((LEN($C230)-LEN(SUBSTITUTE($C230,Table467[[#Headers],[18_3]],"")))/4)*$D230</f>
        <v>0</v>
      </c>
      <c r="U230" s="51">
        <f>((LEN($C230)-LEN(SUBSTITUTE($C230,Table467[[#Headers],[18_4]],"")))/4)*$D230</f>
        <v>0</v>
      </c>
      <c r="V230" s="51">
        <f>((LEN($C230)-LEN(SUBSTITUTE($C230,Table467[[#Headers],[18_5]],"")))/4)*$D230</f>
        <v>0</v>
      </c>
      <c r="W230" s="51">
        <f>((LEN($C230)-LEN(SUBSTITUTE($C230,Table467[[#Headers],[19_1]],"")))/4)*$D230</f>
        <v>0</v>
      </c>
      <c r="X230" s="51">
        <f>((LEN($C230)-LEN(SUBSTITUTE($C230,Table467[[#Headers],[20_0]],"")))/4)*$D230</f>
        <v>0</v>
      </c>
      <c r="Y230" s="51">
        <f>((LEN($C230)-LEN(SUBSTITUTE($C230,Table467[[#Headers],[20_1]],"")))/4)*$D230</f>
        <v>0</v>
      </c>
      <c r="Z230" s="51">
        <f>((LEN($C230)-LEN(SUBSTITUTE($C230,Table467[[#Headers],[20_2]],"")))/4)*$D230</f>
        <v>0</v>
      </c>
      <c r="AA230" s="51">
        <f>((LEN($C230)-LEN(SUBSTITUTE($C230,Table467[[#Headers],[20_3]],"")))/4)*$D230</f>
        <v>0</v>
      </c>
      <c r="AB230" s="51">
        <f>((LEN($C230)-LEN(SUBSTITUTE($C230,Table467[[#Headers],[20_4]],"")))/4)*$D230</f>
        <v>0</v>
      </c>
      <c r="AC230" s="51">
        <f>((LEN($C230)-LEN(SUBSTITUTE($C230,Table467[[#Headers],[20_5]],"")))/4)*$D230</f>
        <v>7.0556991443009674E-5</v>
      </c>
      <c r="AD230" s="51">
        <f>((LEN($C230)-LEN(SUBSTITUTE($C230,Table467[[#Headers],[22_0]],"")))/4)*$D230</f>
        <v>0</v>
      </c>
      <c r="AE230" s="51">
        <f>((LEN($C230)-LEN(SUBSTITUTE($C230,Table467[[#Headers],[22_5]],"")))/4)*$D230</f>
        <v>0</v>
      </c>
      <c r="AF230" s="51">
        <f>((LEN($C230)-LEN(SUBSTITUTE($C230,Table467[[#Headers],[22_6]],"")))/4)*$D230</f>
        <v>0</v>
      </c>
      <c r="AG230" s="51">
        <f t="shared" si="53"/>
        <v>7.0556991443009674E-5</v>
      </c>
      <c r="AH230" s="51">
        <f t="shared" si="54"/>
        <v>0</v>
      </c>
      <c r="AI230" s="51">
        <f>Table467[[#This Row],[Column29]]/$D$233*0.5</f>
        <v>4.9330641478597349E-3</v>
      </c>
      <c r="AJ230" s="51">
        <f>Table467[[#This Row],[Column29]]/$D$233*1.5</f>
        <v>1.4799192443579204E-2</v>
      </c>
    </row>
    <row r="231" spans="3:36">
      <c r="C231" s="53" t="s">
        <v>543</v>
      </c>
      <c r="D231" s="51">
        <v>3.2637263642314624E-4</v>
      </c>
      <c r="E231" s="51">
        <f>((LEN($C231)-LEN(SUBSTITUTE($C231,Table467[[#Headers],[12_0]],"")))/4)*$D231</f>
        <v>0</v>
      </c>
      <c r="F231" s="51">
        <f>((LEN($C231)-LEN(SUBSTITUTE($C231,Table467[[#Headers],[13_0]],"")))/4)*$D231</f>
        <v>0</v>
      </c>
      <c r="G231" s="51">
        <f>((LEN($C231)-LEN(SUBSTITUTE($C231,Table467[[#Headers],[14_0]],"")))/4)*$D231</f>
        <v>0</v>
      </c>
      <c r="H231" s="51">
        <f>((LEN($C231)-LEN(SUBSTITUTE($C231,Table467[[#Headers],[14_1]],"")))/4)*$D231</f>
        <v>0</v>
      </c>
      <c r="I231" s="51">
        <f>((LEN($C231)-LEN(SUBSTITUTE($C231,Table467[[#Headers],[15_0]],"")))/4)*$D231</f>
        <v>0</v>
      </c>
      <c r="J231" s="51">
        <f>((LEN($C231)-LEN(SUBSTITUTE($C231,Table467[[#Headers],[15_1]],"")))/4)*$D231</f>
        <v>0</v>
      </c>
      <c r="K231" s="51">
        <f>((LEN($C231)-LEN(SUBSTITUTE($C231,Table467[[#Headers],[16_0]],"")))/4)*$D231</f>
        <v>0</v>
      </c>
      <c r="L231" s="51">
        <f>((LEN($C231)-LEN(SUBSTITUTE($C231,Table467[[#Headers],[16_1]],"")))/4)*$D231</f>
        <v>0</v>
      </c>
      <c r="M231" s="51">
        <f>((LEN($C231)-LEN(SUBSTITUTE($C231,Table467[[#Headers],[16_2]],"")))/4)*$D231</f>
        <v>0</v>
      </c>
      <c r="N231" s="51">
        <f>((LEN($C231)-LEN(SUBSTITUTE($C231,Table467[[#Headers],[16_3]],"")))/4)*$D231</f>
        <v>0</v>
      </c>
      <c r="O231" s="51">
        <f>((LEN($C231)-LEN(SUBSTITUTE($C231,Table467[[#Headers],[17_0]],"")))/4)*$D231</f>
        <v>0</v>
      </c>
      <c r="P231" s="51">
        <f>((LEN($C231)-LEN(SUBSTITUTE($C231,Table467[[#Headers],[17_1]],"")))/4)*$D231</f>
        <v>0</v>
      </c>
      <c r="Q231" s="51">
        <f>((LEN($C231)-LEN(SUBSTITUTE($C231,Table467[[#Headers],[18_0]],"")))/4)*$D231</f>
        <v>0</v>
      </c>
      <c r="R231" s="51">
        <f>((LEN($C231)-LEN(SUBSTITUTE($C231,Table467[[#Headers],[18_1]],"")))/4)*$D231</f>
        <v>0</v>
      </c>
      <c r="S231" s="51">
        <f>((LEN($C231)-LEN(SUBSTITUTE($C231,Table467[[#Headers],[18_2]],"")))/4)*$D231</f>
        <v>0</v>
      </c>
      <c r="T231" s="51">
        <f>((LEN($C231)-LEN(SUBSTITUTE($C231,Table467[[#Headers],[18_3]],"")))/4)*$D231</f>
        <v>3.2637263642314624E-4</v>
      </c>
      <c r="U231" s="51">
        <f>((LEN($C231)-LEN(SUBSTITUTE($C231,Table467[[#Headers],[18_4]],"")))/4)*$D231</f>
        <v>0</v>
      </c>
      <c r="V231" s="51">
        <f>((LEN($C231)-LEN(SUBSTITUTE($C231,Table467[[#Headers],[18_5]],"")))/4)*$D231</f>
        <v>0</v>
      </c>
      <c r="W231" s="51">
        <f>((LEN($C231)-LEN(SUBSTITUTE($C231,Table467[[#Headers],[19_1]],"")))/4)*$D231</f>
        <v>0</v>
      </c>
      <c r="X231" s="51">
        <f>((LEN($C231)-LEN(SUBSTITUTE($C231,Table467[[#Headers],[20_0]],"")))/4)*$D231</f>
        <v>0</v>
      </c>
      <c r="Y231" s="51">
        <f>((LEN($C231)-LEN(SUBSTITUTE($C231,Table467[[#Headers],[20_1]],"")))/4)*$D231</f>
        <v>0</v>
      </c>
      <c r="Z231" s="51">
        <f>((LEN($C231)-LEN(SUBSTITUTE($C231,Table467[[#Headers],[20_2]],"")))/4)*$D231</f>
        <v>0</v>
      </c>
      <c r="AA231" s="51">
        <f>((LEN($C231)-LEN(SUBSTITUTE($C231,Table467[[#Headers],[20_3]],"")))/4)*$D231</f>
        <v>0</v>
      </c>
      <c r="AB231" s="51">
        <f>((LEN($C231)-LEN(SUBSTITUTE($C231,Table467[[#Headers],[20_4]],"")))/4)*$D231</f>
        <v>0</v>
      </c>
      <c r="AC231" s="51">
        <f>((LEN($C231)-LEN(SUBSTITUTE($C231,Table467[[#Headers],[20_5]],"")))/4)*$D231</f>
        <v>3.2637263642314624E-4</v>
      </c>
      <c r="AD231" s="51">
        <f>((LEN($C231)-LEN(SUBSTITUTE($C231,Table467[[#Headers],[22_0]],"")))/4)*$D231</f>
        <v>0</v>
      </c>
      <c r="AE231" s="51">
        <f>((LEN($C231)-LEN(SUBSTITUTE($C231,Table467[[#Headers],[22_5]],"")))/4)*$D231</f>
        <v>0</v>
      </c>
      <c r="AF231" s="51">
        <f>((LEN($C231)-LEN(SUBSTITUTE($C231,Table467[[#Headers],[22_6]],"")))/4)*$D231</f>
        <v>0</v>
      </c>
      <c r="AG231" s="51">
        <f t="shared" si="53"/>
        <v>3.2637263642314624E-4</v>
      </c>
      <c r="AH231" s="51">
        <f t="shared" si="54"/>
        <v>0</v>
      </c>
      <c r="AI231" s="51">
        <f>Table467[[#This Row],[Column29]]/$D$233*0.5</f>
        <v>2.2818676344525359E-2</v>
      </c>
      <c r="AJ231" s="51">
        <f>Table467[[#This Row],[Column29]]/$D$233*1.5</f>
        <v>6.8456029033576074E-2</v>
      </c>
    </row>
    <row r="232" spans="3:36">
      <c r="C232" s="53" t="s">
        <v>544</v>
      </c>
      <c r="D232" s="51">
        <v>1.9649964559650041E-3</v>
      </c>
      <c r="E232" s="51">
        <f>((LEN($C232)-LEN(SUBSTITUTE($C232,Table467[[#Headers],[12_0]],"")))/4)*$D232</f>
        <v>0</v>
      </c>
      <c r="F232" s="51">
        <f>((LEN($C232)-LEN(SUBSTITUTE($C232,Table467[[#Headers],[13_0]],"")))/4)*$D232</f>
        <v>0</v>
      </c>
      <c r="G232" s="51">
        <f>((LEN($C232)-LEN(SUBSTITUTE($C232,Table467[[#Headers],[14_0]],"")))/4)*$D232</f>
        <v>0</v>
      </c>
      <c r="H232" s="51">
        <f>((LEN($C232)-LEN(SUBSTITUTE($C232,Table467[[#Headers],[14_1]],"")))/4)*$D232</f>
        <v>0</v>
      </c>
      <c r="I232" s="51">
        <f>((LEN($C232)-LEN(SUBSTITUTE($C232,Table467[[#Headers],[15_0]],"")))/4)*$D232</f>
        <v>0</v>
      </c>
      <c r="J232" s="51">
        <f>((LEN($C232)-LEN(SUBSTITUTE($C232,Table467[[#Headers],[15_1]],"")))/4)*$D232</f>
        <v>0</v>
      </c>
      <c r="K232" s="51">
        <f>((LEN($C232)-LEN(SUBSTITUTE($C232,Table467[[#Headers],[16_0]],"")))/4)*$D232</f>
        <v>0</v>
      </c>
      <c r="L232" s="51">
        <f>((LEN($C232)-LEN(SUBSTITUTE($C232,Table467[[#Headers],[16_1]],"")))/4)*$D232</f>
        <v>0</v>
      </c>
      <c r="M232" s="51">
        <f>((LEN($C232)-LEN(SUBSTITUTE($C232,Table467[[#Headers],[16_2]],"")))/4)*$D232</f>
        <v>0</v>
      </c>
      <c r="N232" s="51">
        <f>((LEN($C232)-LEN(SUBSTITUTE($C232,Table467[[#Headers],[16_3]],"")))/4)*$D232</f>
        <v>0</v>
      </c>
      <c r="O232" s="51">
        <f>((LEN($C232)-LEN(SUBSTITUTE($C232,Table467[[#Headers],[17_0]],"")))/4)*$D232</f>
        <v>0</v>
      </c>
      <c r="P232" s="51">
        <f>((LEN($C232)-LEN(SUBSTITUTE($C232,Table467[[#Headers],[17_1]],"")))/4)*$D232</f>
        <v>0</v>
      </c>
      <c r="Q232" s="51">
        <f>((LEN($C232)-LEN(SUBSTITUTE($C232,Table467[[#Headers],[18_0]],"")))/4)*$D232</f>
        <v>0</v>
      </c>
      <c r="R232" s="51">
        <f>((LEN($C232)-LEN(SUBSTITUTE($C232,Table467[[#Headers],[18_1]],"")))/4)*$D232</f>
        <v>0</v>
      </c>
      <c r="S232" s="51">
        <f>((LEN($C232)-LEN(SUBSTITUTE($C232,Table467[[#Headers],[18_2]],"")))/4)*$D232</f>
        <v>0</v>
      </c>
      <c r="T232" s="51">
        <f>((LEN($C232)-LEN(SUBSTITUTE($C232,Table467[[#Headers],[18_3]],"")))/4)*$D232</f>
        <v>0</v>
      </c>
      <c r="U232" s="51">
        <f>((LEN($C232)-LEN(SUBSTITUTE($C232,Table467[[#Headers],[18_4]],"")))/4)*$D232</f>
        <v>1.9649964559650041E-3</v>
      </c>
      <c r="V232" s="51">
        <f>((LEN($C232)-LEN(SUBSTITUTE($C232,Table467[[#Headers],[18_5]],"")))/4)*$D232</f>
        <v>0</v>
      </c>
      <c r="W232" s="51">
        <f>((LEN($C232)-LEN(SUBSTITUTE($C232,Table467[[#Headers],[19_1]],"")))/4)*$D232</f>
        <v>0</v>
      </c>
      <c r="X232" s="51">
        <f>((LEN($C232)-LEN(SUBSTITUTE($C232,Table467[[#Headers],[20_0]],"")))/4)*$D232</f>
        <v>0</v>
      </c>
      <c r="Y232" s="51">
        <f>((LEN($C232)-LEN(SUBSTITUTE($C232,Table467[[#Headers],[20_1]],"")))/4)*$D232</f>
        <v>0</v>
      </c>
      <c r="Z232" s="51">
        <f>((LEN($C232)-LEN(SUBSTITUTE($C232,Table467[[#Headers],[20_2]],"")))/4)*$D232</f>
        <v>0</v>
      </c>
      <c r="AA232" s="51">
        <f>((LEN($C232)-LEN(SUBSTITUTE($C232,Table467[[#Headers],[20_3]],"")))/4)*$D232</f>
        <v>0</v>
      </c>
      <c r="AB232" s="51">
        <f>((LEN($C232)-LEN(SUBSTITUTE($C232,Table467[[#Headers],[20_4]],"")))/4)*$D232</f>
        <v>0</v>
      </c>
      <c r="AC232" s="51">
        <f>((LEN($C232)-LEN(SUBSTITUTE($C232,Table467[[#Headers],[20_5]],"")))/4)*$D232</f>
        <v>1.9649964559650041E-3</v>
      </c>
      <c r="AD232" s="51">
        <f>((LEN($C232)-LEN(SUBSTITUTE($C232,Table467[[#Headers],[22_0]],"")))/4)*$D232</f>
        <v>0</v>
      </c>
      <c r="AE232" s="51">
        <f>((LEN($C232)-LEN(SUBSTITUTE($C232,Table467[[#Headers],[22_5]],"")))/4)*$D232</f>
        <v>0</v>
      </c>
      <c r="AF232" s="51">
        <f>((LEN($C232)-LEN(SUBSTITUTE($C232,Table467[[#Headers],[22_6]],"")))/4)*$D232</f>
        <v>0</v>
      </c>
      <c r="AG232" s="51">
        <f t="shared" si="53"/>
        <v>1.9649964559650041E-3</v>
      </c>
      <c r="AH232" s="51">
        <f t="shared" si="54"/>
        <v>0</v>
      </c>
      <c r="AI232" s="51">
        <f>Table467[[#This Row],[Column29]]/$D$233*0.5</f>
        <v>0.13738473494043468</v>
      </c>
      <c r="AJ232" s="51">
        <f>Table467[[#This Row],[Column29]]/$D$233*1.5</f>
        <v>0.41215420482130405</v>
      </c>
    </row>
    <row r="233" spans="3:36">
      <c r="C233" s="51"/>
      <c r="D233" s="51">
        <f t="shared" ref="D233:AF233" si="55">SUM(D221:D232)</f>
        <v>7.151436645479424E-3</v>
      </c>
      <c r="E233" s="51">
        <f t="shared" si="55"/>
        <v>0</v>
      </c>
      <c r="F233" s="51">
        <f t="shared" si="55"/>
        <v>0</v>
      </c>
      <c r="G233" s="51">
        <f t="shared" si="55"/>
        <v>6.5434949189655987E-4</v>
      </c>
      <c r="H233" s="51">
        <f t="shared" si="55"/>
        <v>0</v>
      </c>
      <c r="I233" s="51">
        <f t="shared" si="55"/>
        <v>2.7185783548281035E-4</v>
      </c>
      <c r="J233" s="51">
        <f t="shared" si="55"/>
        <v>0</v>
      </c>
      <c r="K233" s="51">
        <f t="shared" si="55"/>
        <v>1.7539270637798253E-3</v>
      </c>
      <c r="L233" s="51">
        <f t="shared" si="55"/>
        <v>3.8634178213439122E-3</v>
      </c>
      <c r="M233" s="51">
        <f t="shared" si="55"/>
        <v>3.2009899406585063E-4</v>
      </c>
      <c r="N233" s="51">
        <f t="shared" si="55"/>
        <v>1.0246949183582849E-4</v>
      </c>
      <c r="O233" s="51">
        <f t="shared" si="55"/>
        <v>0</v>
      </c>
      <c r="P233" s="51">
        <f t="shared" si="55"/>
        <v>0</v>
      </c>
      <c r="Q233" s="51">
        <f t="shared" si="55"/>
        <v>0</v>
      </c>
      <c r="R233" s="51">
        <f t="shared" si="55"/>
        <v>0</v>
      </c>
      <c r="S233" s="51">
        <f t="shared" si="55"/>
        <v>7.0556991443009674E-5</v>
      </c>
      <c r="T233" s="51">
        <f t="shared" si="55"/>
        <v>3.2637263642314624E-4</v>
      </c>
      <c r="U233" s="51">
        <f t="shared" si="55"/>
        <v>1.9649964559650041E-3</v>
      </c>
      <c r="V233" s="51">
        <f t="shared" si="55"/>
        <v>0</v>
      </c>
      <c r="W233" s="51">
        <f t="shared" si="55"/>
        <v>0</v>
      </c>
      <c r="X233" s="51">
        <f t="shared" si="55"/>
        <v>0</v>
      </c>
      <c r="Y233" s="51">
        <f t="shared" si="55"/>
        <v>0</v>
      </c>
      <c r="Z233" s="51">
        <f t="shared" si="55"/>
        <v>0</v>
      </c>
      <c r="AA233" s="51">
        <f t="shared" si="55"/>
        <v>0</v>
      </c>
      <c r="AB233" s="51">
        <f t="shared" si="55"/>
        <v>0</v>
      </c>
      <c r="AC233" s="51">
        <f t="shared" si="55"/>
        <v>4.9748265087228996E-3</v>
      </c>
      <c r="AD233" s="51">
        <f t="shared" si="55"/>
        <v>0</v>
      </c>
      <c r="AE233" s="51">
        <f t="shared" si="55"/>
        <v>0</v>
      </c>
      <c r="AF233" s="51">
        <f t="shared" si="55"/>
        <v>0</v>
      </c>
      <c r="AG233" s="51">
        <f t="shared" si="53"/>
        <v>7.151436645479424E-3</v>
      </c>
      <c r="AH233" s="51">
        <f t="shared" si="54"/>
        <v>0</v>
      </c>
      <c r="AI233" s="51">
        <f>Table467[[#This Row],[Column29]]/$D$233*0.5</f>
        <v>0.5</v>
      </c>
      <c r="AJ233" s="51">
        <f>Table467[[#This Row],[Column29]]/$D$233*1.5</f>
        <v>1.5</v>
      </c>
    </row>
    <row r="234" spans="3:36">
      <c r="D234" s="44">
        <f>SUM(E233:AF233)</f>
        <v>1.4302873290958848E-2</v>
      </c>
      <c r="E234" s="44">
        <f>E233/$D$234*100</f>
        <v>0</v>
      </c>
      <c r="F234" s="44">
        <f t="shared" ref="F234:AF234" si="56">F233/$D$234*100</f>
        <v>0</v>
      </c>
      <c r="G234" s="44">
        <f t="shared" si="56"/>
        <v>4.5749513303049962</v>
      </c>
      <c r="H234" s="44">
        <f t="shared" si="56"/>
        <v>0</v>
      </c>
      <c r="I234" s="44">
        <f t="shared" si="56"/>
        <v>1.9007218336658096</v>
      </c>
      <c r="J234" s="44">
        <f t="shared" si="56"/>
        <v>0</v>
      </c>
      <c r="K234" s="44">
        <f t="shared" si="56"/>
        <v>12.262760272710519</v>
      </c>
      <c r="L234" s="44">
        <f t="shared" si="56"/>
        <v>27.011480439990066</v>
      </c>
      <c r="M234" s="44">
        <f t="shared" si="56"/>
        <v>2.2380048229064022</v>
      </c>
      <c r="N234" s="44">
        <f t="shared" si="56"/>
        <v>0.71642592192018961</v>
      </c>
      <c r="O234" s="44">
        <f t="shared" si="56"/>
        <v>0</v>
      </c>
      <c r="P234" s="44">
        <f t="shared" si="56"/>
        <v>0</v>
      </c>
      <c r="Q234" s="44">
        <f t="shared" si="56"/>
        <v>0</v>
      </c>
      <c r="R234" s="44">
        <f t="shared" si="56"/>
        <v>0</v>
      </c>
      <c r="S234" s="44">
        <f t="shared" si="56"/>
        <v>0.49330641478597348</v>
      </c>
      <c r="T234" s="44">
        <f t="shared" si="56"/>
        <v>2.2818676344525359</v>
      </c>
      <c r="U234" s="44">
        <f t="shared" si="56"/>
        <v>13.738473494043468</v>
      </c>
      <c r="V234" s="44">
        <f t="shared" si="56"/>
        <v>0</v>
      </c>
      <c r="W234" s="44">
        <f t="shared" si="56"/>
        <v>0</v>
      </c>
      <c r="X234" s="44">
        <f t="shared" si="56"/>
        <v>0</v>
      </c>
      <c r="Y234" s="44">
        <f t="shared" si="56"/>
        <v>0</v>
      </c>
      <c r="Z234" s="44">
        <f t="shared" si="56"/>
        <v>0</v>
      </c>
      <c r="AA234" s="44">
        <f t="shared" si="56"/>
        <v>0</v>
      </c>
      <c r="AB234" s="44">
        <f t="shared" si="56"/>
        <v>0</v>
      </c>
      <c r="AC234" s="44">
        <f t="shared" si="56"/>
        <v>34.782007835220028</v>
      </c>
      <c r="AD234" s="44">
        <f t="shared" si="56"/>
        <v>0</v>
      </c>
      <c r="AE234" s="44">
        <f t="shared" si="56"/>
        <v>0</v>
      </c>
      <c r="AF234" s="44">
        <f t="shared" si="56"/>
        <v>0</v>
      </c>
      <c r="AI234" s="51">
        <f>Table467[[#This Row],[Column29]]/$D$233*0.5</f>
        <v>0</v>
      </c>
      <c r="AJ234" s="51">
        <f>Table467[[#This Row],[Column29]]/$D$233*1.5</f>
        <v>0</v>
      </c>
    </row>
    <row r="235" spans="3:36">
      <c r="C235" s="51"/>
      <c r="D235" s="51">
        <f>SUM(E234:AF234)</f>
        <v>100</v>
      </c>
      <c r="E235" s="51">
        <f>IF(E234 &gt; 1, E234, 0)</f>
        <v>0</v>
      </c>
      <c r="F235" s="51">
        <f t="shared" ref="F235:AF235" si="57">IF(F234 &gt; 1, F234, 0)</f>
        <v>0</v>
      </c>
      <c r="G235" s="51">
        <f t="shared" si="57"/>
        <v>4.5749513303049962</v>
      </c>
      <c r="H235" s="51">
        <f t="shared" si="57"/>
        <v>0</v>
      </c>
      <c r="I235" s="51">
        <f t="shared" si="57"/>
        <v>1.9007218336658096</v>
      </c>
      <c r="J235" s="51">
        <f t="shared" si="57"/>
        <v>0</v>
      </c>
      <c r="K235" s="51">
        <f t="shared" si="57"/>
        <v>12.262760272710519</v>
      </c>
      <c r="L235" s="51">
        <f t="shared" si="57"/>
        <v>27.011480439990066</v>
      </c>
      <c r="M235" s="51">
        <f t="shared" si="57"/>
        <v>2.2380048229064022</v>
      </c>
      <c r="N235" s="51">
        <f t="shared" si="57"/>
        <v>0</v>
      </c>
      <c r="O235" s="51">
        <f t="shared" si="57"/>
        <v>0</v>
      </c>
      <c r="P235" s="51">
        <f t="shared" si="57"/>
        <v>0</v>
      </c>
      <c r="Q235" s="51">
        <f t="shared" si="57"/>
        <v>0</v>
      </c>
      <c r="R235" s="51">
        <f t="shared" si="57"/>
        <v>0</v>
      </c>
      <c r="S235" s="44">
        <v>0.49330641478597348</v>
      </c>
      <c r="T235" s="51">
        <f t="shared" si="57"/>
        <v>2.2818676344525359</v>
      </c>
      <c r="U235" s="51">
        <f t="shared" si="57"/>
        <v>13.738473494043468</v>
      </c>
      <c r="V235" s="51">
        <f t="shared" si="57"/>
        <v>0</v>
      </c>
      <c r="W235" s="51">
        <f t="shared" si="57"/>
        <v>0</v>
      </c>
      <c r="X235" s="51">
        <f t="shared" si="57"/>
        <v>0</v>
      </c>
      <c r="Y235" s="51">
        <f t="shared" si="57"/>
        <v>0</v>
      </c>
      <c r="Z235" s="51">
        <f t="shared" si="57"/>
        <v>0</v>
      </c>
      <c r="AA235" s="51">
        <f t="shared" si="57"/>
        <v>0</v>
      </c>
      <c r="AB235" s="51">
        <f t="shared" si="57"/>
        <v>0</v>
      </c>
      <c r="AC235" s="51">
        <f t="shared" si="57"/>
        <v>34.782007835220028</v>
      </c>
      <c r="AD235" s="51">
        <f t="shared" si="57"/>
        <v>0</v>
      </c>
      <c r="AE235" s="51">
        <f t="shared" si="57"/>
        <v>0</v>
      </c>
      <c r="AF235" s="51">
        <f t="shared" si="57"/>
        <v>0</v>
      </c>
      <c r="AG235" s="51"/>
      <c r="AH235" s="51"/>
      <c r="AI235" s="51">
        <f>Table467[[#This Row],[Column29]]/$D$233*0.5</f>
        <v>0</v>
      </c>
      <c r="AJ235" s="51">
        <f>Table467[[#This Row],[Column29]]/$D$233*1.5</f>
        <v>0</v>
      </c>
    </row>
    <row r="236" spans="3:36">
      <c r="D236" s="44">
        <f>SUM(E235:AF235)</f>
        <v>99.283574078079809</v>
      </c>
      <c r="E236" s="48">
        <f>E235/$D$236</f>
        <v>0</v>
      </c>
      <c r="F236" s="48">
        <f t="shared" ref="F236:AF236" si="58">F235/$D$236</f>
        <v>0</v>
      </c>
      <c r="G236" s="48">
        <f t="shared" si="58"/>
        <v>4.6079639787213009E-2</v>
      </c>
      <c r="H236" s="48">
        <f t="shared" si="58"/>
        <v>0</v>
      </c>
      <c r="I236" s="48">
        <f t="shared" si="58"/>
        <v>1.9144373591657979E-2</v>
      </c>
      <c r="J236" s="48">
        <f t="shared" si="58"/>
        <v>0</v>
      </c>
      <c r="K236" s="48">
        <f t="shared" si="58"/>
        <v>0.12351247813728672</v>
      </c>
      <c r="L236" s="48">
        <f t="shared" si="58"/>
        <v>0.27206394099740372</v>
      </c>
      <c r="M236" s="48">
        <f t="shared" si="58"/>
        <v>2.2541541676837328E-2</v>
      </c>
      <c r="N236" s="47">
        <f t="shared" si="58"/>
        <v>0</v>
      </c>
      <c r="O236" s="48">
        <f t="shared" si="58"/>
        <v>0</v>
      </c>
      <c r="P236" s="48">
        <f t="shared" si="58"/>
        <v>0</v>
      </c>
      <c r="Q236" s="48">
        <f t="shared" si="58"/>
        <v>0</v>
      </c>
      <c r="R236" s="48">
        <f t="shared" si="58"/>
        <v>0</v>
      </c>
      <c r="S236" s="48">
        <f t="shared" si="58"/>
        <v>4.9686609226821483E-3</v>
      </c>
      <c r="T236" s="48">
        <f t="shared" si="58"/>
        <v>2.2983334913567893E-2</v>
      </c>
      <c r="U236" s="48">
        <f t="shared" si="58"/>
        <v>0.13837609717030422</v>
      </c>
      <c r="V236" s="48">
        <f t="shared" si="58"/>
        <v>0</v>
      </c>
      <c r="W236" s="48">
        <f t="shared" si="58"/>
        <v>0</v>
      </c>
      <c r="X236" s="48">
        <f t="shared" si="58"/>
        <v>0</v>
      </c>
      <c r="Y236" s="48">
        <f t="shared" si="58"/>
        <v>0</v>
      </c>
      <c r="Z236" s="48">
        <f t="shared" si="58"/>
        <v>0</v>
      </c>
      <c r="AA236" s="48">
        <f t="shared" si="58"/>
        <v>0</v>
      </c>
      <c r="AB236" s="48">
        <f t="shared" si="58"/>
        <v>0</v>
      </c>
      <c r="AC236" s="48">
        <f t="shared" si="58"/>
        <v>0.35032993280304692</v>
      </c>
      <c r="AD236" s="48">
        <f t="shared" si="58"/>
        <v>0</v>
      </c>
      <c r="AE236" s="48">
        <f t="shared" si="58"/>
        <v>0</v>
      </c>
      <c r="AF236" s="48">
        <f t="shared" si="58"/>
        <v>0</v>
      </c>
      <c r="AI236" s="51">
        <f>Table467[[#This Row],[Column29]]/$D$233*0.5</f>
        <v>0</v>
      </c>
      <c r="AJ236" s="51">
        <f>Table467[[#This Row],[Column29]]/$D$233*1.5</f>
        <v>0</v>
      </c>
    </row>
    <row r="237" spans="3:36">
      <c r="C237" s="51"/>
      <c r="D237" s="51">
        <f>SUM(E236:AF236)</f>
        <v>0.99999999999999989</v>
      </c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>
        <f>Table467[[#This Row],[Column29]]/$D$233*0.5</f>
        <v>0</v>
      </c>
      <c r="AJ237" s="51">
        <f>Table467[[#This Row],[Column29]]/$D$233*1.5</f>
        <v>0</v>
      </c>
    </row>
    <row r="241" spans="3:38">
      <c r="C241" s="49" t="s">
        <v>315</v>
      </c>
      <c r="D241" s="49" t="s">
        <v>316</v>
      </c>
      <c r="E241" s="49" t="s">
        <v>317</v>
      </c>
      <c r="F241" s="49" t="s">
        <v>318</v>
      </c>
      <c r="G241" s="49" t="s">
        <v>319</v>
      </c>
      <c r="H241" s="49" t="s">
        <v>320</v>
      </c>
      <c r="I241" s="49" t="s">
        <v>321</v>
      </c>
      <c r="J241" s="49" t="s">
        <v>322</v>
      </c>
      <c r="K241" s="49" t="s">
        <v>323</v>
      </c>
      <c r="L241" s="49" t="s">
        <v>324</v>
      </c>
      <c r="M241" s="49" t="s">
        <v>325</v>
      </c>
      <c r="N241" s="49" t="s">
        <v>326</v>
      </c>
      <c r="O241" s="49" t="s">
        <v>327</v>
      </c>
      <c r="P241" s="49" t="s">
        <v>328</v>
      </c>
      <c r="Q241" s="49" t="s">
        <v>329</v>
      </c>
      <c r="R241" s="49" t="s">
        <v>330</v>
      </c>
      <c r="S241" s="49" t="s">
        <v>331</v>
      </c>
      <c r="T241" s="49" t="s">
        <v>332</v>
      </c>
      <c r="U241" s="49" t="s">
        <v>333</v>
      </c>
      <c r="V241" s="49" t="s">
        <v>334</v>
      </c>
      <c r="W241" s="49" t="s">
        <v>508</v>
      </c>
      <c r="X241" s="49" t="s">
        <v>484</v>
      </c>
      <c r="Y241" s="49" t="s">
        <v>335</v>
      </c>
      <c r="Z241" s="49" t="s">
        <v>336</v>
      </c>
      <c r="AA241" s="49" t="s">
        <v>337</v>
      </c>
      <c r="AB241" s="49" t="s">
        <v>338</v>
      </c>
      <c r="AC241" s="49" t="s">
        <v>339</v>
      </c>
      <c r="AD241" s="49" t="s">
        <v>340</v>
      </c>
      <c r="AE241" s="49" t="s">
        <v>341</v>
      </c>
      <c r="AF241" s="49" t="s">
        <v>342</v>
      </c>
      <c r="AG241" s="49" t="s">
        <v>343</v>
      </c>
      <c r="AH241" s="49" t="s">
        <v>344</v>
      </c>
      <c r="AI241" s="49" t="s">
        <v>345</v>
      </c>
      <c r="AJ241" s="49" t="s">
        <v>346</v>
      </c>
    </row>
    <row r="242" spans="3:38">
      <c r="C242" s="53" t="s">
        <v>545</v>
      </c>
      <c r="D242" s="51">
        <v>1.0587845731764667E-4</v>
      </c>
      <c r="E242" s="51">
        <f>((LEN($C242)-LEN(SUBSTITUTE($C242,Table4679[[#Headers],[12_0]],"")))/4)*$D242</f>
        <v>0</v>
      </c>
      <c r="F242" s="51">
        <f>((LEN($C242)-LEN(SUBSTITUTE($C242,Table4679[[#Headers],[13_0]],"")))/4)*$D242</f>
        <v>0</v>
      </c>
      <c r="G242" s="51">
        <f>((LEN($C242)-LEN(SUBSTITUTE($C242,Table4679[[#Headers],[14_0]],"")))/4)*$D242</f>
        <v>0</v>
      </c>
      <c r="H242" s="51">
        <f>((LEN($C242)-LEN(SUBSTITUTE($C242,Table4679[[#Headers],[14_1]],"")))/4)*$D242</f>
        <v>0</v>
      </c>
      <c r="I242" s="51">
        <f>((LEN($C242)-LEN(SUBSTITUTE($C242,Table4679[[#Headers],[15_0]],"")))/4)*$D242</f>
        <v>0</v>
      </c>
      <c r="J242" s="51">
        <f>((LEN($C242)-LEN(SUBSTITUTE($C242,Table4679[[#Headers],[15_1]],"")))/4)*$D242</f>
        <v>0</v>
      </c>
      <c r="K242" s="51">
        <f>((LEN($C242)-LEN(SUBSTITUTE($C242,Table4679[[#Headers],[16_0]],"")))/4)*$D242</f>
        <v>1.0587845731764667E-4</v>
      </c>
      <c r="L242" s="51">
        <f>((LEN($C242)-LEN(SUBSTITUTE($C242,Table4679[[#Headers],[16_1]],"")))/4)*$D242</f>
        <v>1.0587845731764667E-4</v>
      </c>
      <c r="M242" s="51">
        <f>((LEN($C242)-LEN(SUBSTITUTE($C242,Table4679[[#Headers],[16_2]],"")))/4)*$D242</f>
        <v>0</v>
      </c>
      <c r="N242" s="51">
        <f>((LEN($C242)-LEN(SUBSTITUTE($C242,Table4679[[#Headers],[16_3]],"")))/4)*$D242</f>
        <v>0</v>
      </c>
      <c r="O242" s="51">
        <f>((LEN($C242)-LEN(SUBSTITUTE($C242,Table4679[[#Headers],[17_0]],"")))/4)*$D242</f>
        <v>0</v>
      </c>
      <c r="P242" s="51">
        <f>((LEN($C242)-LEN(SUBSTITUTE($C242,Table4679[[#Headers],[17_1]],"")))/4)*$D242</f>
        <v>0</v>
      </c>
      <c r="Q242" s="51">
        <f>((LEN($C242)-LEN(SUBSTITUTE($C242,Table4679[[#Headers],[18_0]],"")))/4)*$D242</f>
        <v>0</v>
      </c>
      <c r="R242" s="51">
        <f>((LEN($C242)-LEN(SUBSTITUTE($C242,Table4679[[#Headers],[18_1]],"")))/4)*$D242</f>
        <v>0</v>
      </c>
      <c r="S242" s="51">
        <f>((LEN($C242)-LEN(SUBSTITUTE($C242,Table4679[[#Headers],[18_2]],"")))/4)*$D242</f>
        <v>0</v>
      </c>
      <c r="T242" s="51">
        <f>((LEN($C242)-LEN(SUBSTITUTE($C242,Table4679[[#Headers],[18_3]],"")))/4)*$D242</f>
        <v>0</v>
      </c>
      <c r="U242" s="51">
        <f>((LEN($C242)-LEN(SUBSTITUTE($C242,Table4679[[#Headers],[18_4]],"")))/4)*$D242</f>
        <v>0</v>
      </c>
      <c r="V242" s="51">
        <f>((LEN($C242)-LEN(SUBSTITUTE($C242,Table4679[[#Headers],[18_5]],"")))/4)*$D242</f>
        <v>0</v>
      </c>
      <c r="W242" s="51">
        <f>((LEN($C242)-LEN(SUBSTITUTE($C242,Table4679[[#Headers],[19_1]],"")))/4)*$D242</f>
        <v>0</v>
      </c>
      <c r="X242" s="51">
        <f>((LEN($C242)-LEN(SUBSTITUTE($C242,Table4679[[#Headers],[20_0]],"")))/4)*$D242</f>
        <v>0</v>
      </c>
      <c r="Y242" s="51">
        <f>((LEN($C242)-LEN(SUBSTITUTE($C242,Table4679[[#Headers],[20_1]],"")))/4)*$D242</f>
        <v>0</v>
      </c>
      <c r="Z242" s="51">
        <f>((LEN($C242)-LEN(SUBSTITUTE($C242,Table4679[[#Headers],[20_2]],"")))/4)*$D242</f>
        <v>0</v>
      </c>
      <c r="AA242" s="51">
        <f>((LEN($C242)-LEN(SUBSTITUTE($C242,Table4679[[#Headers],[20_3]],"")))/4)*$D242</f>
        <v>0</v>
      </c>
      <c r="AB242" s="51">
        <f>((LEN($C242)-LEN(SUBSTITUTE($C242,Table4679[[#Headers],[20_4]],"")))/4)*$D242</f>
        <v>0</v>
      </c>
      <c r="AC242" s="51">
        <f>((LEN($C242)-LEN(SUBSTITUTE($C242,Table4679[[#Headers],[20_5]],"")))/4)*$D242</f>
        <v>0</v>
      </c>
      <c r="AD242" s="51">
        <f>((LEN($C242)-LEN(SUBSTITUTE($C242,Table4679[[#Headers],[22_0]],"")))/4)*$D242</f>
        <v>0</v>
      </c>
      <c r="AE242" s="51">
        <f>((LEN($C242)-LEN(SUBSTITUTE($C242,Table4679[[#Headers],[22_5]],"")))/4)*$D242</f>
        <v>0</v>
      </c>
      <c r="AF242" s="51">
        <f>((LEN($C242)-LEN(SUBSTITUTE($C242,Table4679[[#Headers],[22_6]],"")))/4)*$D242</f>
        <v>0</v>
      </c>
      <c r="AG242" s="51">
        <f t="shared" ref="AG242:AG251" si="59">SUM(E242:AF242)/2</f>
        <v>1.0587845731764667E-4</v>
      </c>
      <c r="AH242" s="51">
        <f t="shared" ref="AH242:AH251" si="60">D242-AG242</f>
        <v>0</v>
      </c>
      <c r="AI242" s="51">
        <f>Table4679[[#This Row],[Column29]]/$D$251*0.5</f>
        <v>1.0706042657323213E-3</v>
      </c>
      <c r="AJ242" s="51">
        <f>Table4679[[#This Row],[Column29]]/$D$251*1.5</f>
        <v>3.2118127971969639E-3</v>
      </c>
    </row>
    <row r="243" spans="3:38">
      <c r="C243" s="53" t="s">
        <v>546</v>
      </c>
      <c r="D243" s="44">
        <v>1.6460433326493445E-4</v>
      </c>
      <c r="E243" s="51">
        <f>((LEN($C243)-LEN(SUBSTITUTE($C243,Table4679[[#Headers],[12_0]],"")))/4)*$D243</f>
        <v>0</v>
      </c>
      <c r="F243" s="51">
        <f>((LEN($C243)-LEN(SUBSTITUTE($C243,Table4679[[#Headers],[13_0]],"")))/4)*$D243</f>
        <v>0</v>
      </c>
      <c r="G243" s="51">
        <f>((LEN($C243)-LEN(SUBSTITUTE($C243,Table4679[[#Headers],[14_0]],"")))/4)*$D243</f>
        <v>0</v>
      </c>
      <c r="H243" s="51">
        <f>((LEN($C243)-LEN(SUBSTITUTE($C243,Table4679[[#Headers],[14_1]],"")))/4)*$D243</f>
        <v>0</v>
      </c>
      <c r="I243" s="51">
        <f>((LEN($C243)-LEN(SUBSTITUTE($C243,Table4679[[#Headers],[15_0]],"")))/4)*$D243</f>
        <v>0</v>
      </c>
      <c r="J243" s="51">
        <f>((LEN($C243)-LEN(SUBSTITUTE($C243,Table4679[[#Headers],[15_1]],"")))/4)*$D243</f>
        <v>0</v>
      </c>
      <c r="K243" s="51">
        <f>((LEN($C243)-LEN(SUBSTITUTE($C243,Table4679[[#Headers],[16_0]],"")))/4)*$D243</f>
        <v>1.6460433326493445E-4</v>
      </c>
      <c r="L243" s="51">
        <f>((LEN($C243)-LEN(SUBSTITUTE($C243,Table4679[[#Headers],[16_1]],"")))/4)*$D243</f>
        <v>0</v>
      </c>
      <c r="M243" s="51">
        <f>((LEN($C243)-LEN(SUBSTITUTE($C243,Table4679[[#Headers],[16_2]],"")))/4)*$D243</f>
        <v>0</v>
      </c>
      <c r="N243" s="51">
        <f>((LEN($C243)-LEN(SUBSTITUTE($C243,Table4679[[#Headers],[16_3]],"")))/4)*$D243</f>
        <v>0</v>
      </c>
      <c r="O243" s="51">
        <f>((LEN($C243)-LEN(SUBSTITUTE($C243,Table4679[[#Headers],[17_0]],"")))/4)*$D243</f>
        <v>0</v>
      </c>
      <c r="P243" s="51">
        <f>((LEN($C243)-LEN(SUBSTITUTE($C243,Table4679[[#Headers],[17_1]],"")))/4)*$D243</f>
        <v>0</v>
      </c>
      <c r="Q243" s="51">
        <f>((LEN($C243)-LEN(SUBSTITUTE($C243,Table4679[[#Headers],[18_0]],"")))/4)*$D243</f>
        <v>0</v>
      </c>
      <c r="R243" s="51">
        <f>((LEN($C243)-LEN(SUBSTITUTE($C243,Table4679[[#Headers],[18_1]],"")))/4)*$D243</f>
        <v>1.6460433326493445E-4</v>
      </c>
      <c r="S243" s="51">
        <f>((LEN($C243)-LEN(SUBSTITUTE($C243,Table4679[[#Headers],[18_2]],"")))/4)*$D243</f>
        <v>0</v>
      </c>
      <c r="T243" s="51">
        <f>((LEN($C243)-LEN(SUBSTITUTE($C243,Table4679[[#Headers],[18_3]],"")))/4)*$D243</f>
        <v>0</v>
      </c>
      <c r="U243" s="51">
        <f>((LEN($C243)-LEN(SUBSTITUTE($C243,Table4679[[#Headers],[18_4]],"")))/4)*$D243</f>
        <v>0</v>
      </c>
      <c r="V243" s="51">
        <f>((LEN($C243)-LEN(SUBSTITUTE($C243,Table4679[[#Headers],[18_5]],"")))/4)*$D243</f>
        <v>0</v>
      </c>
      <c r="W243" s="51">
        <f>((LEN($C243)-LEN(SUBSTITUTE($C243,Table4679[[#Headers],[19_1]],"")))/4)*$D243</f>
        <v>0</v>
      </c>
      <c r="X243" s="51">
        <f>((LEN($C243)-LEN(SUBSTITUTE($C243,Table4679[[#Headers],[20_0]],"")))/4)*$D243</f>
        <v>0</v>
      </c>
      <c r="Y243" s="51">
        <f>((LEN($C243)-LEN(SUBSTITUTE($C243,Table4679[[#Headers],[20_1]],"")))/4)*$D243</f>
        <v>0</v>
      </c>
      <c r="Z243" s="51">
        <f>((LEN($C243)-LEN(SUBSTITUTE($C243,Table4679[[#Headers],[20_2]],"")))/4)*$D243</f>
        <v>0</v>
      </c>
      <c r="AA243" s="51">
        <f>((LEN($C243)-LEN(SUBSTITUTE($C243,Table4679[[#Headers],[20_3]],"")))/4)*$D243</f>
        <v>0</v>
      </c>
      <c r="AB243" s="51">
        <f>((LEN($C243)-LEN(SUBSTITUTE($C243,Table4679[[#Headers],[20_4]],"")))/4)*$D243</f>
        <v>0</v>
      </c>
      <c r="AC243" s="51">
        <f>((LEN($C243)-LEN(SUBSTITUTE($C243,Table4679[[#Headers],[20_5]],"")))/4)*$D243</f>
        <v>0</v>
      </c>
      <c r="AD243" s="51">
        <f>((LEN($C243)-LEN(SUBSTITUTE($C243,Table4679[[#Headers],[22_0]],"")))/4)*$D243</f>
        <v>0</v>
      </c>
      <c r="AE243" s="51">
        <f>((LEN($C243)-LEN(SUBSTITUTE($C243,Table4679[[#Headers],[22_5]],"")))/4)*$D243</f>
        <v>0</v>
      </c>
      <c r="AF243" s="51">
        <f>((LEN($C243)-LEN(SUBSTITUTE($C243,Table4679[[#Headers],[22_6]],"")))/4)*$D243</f>
        <v>0</v>
      </c>
      <c r="AG243" s="51">
        <f t="shared" si="59"/>
        <v>1.6460433326493445E-4</v>
      </c>
      <c r="AH243" s="51">
        <f t="shared" si="60"/>
        <v>0</v>
      </c>
      <c r="AI243" s="51">
        <f>Table4679[[#This Row],[Column29]]/$D$251*0.5</f>
        <v>1.6644188611736788E-3</v>
      </c>
      <c r="AJ243" s="51">
        <f>Table4679[[#This Row],[Column29]]/$D$251*1.5</f>
        <v>4.9932565835210368E-3</v>
      </c>
    </row>
    <row r="244" spans="3:38">
      <c r="C244" s="53" t="s">
        <v>547</v>
      </c>
      <c r="D244" s="51">
        <v>1.4225985363621032E-4</v>
      </c>
      <c r="E244" s="51">
        <f>((LEN($C244)-LEN(SUBSTITUTE($C244,Table4679[[#Headers],[12_0]],"")))/4)*$D244</f>
        <v>0</v>
      </c>
      <c r="F244" s="51">
        <f>((LEN($C244)-LEN(SUBSTITUTE($C244,Table4679[[#Headers],[13_0]],"")))/4)*$D244</f>
        <v>0</v>
      </c>
      <c r="G244" s="51">
        <f>((LEN($C244)-LEN(SUBSTITUTE($C244,Table4679[[#Headers],[14_0]],"")))/4)*$D244</f>
        <v>0</v>
      </c>
      <c r="H244" s="51">
        <f>((LEN($C244)-LEN(SUBSTITUTE($C244,Table4679[[#Headers],[14_1]],"")))/4)*$D244</f>
        <v>0</v>
      </c>
      <c r="I244" s="51">
        <f>((LEN($C244)-LEN(SUBSTITUTE($C244,Table4679[[#Headers],[15_0]],"")))/4)*$D244</f>
        <v>0</v>
      </c>
      <c r="J244" s="51">
        <f>((LEN($C244)-LEN(SUBSTITUTE($C244,Table4679[[#Headers],[15_1]],"")))/4)*$D244</f>
        <v>0</v>
      </c>
      <c r="K244" s="51">
        <f>((LEN($C244)-LEN(SUBSTITUTE($C244,Table4679[[#Headers],[16_0]],"")))/4)*$D244</f>
        <v>0</v>
      </c>
      <c r="L244" s="51">
        <f>((LEN($C244)-LEN(SUBSTITUTE($C244,Table4679[[#Headers],[16_1]],"")))/4)*$D244</f>
        <v>1.4225985363621032E-4</v>
      </c>
      <c r="M244" s="51">
        <f>((LEN($C244)-LEN(SUBSTITUTE($C244,Table4679[[#Headers],[16_2]],"")))/4)*$D244</f>
        <v>0</v>
      </c>
      <c r="N244" s="51">
        <f>((LEN($C244)-LEN(SUBSTITUTE($C244,Table4679[[#Headers],[16_3]],"")))/4)*$D244</f>
        <v>0</v>
      </c>
      <c r="O244" s="51">
        <f>((LEN($C244)-LEN(SUBSTITUTE($C244,Table4679[[#Headers],[17_0]],"")))/4)*$D244</f>
        <v>0</v>
      </c>
      <c r="P244" s="51">
        <f>((LEN($C244)-LEN(SUBSTITUTE($C244,Table4679[[#Headers],[17_1]],"")))/4)*$D244</f>
        <v>0</v>
      </c>
      <c r="Q244" s="51">
        <f>((LEN($C244)-LEN(SUBSTITUTE($C244,Table4679[[#Headers],[18_0]],"")))/4)*$D244</f>
        <v>0</v>
      </c>
      <c r="R244" s="51">
        <f>((LEN($C244)-LEN(SUBSTITUTE($C244,Table4679[[#Headers],[18_1]],"")))/4)*$D244</f>
        <v>1.4225985363621032E-4</v>
      </c>
      <c r="S244" s="51">
        <f>((LEN($C244)-LEN(SUBSTITUTE($C244,Table4679[[#Headers],[18_2]],"")))/4)*$D244</f>
        <v>0</v>
      </c>
      <c r="T244" s="51">
        <f>((LEN($C244)-LEN(SUBSTITUTE($C244,Table4679[[#Headers],[18_3]],"")))/4)*$D244</f>
        <v>0</v>
      </c>
      <c r="U244" s="51">
        <f>((LEN($C244)-LEN(SUBSTITUTE($C244,Table4679[[#Headers],[18_4]],"")))/4)*$D244</f>
        <v>0</v>
      </c>
      <c r="V244" s="51">
        <f>((LEN($C244)-LEN(SUBSTITUTE($C244,Table4679[[#Headers],[18_5]],"")))/4)*$D244</f>
        <v>0</v>
      </c>
      <c r="W244" s="51">
        <f>((LEN($C244)-LEN(SUBSTITUTE($C244,Table4679[[#Headers],[19_1]],"")))/4)*$D244</f>
        <v>0</v>
      </c>
      <c r="X244" s="51">
        <f>((LEN($C244)-LEN(SUBSTITUTE($C244,Table4679[[#Headers],[20_0]],"")))/4)*$D244</f>
        <v>0</v>
      </c>
      <c r="Y244" s="51">
        <f>((LEN($C244)-LEN(SUBSTITUTE($C244,Table4679[[#Headers],[20_1]],"")))/4)*$D244</f>
        <v>0</v>
      </c>
      <c r="Z244" s="51">
        <f>((LEN($C244)-LEN(SUBSTITUTE($C244,Table4679[[#Headers],[20_2]],"")))/4)*$D244</f>
        <v>0</v>
      </c>
      <c r="AA244" s="51">
        <f>((LEN($C244)-LEN(SUBSTITUTE($C244,Table4679[[#Headers],[20_3]],"")))/4)*$D244</f>
        <v>0</v>
      </c>
      <c r="AB244" s="51">
        <f>((LEN($C244)-LEN(SUBSTITUTE($C244,Table4679[[#Headers],[20_4]],"")))/4)*$D244</f>
        <v>0</v>
      </c>
      <c r="AC244" s="51">
        <f>((LEN($C244)-LEN(SUBSTITUTE($C244,Table4679[[#Headers],[20_5]],"")))/4)*$D244</f>
        <v>0</v>
      </c>
      <c r="AD244" s="51">
        <f>((LEN($C244)-LEN(SUBSTITUTE($C244,Table4679[[#Headers],[22_0]],"")))/4)*$D244</f>
        <v>0</v>
      </c>
      <c r="AE244" s="51">
        <f>((LEN($C244)-LEN(SUBSTITUTE($C244,Table4679[[#Headers],[22_5]],"")))/4)*$D244</f>
        <v>0</v>
      </c>
      <c r="AF244" s="51">
        <f>((LEN($C244)-LEN(SUBSTITUTE($C244,Table4679[[#Headers],[22_6]],"")))/4)*$D244</f>
        <v>0</v>
      </c>
      <c r="AG244" s="51">
        <f t="shared" si="59"/>
        <v>1.4225985363621032E-4</v>
      </c>
      <c r="AH244" s="51">
        <f t="shared" si="60"/>
        <v>0</v>
      </c>
      <c r="AI244" s="51">
        <f>Table4679[[#This Row],[Column29]]/$D$251*0.5</f>
        <v>1.4384796492496502E-3</v>
      </c>
      <c r="AJ244" s="51">
        <f>Table4679[[#This Row],[Column29]]/$D$251*1.5</f>
        <v>4.3154389477489509E-3</v>
      </c>
    </row>
    <row r="245" spans="3:38">
      <c r="C245" s="53" t="s">
        <v>548</v>
      </c>
      <c r="D245" s="44">
        <v>7.287737971214641E-5</v>
      </c>
      <c r="E245" s="51">
        <f>((LEN($C245)-LEN(SUBSTITUTE($C245,Table4679[[#Headers],[12_0]],"")))/4)*$D245</f>
        <v>0</v>
      </c>
      <c r="F245" s="51">
        <f>((LEN($C245)-LEN(SUBSTITUTE($C245,Table4679[[#Headers],[13_0]],"")))/4)*$D245</f>
        <v>0</v>
      </c>
      <c r="G245" s="51">
        <f>((LEN($C245)-LEN(SUBSTITUTE($C245,Table4679[[#Headers],[14_0]],"")))/4)*$D245</f>
        <v>0</v>
      </c>
      <c r="H245" s="51">
        <f>((LEN($C245)-LEN(SUBSTITUTE($C245,Table4679[[#Headers],[14_1]],"")))/4)*$D245</f>
        <v>0</v>
      </c>
      <c r="I245" s="51">
        <f>((LEN($C245)-LEN(SUBSTITUTE($C245,Table4679[[#Headers],[15_0]],"")))/4)*$D245</f>
        <v>0</v>
      </c>
      <c r="J245" s="51">
        <f>((LEN($C245)-LEN(SUBSTITUTE($C245,Table4679[[#Headers],[15_1]],"")))/4)*$D245</f>
        <v>0</v>
      </c>
      <c r="K245" s="51">
        <f>((LEN($C245)-LEN(SUBSTITUTE($C245,Table4679[[#Headers],[16_0]],"")))/4)*$D245</f>
        <v>0</v>
      </c>
      <c r="L245" s="51">
        <f>((LEN($C245)-LEN(SUBSTITUTE($C245,Table4679[[#Headers],[16_1]],"")))/4)*$D245</f>
        <v>7.287737971214641E-5</v>
      </c>
      <c r="M245" s="51">
        <f>((LEN($C245)-LEN(SUBSTITUTE($C245,Table4679[[#Headers],[16_2]],"")))/4)*$D245</f>
        <v>0</v>
      </c>
      <c r="N245" s="51">
        <f>((LEN($C245)-LEN(SUBSTITUTE($C245,Table4679[[#Headers],[16_3]],"")))/4)*$D245</f>
        <v>0</v>
      </c>
      <c r="O245" s="51">
        <f>((LEN($C245)-LEN(SUBSTITUTE($C245,Table4679[[#Headers],[17_0]],"")))/4)*$D245</f>
        <v>0</v>
      </c>
      <c r="P245" s="51">
        <f>((LEN($C245)-LEN(SUBSTITUTE($C245,Table4679[[#Headers],[17_1]],"")))/4)*$D245</f>
        <v>0</v>
      </c>
      <c r="Q245" s="51">
        <f>((LEN($C245)-LEN(SUBSTITUTE($C245,Table4679[[#Headers],[18_0]],"")))/4)*$D245</f>
        <v>0</v>
      </c>
      <c r="R245" s="51">
        <f>((LEN($C245)-LEN(SUBSTITUTE($C245,Table4679[[#Headers],[18_1]],"")))/4)*$D245</f>
        <v>0</v>
      </c>
      <c r="S245" s="51">
        <f>((LEN($C245)-LEN(SUBSTITUTE($C245,Table4679[[#Headers],[18_2]],"")))/4)*$D245</f>
        <v>0</v>
      </c>
      <c r="T245" s="51">
        <f>((LEN($C245)-LEN(SUBSTITUTE($C245,Table4679[[#Headers],[18_3]],"")))/4)*$D245</f>
        <v>0</v>
      </c>
      <c r="U245" s="51">
        <f>((LEN($C245)-LEN(SUBSTITUTE($C245,Table4679[[#Headers],[18_4]],"")))/4)*$D245</f>
        <v>0</v>
      </c>
      <c r="V245" s="51">
        <f>((LEN($C245)-LEN(SUBSTITUTE($C245,Table4679[[#Headers],[18_5]],"")))/4)*$D245</f>
        <v>0</v>
      </c>
      <c r="W245" s="51">
        <f>((LEN($C245)-LEN(SUBSTITUTE($C245,Table4679[[#Headers],[19_1]],"")))/4)*$D245</f>
        <v>0</v>
      </c>
      <c r="X245" s="51">
        <f>((LEN($C245)-LEN(SUBSTITUTE($C245,Table4679[[#Headers],[20_0]],"")))/4)*$D245</f>
        <v>0</v>
      </c>
      <c r="Y245" s="51">
        <f>((LEN($C245)-LEN(SUBSTITUTE($C245,Table4679[[#Headers],[20_1]],"")))/4)*$D245</f>
        <v>0</v>
      </c>
      <c r="Z245" s="51">
        <f>((LEN($C245)-LEN(SUBSTITUTE($C245,Table4679[[#Headers],[20_2]],"")))/4)*$D245</f>
        <v>0</v>
      </c>
      <c r="AA245" s="51">
        <f>((LEN($C245)-LEN(SUBSTITUTE($C245,Table4679[[#Headers],[20_3]],"")))/4)*$D245</f>
        <v>0</v>
      </c>
      <c r="AB245" s="51">
        <f>((LEN($C245)-LEN(SUBSTITUTE($C245,Table4679[[#Headers],[20_4]],"")))/4)*$D245</f>
        <v>0</v>
      </c>
      <c r="AC245" s="51">
        <f>((LEN($C245)-LEN(SUBSTITUTE($C245,Table4679[[#Headers],[20_5]],"")))/4)*$D245</f>
        <v>7.287737971214641E-5</v>
      </c>
      <c r="AD245" s="51">
        <f>((LEN($C245)-LEN(SUBSTITUTE($C245,Table4679[[#Headers],[22_0]],"")))/4)*$D245</f>
        <v>0</v>
      </c>
      <c r="AE245" s="51">
        <f>((LEN($C245)-LEN(SUBSTITUTE($C245,Table4679[[#Headers],[22_5]],"")))/4)*$D245</f>
        <v>0</v>
      </c>
      <c r="AF245" s="51">
        <f>((LEN($C245)-LEN(SUBSTITUTE($C245,Table4679[[#Headers],[22_6]],"")))/4)*$D245</f>
        <v>0</v>
      </c>
      <c r="AG245" s="51">
        <f t="shared" si="59"/>
        <v>7.287737971214641E-5</v>
      </c>
      <c r="AH245" s="51">
        <f t="shared" si="60"/>
        <v>0</v>
      </c>
      <c r="AI245" s="51">
        <f>Table4679[[#This Row],[Column29]]/$D$251*0.5</f>
        <v>7.3690942965990943E-4</v>
      </c>
      <c r="AJ245" s="51">
        <f>Table4679[[#This Row],[Column29]]/$D$251*1.5</f>
        <v>2.2107282889797285E-3</v>
      </c>
    </row>
    <row r="246" spans="3:38">
      <c r="C246" s="53" t="s">
        <v>549</v>
      </c>
      <c r="D246" s="51">
        <v>3.12049252045759E-4</v>
      </c>
      <c r="E246" s="51">
        <f>((LEN($C246)-LEN(SUBSTITUTE($C246,Table4679[[#Headers],[12_0]],"")))/4)*$D246</f>
        <v>0</v>
      </c>
      <c r="F246" s="51">
        <f>((LEN($C246)-LEN(SUBSTITUTE($C246,Table4679[[#Headers],[13_0]],"")))/4)*$D246</f>
        <v>0</v>
      </c>
      <c r="G246" s="51">
        <f>((LEN($C246)-LEN(SUBSTITUTE($C246,Table4679[[#Headers],[14_0]],"")))/4)*$D246</f>
        <v>0</v>
      </c>
      <c r="H246" s="51">
        <f>((LEN($C246)-LEN(SUBSTITUTE($C246,Table4679[[#Headers],[14_1]],"")))/4)*$D246</f>
        <v>0</v>
      </c>
      <c r="I246" s="51">
        <f>((LEN($C246)-LEN(SUBSTITUTE($C246,Table4679[[#Headers],[15_0]],"")))/4)*$D246</f>
        <v>0</v>
      </c>
      <c r="J246" s="51">
        <f>((LEN($C246)-LEN(SUBSTITUTE($C246,Table4679[[#Headers],[15_1]],"")))/4)*$D246</f>
        <v>0</v>
      </c>
      <c r="K246" s="51">
        <f>((LEN($C246)-LEN(SUBSTITUTE($C246,Table4679[[#Headers],[16_0]],"")))/4)*$D246</f>
        <v>0</v>
      </c>
      <c r="L246" s="51">
        <f>((LEN($C246)-LEN(SUBSTITUTE($C246,Table4679[[#Headers],[16_1]],"")))/4)*$D246</f>
        <v>0</v>
      </c>
      <c r="M246" s="51">
        <f>((LEN($C246)-LEN(SUBSTITUTE($C246,Table4679[[#Headers],[16_2]],"")))/4)*$D246</f>
        <v>3.12049252045759E-4</v>
      </c>
      <c r="N246" s="51">
        <f>((LEN($C246)-LEN(SUBSTITUTE($C246,Table4679[[#Headers],[16_3]],"")))/4)*$D246</f>
        <v>0</v>
      </c>
      <c r="O246" s="51">
        <f>((LEN($C246)-LEN(SUBSTITUTE($C246,Table4679[[#Headers],[17_0]],"")))/4)*$D246</f>
        <v>0</v>
      </c>
      <c r="P246" s="51">
        <f>((LEN($C246)-LEN(SUBSTITUTE($C246,Table4679[[#Headers],[17_1]],"")))/4)*$D246</f>
        <v>0</v>
      </c>
      <c r="Q246" s="51">
        <f>((LEN($C246)-LEN(SUBSTITUTE($C246,Table4679[[#Headers],[18_0]],"")))/4)*$D246</f>
        <v>0</v>
      </c>
      <c r="R246" s="51">
        <f>((LEN($C246)-LEN(SUBSTITUTE($C246,Table4679[[#Headers],[18_1]],"")))/4)*$D246</f>
        <v>0</v>
      </c>
      <c r="S246" s="51">
        <f>((LEN($C246)-LEN(SUBSTITUTE($C246,Table4679[[#Headers],[18_2]],"")))/4)*$D246</f>
        <v>0</v>
      </c>
      <c r="T246" s="51">
        <f>((LEN($C246)-LEN(SUBSTITUTE($C246,Table4679[[#Headers],[18_3]],"")))/4)*$D246</f>
        <v>0</v>
      </c>
      <c r="U246" s="51">
        <f>((LEN($C246)-LEN(SUBSTITUTE($C246,Table4679[[#Headers],[18_4]],"")))/4)*$D246</f>
        <v>0</v>
      </c>
      <c r="V246" s="51">
        <f>((LEN($C246)-LEN(SUBSTITUTE($C246,Table4679[[#Headers],[18_5]],"")))/4)*$D246</f>
        <v>0</v>
      </c>
      <c r="W246" s="51">
        <f>((LEN($C246)-LEN(SUBSTITUTE($C246,Table4679[[#Headers],[19_1]],"")))/4)*$D246</f>
        <v>0</v>
      </c>
      <c r="X246" s="51">
        <f>((LEN($C246)-LEN(SUBSTITUTE($C246,Table4679[[#Headers],[20_0]],"")))/4)*$D246</f>
        <v>0</v>
      </c>
      <c r="Y246" s="51">
        <f>((LEN($C246)-LEN(SUBSTITUTE($C246,Table4679[[#Headers],[20_1]],"")))/4)*$D246</f>
        <v>0</v>
      </c>
      <c r="Z246" s="51">
        <f>((LEN($C246)-LEN(SUBSTITUTE($C246,Table4679[[#Headers],[20_2]],"")))/4)*$D246</f>
        <v>0</v>
      </c>
      <c r="AA246" s="51">
        <f>((LEN($C246)-LEN(SUBSTITUTE($C246,Table4679[[#Headers],[20_3]],"")))/4)*$D246</f>
        <v>0</v>
      </c>
      <c r="AB246" s="51">
        <f>((LEN($C246)-LEN(SUBSTITUTE($C246,Table4679[[#Headers],[20_4]],"")))/4)*$D246</f>
        <v>0</v>
      </c>
      <c r="AC246" s="51">
        <f>((LEN($C246)-LEN(SUBSTITUTE($C246,Table4679[[#Headers],[20_5]],"")))/4)*$D246</f>
        <v>3.12049252045759E-4</v>
      </c>
      <c r="AD246" s="51">
        <f>((LEN($C246)-LEN(SUBSTITUTE($C246,Table4679[[#Headers],[22_0]],"")))/4)*$D246</f>
        <v>0</v>
      </c>
      <c r="AE246" s="51">
        <f>((LEN($C246)-LEN(SUBSTITUTE($C246,Table4679[[#Headers],[22_5]],"")))/4)*$D246</f>
        <v>0</v>
      </c>
      <c r="AF246" s="51">
        <f>((LEN($C246)-LEN(SUBSTITUTE($C246,Table4679[[#Headers],[22_6]],"")))/4)*$D246</f>
        <v>0</v>
      </c>
      <c r="AG246" s="51">
        <f t="shared" si="59"/>
        <v>3.12049252045759E-4</v>
      </c>
      <c r="AH246" s="51">
        <f t="shared" si="60"/>
        <v>0</v>
      </c>
      <c r="AI246" s="51">
        <f>Table4679[[#This Row],[Column29]]/$D$251*0.5</f>
        <v>3.1553279942159564E-3</v>
      </c>
      <c r="AJ246" s="51">
        <f>Table4679[[#This Row],[Column29]]/$D$251*1.5</f>
        <v>9.4659839826478701E-3</v>
      </c>
    </row>
    <row r="247" spans="3:38">
      <c r="C247" s="53" t="s">
        <v>550</v>
      </c>
      <c r="D247" s="44">
        <v>4.3717805149892659E-2</v>
      </c>
      <c r="E247" s="51">
        <f>((LEN($C247)-LEN(SUBSTITUTE($C247,Table4679[[#Headers],[12_0]],"")))/4)*$D247</f>
        <v>0</v>
      </c>
      <c r="F247" s="51">
        <f>((LEN($C247)-LEN(SUBSTITUTE($C247,Table4679[[#Headers],[13_0]],"")))/4)*$D247</f>
        <v>0</v>
      </c>
      <c r="G247" s="51">
        <f>((LEN($C247)-LEN(SUBSTITUTE($C247,Table4679[[#Headers],[14_0]],"")))/4)*$D247</f>
        <v>0</v>
      </c>
      <c r="H247" s="51">
        <f>((LEN($C247)-LEN(SUBSTITUTE($C247,Table4679[[#Headers],[14_1]],"")))/4)*$D247</f>
        <v>0</v>
      </c>
      <c r="I247" s="51">
        <f>((LEN($C247)-LEN(SUBSTITUTE($C247,Table4679[[#Headers],[15_0]],"")))/4)*$D247</f>
        <v>0</v>
      </c>
      <c r="J247" s="51">
        <f>((LEN($C247)-LEN(SUBSTITUTE($C247,Table4679[[#Headers],[15_1]],"")))/4)*$D247</f>
        <v>0</v>
      </c>
      <c r="K247" s="51">
        <f>((LEN($C247)-LEN(SUBSTITUTE($C247,Table4679[[#Headers],[16_0]],"")))/4)*$D247</f>
        <v>0</v>
      </c>
      <c r="L247" s="51">
        <f>((LEN($C247)-LEN(SUBSTITUTE($C247,Table4679[[#Headers],[16_1]],"")))/4)*$D247</f>
        <v>0</v>
      </c>
      <c r="M247" s="51">
        <f>((LEN($C247)-LEN(SUBSTITUTE($C247,Table4679[[#Headers],[16_2]],"")))/4)*$D247</f>
        <v>0</v>
      </c>
      <c r="N247" s="51">
        <f>((LEN($C247)-LEN(SUBSTITUTE($C247,Table4679[[#Headers],[16_3]],"")))/4)*$D247</f>
        <v>0</v>
      </c>
      <c r="O247" s="51">
        <f>((LEN($C247)-LEN(SUBSTITUTE($C247,Table4679[[#Headers],[17_0]],"")))/4)*$D247</f>
        <v>8.7435610299785319E-2</v>
      </c>
      <c r="P247" s="51">
        <f>((LEN($C247)-LEN(SUBSTITUTE($C247,Table4679[[#Headers],[17_1]],"")))/4)*$D247</f>
        <v>0</v>
      </c>
      <c r="Q247" s="51">
        <f>((LEN($C247)-LEN(SUBSTITUTE($C247,Table4679[[#Headers],[18_0]],"")))/4)*$D247</f>
        <v>0</v>
      </c>
      <c r="R247" s="51">
        <f>((LEN($C247)-LEN(SUBSTITUTE($C247,Table4679[[#Headers],[18_1]],"")))/4)*$D247</f>
        <v>0</v>
      </c>
      <c r="S247" s="51">
        <f>((LEN($C247)-LEN(SUBSTITUTE($C247,Table4679[[#Headers],[18_2]],"")))/4)*$D247</f>
        <v>0</v>
      </c>
      <c r="T247" s="51">
        <f>((LEN($C247)-LEN(SUBSTITUTE($C247,Table4679[[#Headers],[18_3]],"")))/4)*$D247</f>
        <v>0</v>
      </c>
      <c r="U247" s="51">
        <f>((LEN($C247)-LEN(SUBSTITUTE($C247,Table4679[[#Headers],[18_4]],"")))/4)*$D247</f>
        <v>0</v>
      </c>
      <c r="V247" s="51">
        <f>((LEN($C247)-LEN(SUBSTITUTE($C247,Table4679[[#Headers],[18_5]],"")))/4)*$D247</f>
        <v>0</v>
      </c>
      <c r="W247" s="51">
        <f>((LEN($C247)-LEN(SUBSTITUTE($C247,Table4679[[#Headers],[19_1]],"")))/4)*$D247</f>
        <v>0</v>
      </c>
      <c r="X247" s="51">
        <f>((LEN($C247)-LEN(SUBSTITUTE($C247,Table4679[[#Headers],[20_0]],"")))/4)*$D247</f>
        <v>0</v>
      </c>
      <c r="Y247" s="51">
        <f>((LEN($C247)-LEN(SUBSTITUTE($C247,Table4679[[#Headers],[20_1]],"")))/4)*$D247</f>
        <v>0</v>
      </c>
      <c r="Z247" s="51">
        <f>((LEN($C247)-LEN(SUBSTITUTE($C247,Table4679[[#Headers],[20_2]],"")))/4)*$D247</f>
        <v>0</v>
      </c>
      <c r="AA247" s="51">
        <f>((LEN($C247)-LEN(SUBSTITUTE($C247,Table4679[[#Headers],[20_3]],"")))/4)*$D247</f>
        <v>0</v>
      </c>
      <c r="AB247" s="51">
        <f>((LEN($C247)-LEN(SUBSTITUTE($C247,Table4679[[#Headers],[20_4]],"")))/4)*$D247</f>
        <v>0</v>
      </c>
      <c r="AC247" s="51">
        <f>((LEN($C247)-LEN(SUBSTITUTE($C247,Table4679[[#Headers],[20_5]],"")))/4)*$D247</f>
        <v>0</v>
      </c>
      <c r="AD247" s="51">
        <f>((LEN($C247)-LEN(SUBSTITUTE($C247,Table4679[[#Headers],[22_0]],"")))/4)*$D247</f>
        <v>0</v>
      </c>
      <c r="AE247" s="51">
        <f>((LEN($C247)-LEN(SUBSTITUTE($C247,Table4679[[#Headers],[22_5]],"")))/4)*$D247</f>
        <v>0</v>
      </c>
      <c r="AF247" s="51">
        <f>((LEN($C247)-LEN(SUBSTITUTE($C247,Table4679[[#Headers],[22_6]],"")))/4)*$D247</f>
        <v>0</v>
      </c>
      <c r="AG247" s="51">
        <f t="shared" si="59"/>
        <v>4.3717805149892659E-2</v>
      </c>
      <c r="AH247" s="51">
        <f t="shared" si="60"/>
        <v>0</v>
      </c>
      <c r="AI247" s="51">
        <f>Table4679[[#This Row],[Column29]]/$D$251*0.5</f>
        <v>0.44205846843339547</v>
      </c>
      <c r="AJ247" s="51">
        <f>Table4679[[#This Row],[Column29]]/$D$251*1.5</f>
        <v>1.3261754053001864</v>
      </c>
    </row>
    <row r="248" spans="3:38">
      <c r="C248" s="53" t="s">
        <v>551</v>
      </c>
      <c r="D248" s="51">
        <v>3.9368394896623993E-3</v>
      </c>
      <c r="E248" s="51">
        <f>((LEN($C248)-LEN(SUBSTITUTE($C248,Table4679[[#Headers],[12_0]],"")))/4)*$D248</f>
        <v>0</v>
      </c>
      <c r="F248" s="51">
        <f>((LEN($C248)-LEN(SUBSTITUTE($C248,Table4679[[#Headers],[13_0]],"")))/4)*$D248</f>
        <v>0</v>
      </c>
      <c r="G248" s="51">
        <f>((LEN($C248)-LEN(SUBSTITUTE($C248,Table4679[[#Headers],[14_0]],"")))/4)*$D248</f>
        <v>0</v>
      </c>
      <c r="H248" s="51">
        <f>((LEN($C248)-LEN(SUBSTITUTE($C248,Table4679[[#Headers],[14_1]],"")))/4)*$D248</f>
        <v>0</v>
      </c>
      <c r="I248" s="51">
        <f>((LEN($C248)-LEN(SUBSTITUTE($C248,Table4679[[#Headers],[15_0]],"")))/4)*$D248</f>
        <v>0</v>
      </c>
      <c r="J248" s="51">
        <f>((LEN($C248)-LEN(SUBSTITUTE($C248,Table4679[[#Headers],[15_1]],"")))/4)*$D248</f>
        <v>0</v>
      </c>
      <c r="K248" s="51">
        <f>((LEN($C248)-LEN(SUBSTITUTE($C248,Table4679[[#Headers],[16_0]],"")))/4)*$D248</f>
        <v>0</v>
      </c>
      <c r="L248" s="51">
        <f>((LEN($C248)-LEN(SUBSTITUTE($C248,Table4679[[#Headers],[16_1]],"")))/4)*$D248</f>
        <v>0</v>
      </c>
      <c r="M248" s="51">
        <f>((LEN($C248)-LEN(SUBSTITUTE($C248,Table4679[[#Headers],[16_2]],"")))/4)*$D248</f>
        <v>0</v>
      </c>
      <c r="N248" s="51">
        <f>((LEN($C248)-LEN(SUBSTITUTE($C248,Table4679[[#Headers],[16_3]],"")))/4)*$D248</f>
        <v>0</v>
      </c>
      <c r="O248" s="51">
        <f>((LEN($C248)-LEN(SUBSTITUTE($C248,Table4679[[#Headers],[17_0]],"")))/4)*$D248</f>
        <v>0</v>
      </c>
      <c r="P248" s="51">
        <f>((LEN($C248)-LEN(SUBSTITUTE($C248,Table4679[[#Headers],[17_1]],"")))/4)*$D248</f>
        <v>0</v>
      </c>
      <c r="Q248" s="51">
        <f>((LEN($C248)-LEN(SUBSTITUTE($C248,Table4679[[#Headers],[18_0]],"")))/4)*$D248</f>
        <v>0</v>
      </c>
      <c r="R248" s="51">
        <f>((LEN($C248)-LEN(SUBSTITUTE($C248,Table4679[[#Headers],[18_1]],"")))/4)*$D248</f>
        <v>7.8736789793247986E-3</v>
      </c>
      <c r="S248" s="51">
        <f>((LEN($C248)-LEN(SUBSTITUTE($C248,Table4679[[#Headers],[18_2]],"")))/4)*$D248</f>
        <v>0</v>
      </c>
      <c r="T248" s="51">
        <f>((LEN($C248)-LEN(SUBSTITUTE($C248,Table4679[[#Headers],[18_3]],"")))/4)*$D248</f>
        <v>0</v>
      </c>
      <c r="U248" s="51">
        <f>((LEN($C248)-LEN(SUBSTITUTE($C248,Table4679[[#Headers],[18_4]],"")))/4)*$D248</f>
        <v>0</v>
      </c>
      <c r="V248" s="51">
        <f>((LEN($C248)-LEN(SUBSTITUTE($C248,Table4679[[#Headers],[18_5]],"")))/4)*$D248</f>
        <v>0</v>
      </c>
      <c r="W248" s="51">
        <f>((LEN($C248)-LEN(SUBSTITUTE($C248,Table4679[[#Headers],[19_1]],"")))/4)*$D248</f>
        <v>0</v>
      </c>
      <c r="X248" s="51">
        <f>((LEN($C248)-LEN(SUBSTITUTE($C248,Table4679[[#Headers],[20_0]],"")))/4)*$D248</f>
        <v>0</v>
      </c>
      <c r="Y248" s="51">
        <f>((LEN($C248)-LEN(SUBSTITUTE($C248,Table4679[[#Headers],[20_1]],"")))/4)*$D248</f>
        <v>0</v>
      </c>
      <c r="Z248" s="51">
        <f>((LEN($C248)-LEN(SUBSTITUTE($C248,Table4679[[#Headers],[20_2]],"")))/4)*$D248</f>
        <v>0</v>
      </c>
      <c r="AA248" s="51">
        <f>((LEN($C248)-LEN(SUBSTITUTE($C248,Table4679[[#Headers],[20_3]],"")))/4)*$D248</f>
        <v>0</v>
      </c>
      <c r="AB248" s="51">
        <f>((LEN($C248)-LEN(SUBSTITUTE($C248,Table4679[[#Headers],[20_4]],"")))/4)*$D248</f>
        <v>0</v>
      </c>
      <c r="AC248" s="51">
        <f>((LEN($C248)-LEN(SUBSTITUTE($C248,Table4679[[#Headers],[20_5]],"")))/4)*$D248</f>
        <v>0</v>
      </c>
      <c r="AD248" s="51">
        <f>((LEN($C248)-LEN(SUBSTITUTE($C248,Table4679[[#Headers],[22_0]],"")))/4)*$D248</f>
        <v>0</v>
      </c>
      <c r="AE248" s="51">
        <f>((LEN($C248)-LEN(SUBSTITUTE($C248,Table4679[[#Headers],[22_5]],"")))/4)*$D248</f>
        <v>0</v>
      </c>
      <c r="AF248" s="51">
        <f>((LEN($C248)-LEN(SUBSTITUTE($C248,Table4679[[#Headers],[22_6]],"")))/4)*$D248</f>
        <v>0</v>
      </c>
      <c r="AG248" s="51">
        <f t="shared" si="59"/>
        <v>3.9368394896623993E-3</v>
      </c>
      <c r="AH248" s="51">
        <f t="shared" si="60"/>
        <v>0</v>
      </c>
      <c r="AI248" s="51">
        <f>Table4679[[#This Row],[Column29]]/$D$251*0.5</f>
        <v>3.9807882150107061E-2</v>
      </c>
      <c r="AJ248" s="51">
        <f>Table4679[[#This Row],[Column29]]/$D$251*1.5</f>
        <v>0.11942364645032119</v>
      </c>
    </row>
    <row r="249" spans="3:38">
      <c r="C249" s="53" t="s">
        <v>552</v>
      </c>
      <c r="D249" s="44">
        <v>8.5032203694797249E-4</v>
      </c>
      <c r="E249" s="51">
        <f>((LEN($C249)-LEN(SUBSTITUTE($C249,Table4679[[#Headers],[12_0]],"")))/4)*$D249</f>
        <v>0</v>
      </c>
      <c r="F249" s="51">
        <f>((LEN($C249)-LEN(SUBSTITUTE($C249,Table4679[[#Headers],[13_0]],"")))/4)*$D249</f>
        <v>0</v>
      </c>
      <c r="G249" s="51">
        <f>((LEN($C249)-LEN(SUBSTITUTE($C249,Table4679[[#Headers],[14_0]],"")))/4)*$D249</f>
        <v>0</v>
      </c>
      <c r="H249" s="51">
        <f>((LEN($C249)-LEN(SUBSTITUTE($C249,Table4679[[#Headers],[14_1]],"")))/4)*$D249</f>
        <v>0</v>
      </c>
      <c r="I249" s="51">
        <f>((LEN($C249)-LEN(SUBSTITUTE($C249,Table4679[[#Headers],[15_0]],"")))/4)*$D249</f>
        <v>0</v>
      </c>
      <c r="J249" s="51">
        <f>((LEN($C249)-LEN(SUBSTITUTE($C249,Table4679[[#Headers],[15_1]],"")))/4)*$D249</f>
        <v>0</v>
      </c>
      <c r="K249" s="51">
        <f>((LEN($C249)-LEN(SUBSTITUTE($C249,Table4679[[#Headers],[16_0]],"")))/4)*$D249</f>
        <v>0</v>
      </c>
      <c r="L249" s="51">
        <f>((LEN($C249)-LEN(SUBSTITUTE($C249,Table4679[[#Headers],[16_1]],"")))/4)*$D249</f>
        <v>0</v>
      </c>
      <c r="M249" s="51">
        <f>((LEN($C249)-LEN(SUBSTITUTE($C249,Table4679[[#Headers],[16_2]],"")))/4)*$D249</f>
        <v>0</v>
      </c>
      <c r="N249" s="51">
        <f>((LEN($C249)-LEN(SUBSTITUTE($C249,Table4679[[#Headers],[16_3]],"")))/4)*$D249</f>
        <v>0</v>
      </c>
      <c r="O249" s="51">
        <f>((LEN($C249)-LEN(SUBSTITUTE($C249,Table4679[[#Headers],[17_0]],"")))/4)*$D249</f>
        <v>0</v>
      </c>
      <c r="P249" s="51">
        <f>((LEN($C249)-LEN(SUBSTITUTE($C249,Table4679[[#Headers],[17_1]],"")))/4)*$D249</f>
        <v>0</v>
      </c>
      <c r="Q249" s="51">
        <f>((LEN($C249)-LEN(SUBSTITUTE($C249,Table4679[[#Headers],[18_0]],"")))/4)*$D249</f>
        <v>0</v>
      </c>
      <c r="R249" s="51">
        <f>((LEN($C249)-LEN(SUBSTITUTE($C249,Table4679[[#Headers],[18_1]],"")))/4)*$D249</f>
        <v>8.5032203694797249E-4</v>
      </c>
      <c r="S249" s="51">
        <f>((LEN($C249)-LEN(SUBSTITUTE($C249,Table4679[[#Headers],[18_2]],"")))/4)*$D249</f>
        <v>0</v>
      </c>
      <c r="T249" s="51">
        <f>((LEN($C249)-LEN(SUBSTITUTE($C249,Table4679[[#Headers],[18_3]],"")))/4)*$D249</f>
        <v>0</v>
      </c>
      <c r="U249" s="51">
        <f>((LEN($C249)-LEN(SUBSTITUTE($C249,Table4679[[#Headers],[18_4]],"")))/4)*$D249</f>
        <v>0</v>
      </c>
      <c r="V249" s="51">
        <f>((LEN($C249)-LEN(SUBSTITUTE($C249,Table4679[[#Headers],[18_5]],"")))/4)*$D249</f>
        <v>0</v>
      </c>
      <c r="W249" s="51">
        <f>((LEN($C249)-LEN(SUBSTITUTE($C249,Table4679[[#Headers],[19_1]],"")))/4)*$D249</f>
        <v>8.5032203694797249E-4</v>
      </c>
      <c r="X249" s="51">
        <f>((LEN($C249)-LEN(SUBSTITUTE($C249,Table4679[[#Headers],[20_0]],"")))/4)*$D249</f>
        <v>0</v>
      </c>
      <c r="Y249" s="51">
        <f>((LEN($C249)-LEN(SUBSTITUTE($C249,Table4679[[#Headers],[20_1]],"")))/4)*$D249</f>
        <v>0</v>
      </c>
      <c r="Z249" s="51">
        <f>((LEN($C249)-LEN(SUBSTITUTE($C249,Table4679[[#Headers],[20_2]],"")))/4)*$D249</f>
        <v>0</v>
      </c>
      <c r="AA249" s="51">
        <f>((LEN($C249)-LEN(SUBSTITUTE($C249,Table4679[[#Headers],[20_3]],"")))/4)*$D249</f>
        <v>0</v>
      </c>
      <c r="AB249" s="51">
        <f>((LEN($C249)-LEN(SUBSTITUTE($C249,Table4679[[#Headers],[20_4]],"")))/4)*$D249</f>
        <v>0</v>
      </c>
      <c r="AC249" s="51">
        <f>((LEN($C249)-LEN(SUBSTITUTE($C249,Table4679[[#Headers],[20_5]],"")))/4)*$D249</f>
        <v>0</v>
      </c>
      <c r="AD249" s="51">
        <f>((LEN($C249)-LEN(SUBSTITUTE($C249,Table4679[[#Headers],[22_0]],"")))/4)*$D249</f>
        <v>0</v>
      </c>
      <c r="AE249" s="51">
        <f>((LEN($C249)-LEN(SUBSTITUTE($C249,Table4679[[#Headers],[22_5]],"")))/4)*$D249</f>
        <v>0</v>
      </c>
      <c r="AF249" s="51">
        <f>((LEN($C249)-LEN(SUBSTITUTE($C249,Table4679[[#Headers],[22_6]],"")))/4)*$D249</f>
        <v>0</v>
      </c>
      <c r="AG249" s="51">
        <f t="shared" si="59"/>
        <v>8.5032203694797249E-4</v>
      </c>
      <c r="AH249" s="51">
        <f t="shared" si="60"/>
        <v>0</v>
      </c>
      <c r="AI249" s="51">
        <f>Table4679[[#This Row],[Column29]]/$D$251*0.5</f>
        <v>8.5981456763345489E-3</v>
      </c>
      <c r="AJ249" s="51">
        <f>Table4679[[#This Row],[Column29]]/$D$251*1.5</f>
        <v>2.5794437029003647E-2</v>
      </c>
    </row>
    <row r="250" spans="3:38">
      <c r="C250" s="53" t="s">
        <v>553</v>
      </c>
      <c r="D250" s="51">
        <v>1.4535370466172597E-4</v>
      </c>
      <c r="E250" s="51">
        <f>((LEN($C250)-LEN(SUBSTITUTE($C250,Table4679[[#Headers],[12_0]],"")))/4)*$D250</f>
        <v>0</v>
      </c>
      <c r="F250" s="51">
        <f>((LEN($C250)-LEN(SUBSTITUTE($C250,Table4679[[#Headers],[13_0]],"")))/4)*$D250</f>
        <v>0</v>
      </c>
      <c r="G250" s="51">
        <f>((LEN($C250)-LEN(SUBSTITUTE($C250,Table4679[[#Headers],[14_0]],"")))/4)*$D250</f>
        <v>0</v>
      </c>
      <c r="H250" s="51">
        <f>((LEN($C250)-LEN(SUBSTITUTE($C250,Table4679[[#Headers],[14_1]],"")))/4)*$D250</f>
        <v>0</v>
      </c>
      <c r="I250" s="51">
        <f>((LEN($C250)-LEN(SUBSTITUTE($C250,Table4679[[#Headers],[15_0]],"")))/4)*$D250</f>
        <v>0</v>
      </c>
      <c r="J250" s="51">
        <f>((LEN($C250)-LEN(SUBSTITUTE($C250,Table4679[[#Headers],[15_1]],"")))/4)*$D250</f>
        <v>0</v>
      </c>
      <c r="K250" s="51">
        <f>((LEN($C250)-LEN(SUBSTITUTE($C250,Table4679[[#Headers],[16_0]],"")))/4)*$D250</f>
        <v>0</v>
      </c>
      <c r="L250" s="51">
        <f>((LEN($C250)-LEN(SUBSTITUTE($C250,Table4679[[#Headers],[16_1]],"")))/4)*$D250</f>
        <v>0</v>
      </c>
      <c r="M250" s="51">
        <f>((LEN($C250)-LEN(SUBSTITUTE($C250,Table4679[[#Headers],[16_2]],"")))/4)*$D250</f>
        <v>0</v>
      </c>
      <c r="N250" s="51">
        <f>((LEN($C250)-LEN(SUBSTITUTE($C250,Table4679[[#Headers],[16_3]],"")))/4)*$D250</f>
        <v>0</v>
      </c>
      <c r="O250" s="51">
        <f>((LEN($C250)-LEN(SUBSTITUTE($C250,Table4679[[#Headers],[17_0]],"")))/4)*$D250</f>
        <v>0</v>
      </c>
      <c r="P250" s="51">
        <f>((LEN($C250)-LEN(SUBSTITUTE($C250,Table4679[[#Headers],[17_1]],"")))/4)*$D250</f>
        <v>0</v>
      </c>
      <c r="Q250" s="51">
        <f>((LEN($C250)-LEN(SUBSTITUTE($C250,Table4679[[#Headers],[18_0]],"")))/4)*$D250</f>
        <v>0</v>
      </c>
      <c r="R250" s="51">
        <f>((LEN($C250)-LEN(SUBSTITUTE($C250,Table4679[[#Headers],[18_1]],"")))/4)*$D250</f>
        <v>1.4535370466172597E-4</v>
      </c>
      <c r="S250" s="51">
        <f>((LEN($C250)-LEN(SUBSTITUTE($C250,Table4679[[#Headers],[18_2]],"")))/4)*$D250</f>
        <v>0</v>
      </c>
      <c r="T250" s="51">
        <f>((LEN($C250)-LEN(SUBSTITUTE($C250,Table4679[[#Headers],[18_3]],"")))/4)*$D250</f>
        <v>0</v>
      </c>
      <c r="U250" s="51">
        <f>((LEN($C250)-LEN(SUBSTITUTE($C250,Table4679[[#Headers],[18_4]],"")))/4)*$D250</f>
        <v>0</v>
      </c>
      <c r="V250" s="51">
        <f>((LEN($C250)-LEN(SUBSTITUTE($C250,Table4679[[#Headers],[18_5]],"")))/4)*$D250</f>
        <v>0</v>
      </c>
      <c r="W250" s="51">
        <f>((LEN($C250)-LEN(SUBSTITUTE($C250,Table4679[[#Headers],[19_1]],"")))/4)*$D250</f>
        <v>1.4535370466172597E-4</v>
      </c>
      <c r="X250" s="51">
        <f>((LEN($C250)-LEN(SUBSTITUTE($C250,Table4679[[#Headers],[20_0]],"")))/4)*$D250</f>
        <v>0</v>
      </c>
      <c r="Y250" s="51">
        <f>((LEN($C250)-LEN(SUBSTITUTE($C250,Table4679[[#Headers],[20_1]],"")))/4)*$D250</f>
        <v>0</v>
      </c>
      <c r="Z250" s="51">
        <f>((LEN($C250)-LEN(SUBSTITUTE($C250,Table4679[[#Headers],[20_2]],"")))/4)*$D250</f>
        <v>0</v>
      </c>
      <c r="AA250" s="51">
        <f>((LEN($C250)-LEN(SUBSTITUTE($C250,Table4679[[#Headers],[20_3]],"")))/4)*$D250</f>
        <v>0</v>
      </c>
      <c r="AB250" s="51">
        <f>((LEN($C250)-LEN(SUBSTITUTE($C250,Table4679[[#Headers],[20_4]],"")))/4)*$D250</f>
        <v>0</v>
      </c>
      <c r="AC250" s="51">
        <f>((LEN($C250)-LEN(SUBSTITUTE($C250,Table4679[[#Headers],[20_5]],"")))/4)*$D250</f>
        <v>0</v>
      </c>
      <c r="AD250" s="51">
        <f>((LEN($C250)-LEN(SUBSTITUTE($C250,Table4679[[#Headers],[22_0]],"")))/4)*$D250</f>
        <v>0</v>
      </c>
      <c r="AE250" s="51">
        <f>((LEN($C250)-LEN(SUBSTITUTE($C250,Table4679[[#Headers],[22_5]],"")))/4)*$D250</f>
        <v>0</v>
      </c>
      <c r="AF250" s="51">
        <f>((LEN($C250)-LEN(SUBSTITUTE($C250,Table4679[[#Headers],[22_6]],"")))/4)*$D250</f>
        <v>0</v>
      </c>
      <c r="AG250" s="51">
        <f t="shared" si="59"/>
        <v>1.4535370466172597E-4</v>
      </c>
      <c r="AH250" s="51">
        <f t="shared" si="60"/>
        <v>0</v>
      </c>
      <c r="AI250" s="51">
        <f>Table4679[[#This Row],[Column29]]/$D$251*0.5</f>
        <v>1.4697635401314387E-3</v>
      </c>
      <c r="AJ250" s="51">
        <f>Table4679[[#This Row],[Column29]]/$D$251*1.5</f>
        <v>4.4092906203943164E-3</v>
      </c>
      <c r="AK250" s="44">
        <f>AI249+AI250</f>
        <v>1.0067909216465987E-2</v>
      </c>
      <c r="AL250" s="44">
        <f>AJ249+AJ250</f>
        <v>3.0203727649397962E-2</v>
      </c>
    </row>
    <row r="251" spans="3:38">
      <c r="C251" s="51"/>
      <c r="D251" s="51">
        <f t="shared" ref="D251:AF251" si="61">SUM(D242:D250)</f>
        <v>4.944798965714145E-2</v>
      </c>
      <c r="E251" s="51">
        <f t="shared" si="61"/>
        <v>0</v>
      </c>
      <c r="F251" s="51">
        <f t="shared" si="61"/>
        <v>0</v>
      </c>
      <c r="G251" s="51">
        <f t="shared" si="61"/>
        <v>0</v>
      </c>
      <c r="H251" s="51">
        <f t="shared" si="61"/>
        <v>0</v>
      </c>
      <c r="I251" s="51">
        <f t="shared" si="61"/>
        <v>0</v>
      </c>
      <c r="J251" s="51">
        <f t="shared" si="61"/>
        <v>0</v>
      </c>
      <c r="K251" s="51">
        <f t="shared" si="61"/>
        <v>2.7048279058258112E-4</v>
      </c>
      <c r="L251" s="51">
        <f t="shared" si="61"/>
        <v>3.2101569066600346E-4</v>
      </c>
      <c r="M251" s="51">
        <f t="shared" si="61"/>
        <v>3.12049252045759E-4</v>
      </c>
      <c r="N251" s="51">
        <f t="shared" si="61"/>
        <v>0</v>
      </c>
      <c r="O251" s="51">
        <f t="shared" si="61"/>
        <v>8.7435610299785319E-2</v>
      </c>
      <c r="P251" s="51">
        <f t="shared" si="61"/>
        <v>0</v>
      </c>
      <c r="Q251" s="51">
        <f t="shared" si="61"/>
        <v>0</v>
      </c>
      <c r="R251" s="51">
        <f t="shared" si="61"/>
        <v>9.1762189078356416E-3</v>
      </c>
      <c r="S251" s="51">
        <f t="shared" si="61"/>
        <v>0</v>
      </c>
      <c r="T251" s="51">
        <f t="shared" si="61"/>
        <v>0</v>
      </c>
      <c r="U251" s="51">
        <f t="shared" si="61"/>
        <v>0</v>
      </c>
      <c r="V251" s="51">
        <f t="shared" si="61"/>
        <v>0</v>
      </c>
      <c r="W251" s="51">
        <f t="shared" si="61"/>
        <v>9.9567574160969847E-4</v>
      </c>
      <c r="X251" s="51">
        <f t="shared" si="61"/>
        <v>0</v>
      </c>
      <c r="Y251" s="51">
        <f t="shared" si="61"/>
        <v>0</v>
      </c>
      <c r="Z251" s="51">
        <f t="shared" si="61"/>
        <v>0</v>
      </c>
      <c r="AA251" s="51">
        <f t="shared" si="61"/>
        <v>0</v>
      </c>
      <c r="AB251" s="51">
        <f t="shared" si="61"/>
        <v>0</v>
      </c>
      <c r="AC251" s="51">
        <f t="shared" si="61"/>
        <v>3.8492663175790538E-4</v>
      </c>
      <c r="AD251" s="51">
        <f t="shared" si="61"/>
        <v>0</v>
      </c>
      <c r="AE251" s="51">
        <f t="shared" si="61"/>
        <v>0</v>
      </c>
      <c r="AF251" s="51">
        <f t="shared" si="61"/>
        <v>0</v>
      </c>
      <c r="AG251" s="51">
        <f t="shared" si="59"/>
        <v>4.944798965714145E-2</v>
      </c>
      <c r="AH251" s="51">
        <f t="shared" si="60"/>
        <v>0</v>
      </c>
      <c r="AI251" s="51">
        <f>Table4679[[#This Row],[Column29]]/$D$251*0.5</f>
        <v>0.5</v>
      </c>
      <c r="AJ251" s="51">
        <f>Table4679[[#This Row],[Column29]]/$D$251*1.5</f>
        <v>1.5</v>
      </c>
    </row>
    <row r="252" spans="3:38">
      <c r="D252" s="44">
        <f>SUM(E251:AF251)</f>
        <v>9.88959793142829E-2</v>
      </c>
      <c r="E252" s="44">
        <f>E251/$D$252*100</f>
        <v>0</v>
      </c>
      <c r="F252" s="44">
        <f t="shared" ref="F252:AF252" si="62">F251/$D$252*100</f>
        <v>0</v>
      </c>
      <c r="G252" s="44">
        <f t="shared" si="62"/>
        <v>0</v>
      </c>
      <c r="H252" s="44">
        <f t="shared" si="62"/>
        <v>0</v>
      </c>
      <c r="I252" s="44">
        <f t="shared" si="62"/>
        <v>0</v>
      </c>
      <c r="J252" s="44">
        <f t="shared" si="62"/>
        <v>0</v>
      </c>
      <c r="K252" s="44">
        <f t="shared" si="62"/>
        <v>0.27350231269059999</v>
      </c>
      <c r="L252" s="44">
        <f t="shared" si="62"/>
        <v>0.32459933446418815</v>
      </c>
      <c r="M252" s="44">
        <f t="shared" si="62"/>
        <v>0.31553279942159562</v>
      </c>
      <c r="N252" s="44">
        <f t="shared" si="62"/>
        <v>0</v>
      </c>
      <c r="O252" s="44">
        <f t="shared" si="62"/>
        <v>88.411693686679087</v>
      </c>
      <c r="P252" s="44">
        <f t="shared" si="62"/>
        <v>0</v>
      </c>
      <c r="Q252" s="44">
        <f t="shared" si="62"/>
        <v>0</v>
      </c>
      <c r="R252" s="44">
        <f t="shared" si="62"/>
        <v>9.2786572027103436</v>
      </c>
      <c r="S252" s="44">
        <f t="shared" si="62"/>
        <v>0</v>
      </c>
      <c r="T252" s="44">
        <f t="shared" si="62"/>
        <v>0</v>
      </c>
      <c r="U252" s="44">
        <f t="shared" si="62"/>
        <v>0</v>
      </c>
      <c r="V252" s="44">
        <f t="shared" si="62"/>
        <v>0</v>
      </c>
      <c r="W252" s="44">
        <f t="shared" si="62"/>
        <v>1.0067909216465987</v>
      </c>
      <c r="X252" s="44">
        <f t="shared" si="62"/>
        <v>0</v>
      </c>
      <c r="Y252" s="44">
        <f t="shared" si="62"/>
        <v>0</v>
      </c>
      <c r="Z252" s="44">
        <f t="shared" si="62"/>
        <v>0</v>
      </c>
      <c r="AA252" s="44">
        <f t="shared" si="62"/>
        <v>0</v>
      </c>
      <c r="AB252" s="44">
        <f t="shared" si="62"/>
        <v>0</v>
      </c>
      <c r="AC252" s="44">
        <f t="shared" si="62"/>
        <v>0.38922374238758656</v>
      </c>
      <c r="AD252" s="44">
        <f t="shared" si="62"/>
        <v>0</v>
      </c>
      <c r="AE252" s="44">
        <f t="shared" si="62"/>
        <v>0</v>
      </c>
      <c r="AF252" s="44">
        <f t="shared" si="62"/>
        <v>0</v>
      </c>
      <c r="AI252" s="51">
        <f>Table4679[[#This Row],[Column29]]/$D$251*0.5</f>
        <v>0</v>
      </c>
      <c r="AJ252" s="51">
        <f>Table4679[[#This Row],[Column29]]/$D$251*1.5</f>
        <v>0</v>
      </c>
    </row>
    <row r="253" spans="3:38">
      <c r="C253" s="51"/>
      <c r="D253" s="51">
        <f>SUM(E252:AF252)</f>
        <v>100</v>
      </c>
      <c r="E253" s="51">
        <f>IF(E252 &gt; 1, E252, 0)</f>
        <v>0</v>
      </c>
      <c r="F253" s="51">
        <f t="shared" ref="F253:AF253" si="63">IF(F252 &gt; 1, F252, 0)</f>
        <v>0</v>
      </c>
      <c r="G253" s="51">
        <f t="shared" si="63"/>
        <v>0</v>
      </c>
      <c r="H253" s="51">
        <f t="shared" si="63"/>
        <v>0</v>
      </c>
      <c r="I253" s="51">
        <f t="shared" si="63"/>
        <v>0</v>
      </c>
      <c r="J253" s="51">
        <f t="shared" si="63"/>
        <v>0</v>
      </c>
      <c r="K253" s="51">
        <f t="shared" si="63"/>
        <v>0</v>
      </c>
      <c r="L253" s="51">
        <f t="shared" si="63"/>
        <v>0</v>
      </c>
      <c r="M253" s="51">
        <f t="shared" si="63"/>
        <v>0</v>
      </c>
      <c r="N253" s="51">
        <f t="shared" si="63"/>
        <v>0</v>
      </c>
      <c r="O253" s="51">
        <f t="shared" si="63"/>
        <v>88.411693686679087</v>
      </c>
      <c r="P253" s="51">
        <f t="shared" si="63"/>
        <v>0</v>
      </c>
      <c r="Q253" s="51">
        <f t="shared" si="63"/>
        <v>0</v>
      </c>
      <c r="R253" s="51">
        <f t="shared" si="63"/>
        <v>9.2786572027103436</v>
      </c>
      <c r="S253" s="51">
        <f t="shared" si="63"/>
        <v>0</v>
      </c>
      <c r="T253" s="51">
        <f t="shared" si="63"/>
        <v>0</v>
      </c>
      <c r="U253" s="51">
        <f t="shared" si="63"/>
        <v>0</v>
      </c>
      <c r="V253" s="51">
        <f t="shared" si="63"/>
        <v>0</v>
      </c>
      <c r="W253" s="51">
        <f t="shared" si="63"/>
        <v>1.0067909216465987</v>
      </c>
      <c r="X253" s="51">
        <f t="shared" si="63"/>
        <v>0</v>
      </c>
      <c r="Y253" s="51">
        <f t="shared" si="63"/>
        <v>0</v>
      </c>
      <c r="Z253" s="51">
        <f t="shared" si="63"/>
        <v>0</v>
      </c>
      <c r="AA253" s="51">
        <f t="shared" si="63"/>
        <v>0</v>
      </c>
      <c r="AB253" s="51">
        <f t="shared" si="63"/>
        <v>0</v>
      </c>
      <c r="AC253" s="51">
        <f>AC252</f>
        <v>0.38922374238758656</v>
      </c>
      <c r="AD253" s="51">
        <f t="shared" si="63"/>
        <v>0</v>
      </c>
      <c r="AE253" s="51">
        <f t="shared" si="63"/>
        <v>0</v>
      </c>
      <c r="AF253" s="51">
        <f t="shared" si="63"/>
        <v>0</v>
      </c>
      <c r="AG253" s="51"/>
      <c r="AH253" s="51"/>
      <c r="AI253" s="51">
        <f>Table4679[[#This Row],[Column29]]/$D$251*0.5</f>
        <v>0</v>
      </c>
      <c r="AJ253" s="51">
        <f>Table4679[[#This Row],[Column29]]/$D$251*1.5</f>
        <v>0</v>
      </c>
    </row>
    <row r="254" spans="3:38">
      <c r="D254" s="44">
        <f>SUM(E253:AF253)</f>
        <v>99.086365553423619</v>
      </c>
      <c r="E254" s="48">
        <f>E253/$D$254</f>
        <v>0</v>
      </c>
      <c r="F254" s="48">
        <f t="shared" ref="F254:AF254" si="64">F253/$D$254</f>
        <v>0</v>
      </c>
      <c r="G254" s="48">
        <f t="shared" si="64"/>
        <v>0</v>
      </c>
      <c r="H254" s="48">
        <f t="shared" si="64"/>
        <v>0</v>
      </c>
      <c r="I254" s="48">
        <f t="shared" si="64"/>
        <v>0</v>
      </c>
      <c r="J254" s="48">
        <f t="shared" si="64"/>
        <v>0</v>
      </c>
      <c r="K254" s="48">
        <f t="shared" si="64"/>
        <v>0</v>
      </c>
      <c r="L254" s="48">
        <f t="shared" si="64"/>
        <v>0</v>
      </c>
      <c r="M254" s="48">
        <f t="shared" si="64"/>
        <v>0</v>
      </c>
      <c r="N254" s="48">
        <f t="shared" si="64"/>
        <v>0</v>
      </c>
      <c r="O254" s="48">
        <f t="shared" si="64"/>
        <v>0.89226901393422131</v>
      </c>
      <c r="P254" s="48">
        <f t="shared" si="64"/>
        <v>0</v>
      </c>
      <c r="Q254" s="48">
        <f t="shared" si="64"/>
        <v>0</v>
      </c>
      <c r="R254" s="48">
        <f t="shared" si="64"/>
        <v>9.3642118679866632E-2</v>
      </c>
      <c r="S254" s="48">
        <f t="shared" si="64"/>
        <v>0</v>
      </c>
      <c r="T254" s="48">
        <f t="shared" si="64"/>
        <v>0</v>
      </c>
      <c r="U254" s="48">
        <f t="shared" si="64"/>
        <v>0</v>
      </c>
      <c r="V254" s="48">
        <f t="shared" si="64"/>
        <v>0</v>
      </c>
      <c r="W254" s="48">
        <f t="shared" si="64"/>
        <v>1.0160741248540144E-2</v>
      </c>
      <c r="X254" s="48">
        <f t="shared" si="64"/>
        <v>0</v>
      </c>
      <c r="Y254" s="48">
        <f t="shared" si="64"/>
        <v>0</v>
      </c>
      <c r="Z254" s="48">
        <f t="shared" si="64"/>
        <v>0</v>
      </c>
      <c r="AA254" s="48">
        <f t="shared" si="64"/>
        <v>0</v>
      </c>
      <c r="AB254" s="48">
        <f t="shared" si="64"/>
        <v>0</v>
      </c>
      <c r="AC254" s="48">
        <f t="shared" si="64"/>
        <v>3.9281261373718653E-3</v>
      </c>
      <c r="AD254" s="48">
        <f t="shared" si="64"/>
        <v>0</v>
      </c>
      <c r="AE254" s="48">
        <f t="shared" si="64"/>
        <v>0</v>
      </c>
      <c r="AF254" s="48">
        <f t="shared" si="64"/>
        <v>0</v>
      </c>
      <c r="AI254" s="51">
        <f>Table4679[[#This Row],[Column29]]/$D$251*0.5</f>
        <v>0</v>
      </c>
      <c r="AJ254" s="51">
        <f>Table4679[[#This Row],[Column29]]/$D$251*1.5</f>
        <v>0</v>
      </c>
    </row>
    <row r="255" spans="3:38">
      <c r="C255" s="51"/>
      <c r="D255" s="51">
        <f>SUM(E254:AF254)</f>
        <v>0.99999999999999989</v>
      </c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>
        <f>Table4679[[#This Row],[Column29]]/$D$251*0.5</f>
        <v>0</v>
      </c>
      <c r="AJ255" s="51">
        <f>Table4679[[#This Row],[Column29]]/$D$251*1.5</f>
        <v>0</v>
      </c>
    </row>
    <row r="259" spans="3:36">
      <c r="C259" s="49" t="s">
        <v>315</v>
      </c>
      <c r="D259" s="49" t="s">
        <v>316</v>
      </c>
      <c r="E259" s="49" t="s">
        <v>317</v>
      </c>
      <c r="F259" s="49" t="s">
        <v>318</v>
      </c>
      <c r="G259" s="49" t="s">
        <v>319</v>
      </c>
      <c r="H259" s="49" t="s">
        <v>320</v>
      </c>
      <c r="I259" s="49" t="s">
        <v>321</v>
      </c>
      <c r="J259" s="49" t="s">
        <v>322</v>
      </c>
      <c r="K259" s="49" t="s">
        <v>323</v>
      </c>
      <c r="L259" s="49" t="s">
        <v>324</v>
      </c>
      <c r="M259" s="49" t="s">
        <v>325</v>
      </c>
      <c r="N259" s="49" t="s">
        <v>326</v>
      </c>
      <c r="O259" s="49" t="s">
        <v>327</v>
      </c>
      <c r="P259" s="49" t="s">
        <v>328</v>
      </c>
      <c r="Q259" s="49" t="s">
        <v>329</v>
      </c>
      <c r="R259" s="49" t="s">
        <v>330</v>
      </c>
      <c r="S259" s="49" t="s">
        <v>331</v>
      </c>
      <c r="T259" s="49" t="s">
        <v>332</v>
      </c>
      <c r="U259" s="49" t="s">
        <v>333</v>
      </c>
      <c r="V259" s="49" t="s">
        <v>334</v>
      </c>
      <c r="W259" s="49" t="s">
        <v>508</v>
      </c>
      <c r="X259" s="49" t="s">
        <v>484</v>
      </c>
      <c r="Y259" s="49" t="s">
        <v>335</v>
      </c>
      <c r="Z259" s="49" t="s">
        <v>336</v>
      </c>
      <c r="AA259" s="49" t="s">
        <v>337</v>
      </c>
      <c r="AB259" s="49" t="s">
        <v>338</v>
      </c>
      <c r="AC259" s="49" t="s">
        <v>339</v>
      </c>
      <c r="AD259" s="49" t="s">
        <v>340</v>
      </c>
      <c r="AE259" s="49" t="s">
        <v>341</v>
      </c>
      <c r="AF259" s="49" t="s">
        <v>342</v>
      </c>
      <c r="AG259" s="49" t="s">
        <v>343</v>
      </c>
      <c r="AH259" s="49" t="s">
        <v>344</v>
      </c>
      <c r="AI259" s="49" t="s">
        <v>345</v>
      </c>
      <c r="AJ259" s="49" t="s">
        <v>346</v>
      </c>
    </row>
    <row r="260" spans="3:36">
      <c r="C260" s="53" t="s">
        <v>554</v>
      </c>
      <c r="D260" s="51">
        <v>3.4081060787555261E-4</v>
      </c>
      <c r="E260" s="51">
        <f>((LEN($C260)-LEN(SUBSTITUTE($C260,Table467910[[#Headers],[12_0]],"")))/4)*$D260</f>
        <v>3.4081060787555261E-4</v>
      </c>
      <c r="F260" s="51">
        <f>((LEN($C260)-LEN(SUBSTITUTE($C260,Table467910[[#Headers],[13_0]],"")))/4)*$D260</f>
        <v>3.4081060787555261E-4</v>
      </c>
      <c r="G260" s="51">
        <f>((LEN($C260)-LEN(SUBSTITUTE($C260,Table467910[[#Headers],[14_0]],"")))/4)*$D260</f>
        <v>0</v>
      </c>
      <c r="H260" s="51">
        <f>((LEN($C260)-LEN(SUBSTITUTE($C260,Table467910[[#Headers],[14_1]],"")))/4)*$D260</f>
        <v>0</v>
      </c>
      <c r="I260" s="51">
        <f>((LEN($C260)-LEN(SUBSTITUTE($C260,Table467910[[#Headers],[15_0]],"")))/4)*$D260</f>
        <v>0</v>
      </c>
      <c r="J260" s="51">
        <f>((LEN($C260)-LEN(SUBSTITUTE($C260,Table467910[[#Headers],[15_1]],"")))/4)*$D260</f>
        <v>0</v>
      </c>
      <c r="K260" s="51">
        <f>((LEN($C260)-LEN(SUBSTITUTE($C260,Table467910[[#Headers],[16_0]],"")))/4)*$D260</f>
        <v>0</v>
      </c>
      <c r="L260" s="51">
        <f>((LEN($C260)-LEN(SUBSTITUTE($C260,Table467910[[#Headers],[16_1]],"")))/4)*$D260</f>
        <v>0</v>
      </c>
      <c r="M260" s="51">
        <f>((LEN($C260)-LEN(SUBSTITUTE($C260,Table467910[[#Headers],[16_2]],"")))/4)*$D260</f>
        <v>0</v>
      </c>
      <c r="N260" s="51">
        <f>((LEN($C260)-LEN(SUBSTITUTE($C260,Table467910[[#Headers],[16_3]],"")))/4)*$D260</f>
        <v>0</v>
      </c>
      <c r="O260" s="51">
        <f>((LEN($C260)-LEN(SUBSTITUTE($C260,Table467910[[#Headers],[17_0]],"")))/4)*$D260</f>
        <v>0</v>
      </c>
      <c r="P260" s="51">
        <f>((LEN($C260)-LEN(SUBSTITUTE($C260,Table467910[[#Headers],[17_1]],"")))/4)*$D260</f>
        <v>0</v>
      </c>
      <c r="Q260" s="51">
        <f>((LEN($C260)-LEN(SUBSTITUTE($C260,Table467910[[#Headers],[18_0]],"")))/4)*$D260</f>
        <v>0</v>
      </c>
      <c r="R260" s="51">
        <f>((LEN($C260)-LEN(SUBSTITUTE($C260,Table467910[[#Headers],[18_1]],"")))/4)*$D260</f>
        <v>0</v>
      </c>
      <c r="S260" s="51">
        <f>((LEN($C260)-LEN(SUBSTITUTE($C260,Table467910[[#Headers],[18_2]],"")))/4)*$D260</f>
        <v>0</v>
      </c>
      <c r="T260" s="51">
        <f>((LEN($C260)-LEN(SUBSTITUTE($C260,Table467910[[#Headers],[18_3]],"")))/4)*$D260</f>
        <v>0</v>
      </c>
      <c r="U260" s="51">
        <f>((LEN($C260)-LEN(SUBSTITUTE($C260,Table467910[[#Headers],[18_4]],"")))/4)*$D260</f>
        <v>0</v>
      </c>
      <c r="V260" s="51">
        <f>((LEN($C260)-LEN(SUBSTITUTE($C260,Table467910[[#Headers],[18_5]],"")))/4)*$D260</f>
        <v>0</v>
      </c>
      <c r="W260" s="51">
        <f>((LEN($C260)-LEN(SUBSTITUTE($C260,Table467910[[#Headers],[19_1]],"")))/4)*$D260</f>
        <v>0</v>
      </c>
      <c r="X260" s="51">
        <f>((LEN($C260)-LEN(SUBSTITUTE($C260,Table467910[[#Headers],[20_0]],"")))/4)*$D260</f>
        <v>0</v>
      </c>
      <c r="Y260" s="51">
        <f>((LEN($C260)-LEN(SUBSTITUTE($C260,Table467910[[#Headers],[20_1]],"")))/4)*$D260</f>
        <v>0</v>
      </c>
      <c r="Z260" s="51">
        <f>((LEN($C260)-LEN(SUBSTITUTE($C260,Table467910[[#Headers],[20_2]],"")))/4)*$D260</f>
        <v>0</v>
      </c>
      <c r="AA260" s="51">
        <f>((LEN($C260)-LEN(SUBSTITUTE($C260,Table467910[[#Headers],[20_3]],"")))/4)*$D260</f>
        <v>0</v>
      </c>
      <c r="AB260" s="51">
        <f>((LEN($C260)-LEN(SUBSTITUTE($C260,Table467910[[#Headers],[20_4]],"")))/4)*$D260</f>
        <v>0</v>
      </c>
      <c r="AC260" s="51">
        <f>((LEN($C260)-LEN(SUBSTITUTE($C260,Table467910[[#Headers],[20_5]],"")))/4)*$D260</f>
        <v>0</v>
      </c>
      <c r="AD260" s="51">
        <f>((LEN($C260)-LEN(SUBSTITUTE($C260,Table467910[[#Headers],[22_0]],"")))/4)*$D260</f>
        <v>0</v>
      </c>
      <c r="AE260" s="51">
        <f>((LEN($C260)-LEN(SUBSTITUTE($C260,Table467910[[#Headers],[22_5]],"")))/4)*$D260</f>
        <v>0</v>
      </c>
      <c r="AF260" s="51">
        <f>((LEN($C260)-LEN(SUBSTITUTE($C260,Table467910[[#Headers],[22_6]],"")))/4)*$D260</f>
        <v>0</v>
      </c>
      <c r="AG260" s="51">
        <f>SUM(E260:AF260)/2</f>
        <v>3.4081060787555261E-4</v>
      </c>
      <c r="AH260" s="51">
        <f>D260-AG260</f>
        <v>0</v>
      </c>
      <c r="AI260" s="51">
        <f>Table467910[[#This Row],[Column29]]/$D$263*0.5</f>
        <v>1.5855732426352208E-2</v>
      </c>
      <c r="AJ260" s="51">
        <f>Table467910[[#This Row],[Column29]]/$D$263*1.5</f>
        <v>4.7567197279056624E-2</v>
      </c>
    </row>
    <row r="261" spans="3:36">
      <c r="C261" s="53" t="s">
        <v>555</v>
      </c>
      <c r="D261" s="44">
        <v>1.6809923905301695E-3</v>
      </c>
      <c r="E261" s="51">
        <f>((LEN($C261)-LEN(SUBSTITUTE($C261,Table467910[[#Headers],[12_0]],"")))/4)*$D261</f>
        <v>0</v>
      </c>
      <c r="F261" s="51">
        <f>((LEN($C261)-LEN(SUBSTITUTE($C261,Table467910[[#Headers],[13_0]],"")))/4)*$D261</f>
        <v>0</v>
      </c>
      <c r="G261" s="51">
        <f>((LEN($C261)-LEN(SUBSTITUTE($C261,Table467910[[#Headers],[14_0]],"")))/4)*$D261</f>
        <v>0</v>
      </c>
      <c r="H261" s="51">
        <f>((LEN($C261)-LEN(SUBSTITUTE($C261,Table467910[[#Headers],[14_1]],"")))/4)*$D261</f>
        <v>0</v>
      </c>
      <c r="I261" s="51">
        <f>((LEN($C261)-LEN(SUBSTITUTE($C261,Table467910[[#Headers],[15_0]],"")))/4)*$D261</f>
        <v>0</v>
      </c>
      <c r="J261" s="51">
        <f>((LEN($C261)-LEN(SUBSTITUTE($C261,Table467910[[#Headers],[15_1]],"")))/4)*$D261</f>
        <v>0</v>
      </c>
      <c r="K261" s="51">
        <f>((LEN($C261)-LEN(SUBSTITUTE($C261,Table467910[[#Headers],[16_0]],"")))/4)*$D261</f>
        <v>0</v>
      </c>
      <c r="L261" s="51">
        <f>((LEN($C261)-LEN(SUBSTITUTE($C261,Table467910[[#Headers],[16_1]],"")))/4)*$D261</f>
        <v>0</v>
      </c>
      <c r="M261" s="51">
        <f>((LEN($C261)-LEN(SUBSTITUTE($C261,Table467910[[#Headers],[16_2]],"")))/4)*$D261</f>
        <v>0</v>
      </c>
      <c r="N261" s="51">
        <f>((LEN($C261)-LEN(SUBSTITUTE($C261,Table467910[[#Headers],[16_3]],"")))/4)*$D261</f>
        <v>0</v>
      </c>
      <c r="O261" s="51">
        <f>((LEN($C261)-LEN(SUBSTITUTE($C261,Table467910[[#Headers],[17_0]],"")))/4)*$D261</f>
        <v>0</v>
      </c>
      <c r="P261" s="51">
        <f>((LEN($C261)-LEN(SUBSTITUTE($C261,Table467910[[#Headers],[17_1]],"")))/4)*$D261</f>
        <v>0</v>
      </c>
      <c r="Q261" s="51">
        <f>((LEN($C261)-LEN(SUBSTITUTE($C261,Table467910[[#Headers],[18_0]],"")))/4)*$D261</f>
        <v>0</v>
      </c>
      <c r="R261" s="51">
        <f>((LEN($C261)-LEN(SUBSTITUTE($C261,Table467910[[#Headers],[18_1]],"")))/4)*$D261</f>
        <v>3.361984781060339E-3</v>
      </c>
      <c r="S261" s="51">
        <f>((LEN($C261)-LEN(SUBSTITUTE($C261,Table467910[[#Headers],[18_2]],"")))/4)*$D261</f>
        <v>0</v>
      </c>
      <c r="T261" s="51">
        <f>((LEN($C261)-LEN(SUBSTITUTE($C261,Table467910[[#Headers],[18_3]],"")))/4)*$D261</f>
        <v>0</v>
      </c>
      <c r="U261" s="51">
        <f>((LEN($C261)-LEN(SUBSTITUTE($C261,Table467910[[#Headers],[18_4]],"")))/4)*$D261</f>
        <v>0</v>
      </c>
      <c r="V261" s="51">
        <f>((LEN($C261)-LEN(SUBSTITUTE($C261,Table467910[[#Headers],[18_5]],"")))/4)*$D261</f>
        <v>0</v>
      </c>
      <c r="W261" s="51">
        <f>((LEN($C261)-LEN(SUBSTITUTE($C261,Table467910[[#Headers],[19_1]],"")))/4)*$D261</f>
        <v>0</v>
      </c>
      <c r="X261" s="51">
        <f>((LEN($C261)-LEN(SUBSTITUTE($C261,Table467910[[#Headers],[20_0]],"")))/4)*$D261</f>
        <v>0</v>
      </c>
      <c r="Y261" s="51">
        <f>((LEN($C261)-LEN(SUBSTITUTE($C261,Table467910[[#Headers],[20_1]],"")))/4)*$D261</f>
        <v>0</v>
      </c>
      <c r="Z261" s="51">
        <f>((LEN($C261)-LEN(SUBSTITUTE($C261,Table467910[[#Headers],[20_2]],"")))/4)*$D261</f>
        <v>0</v>
      </c>
      <c r="AA261" s="51">
        <f>((LEN($C261)-LEN(SUBSTITUTE($C261,Table467910[[#Headers],[20_3]],"")))/4)*$D261</f>
        <v>0</v>
      </c>
      <c r="AB261" s="51">
        <f>((LEN($C261)-LEN(SUBSTITUTE($C261,Table467910[[#Headers],[20_4]],"")))/4)*$D261</f>
        <v>0</v>
      </c>
      <c r="AC261" s="51">
        <f>((LEN($C261)-LEN(SUBSTITUTE($C261,Table467910[[#Headers],[20_5]],"")))/4)*$D261</f>
        <v>0</v>
      </c>
      <c r="AD261" s="51">
        <f>((LEN($C261)-LEN(SUBSTITUTE($C261,Table467910[[#Headers],[22_0]],"")))/4)*$D261</f>
        <v>0</v>
      </c>
      <c r="AE261" s="51">
        <f>((LEN($C261)-LEN(SUBSTITUTE($C261,Table467910[[#Headers],[22_5]],"")))/4)*$D261</f>
        <v>0</v>
      </c>
      <c r="AF261" s="51">
        <f>((LEN($C261)-LEN(SUBSTITUTE($C261,Table467910[[#Headers],[22_6]],"")))/4)*$D261</f>
        <v>0</v>
      </c>
      <c r="AG261" s="51">
        <f>SUM(E261:AF261)/2</f>
        <v>1.6809923905301695E-3</v>
      </c>
      <c r="AH261" s="51">
        <f>D261-AG261</f>
        <v>0</v>
      </c>
      <c r="AI261" s="51">
        <f>Table467910[[#This Row],[Column29]]/$D$263*0.5</f>
        <v>7.8205797997675686E-2</v>
      </c>
      <c r="AJ261" s="51">
        <f>Table467910[[#This Row],[Column29]]/$D$263*1.5</f>
        <v>0.23461739399302706</v>
      </c>
    </row>
    <row r="262" spans="3:36">
      <c r="C262" s="53" t="s">
        <v>556</v>
      </c>
      <c r="D262" s="51">
        <v>8.7254333547105104E-3</v>
      </c>
      <c r="E262" s="51">
        <f>((LEN($C262)-LEN(SUBSTITUTE($C262,Table467910[[#Headers],[12_0]],"")))/4)*$D262</f>
        <v>0</v>
      </c>
      <c r="F262" s="51">
        <f>((LEN($C262)-LEN(SUBSTITUTE($C262,Table467910[[#Headers],[13_0]],"")))/4)*$D262</f>
        <v>0</v>
      </c>
      <c r="G262" s="51">
        <f>((LEN($C262)-LEN(SUBSTITUTE($C262,Table467910[[#Headers],[14_0]],"")))/4)*$D262</f>
        <v>0</v>
      </c>
      <c r="H262" s="51">
        <f>((LEN($C262)-LEN(SUBSTITUTE($C262,Table467910[[#Headers],[14_1]],"")))/4)*$D262</f>
        <v>0</v>
      </c>
      <c r="I262" s="51">
        <f>((LEN($C262)-LEN(SUBSTITUTE($C262,Table467910[[#Headers],[15_0]],"")))/4)*$D262</f>
        <v>0</v>
      </c>
      <c r="J262" s="51">
        <f>((LEN($C262)-LEN(SUBSTITUTE($C262,Table467910[[#Headers],[15_1]],"")))/4)*$D262</f>
        <v>0</v>
      </c>
      <c r="K262" s="51">
        <f>((LEN($C262)-LEN(SUBSTITUTE($C262,Table467910[[#Headers],[16_0]],"")))/4)*$D262</f>
        <v>0</v>
      </c>
      <c r="L262" s="51">
        <f>((LEN($C262)-LEN(SUBSTITUTE($C262,Table467910[[#Headers],[16_1]],"")))/4)*$D262</f>
        <v>0</v>
      </c>
      <c r="M262" s="51">
        <f>((LEN($C262)-LEN(SUBSTITUTE($C262,Table467910[[#Headers],[16_2]],"")))/4)*$D262</f>
        <v>0</v>
      </c>
      <c r="N262" s="51">
        <f>((LEN($C262)-LEN(SUBSTITUTE($C262,Table467910[[#Headers],[16_3]],"")))/4)*$D262</f>
        <v>0</v>
      </c>
      <c r="O262" s="51">
        <f>((LEN($C262)-LEN(SUBSTITUTE($C262,Table467910[[#Headers],[17_0]],"")))/4)*$D262</f>
        <v>8.7254333547105104E-3</v>
      </c>
      <c r="P262" s="51">
        <f>((LEN($C262)-LEN(SUBSTITUTE($C262,Table467910[[#Headers],[17_1]],"")))/4)*$D262</f>
        <v>0</v>
      </c>
      <c r="Q262" s="51">
        <f>((LEN($C262)-LEN(SUBSTITUTE($C262,Table467910[[#Headers],[18_0]],"")))/4)*$D262</f>
        <v>0</v>
      </c>
      <c r="R262" s="51">
        <f>((LEN($C262)-LEN(SUBSTITUTE($C262,Table467910[[#Headers],[18_1]],"")))/4)*$D262</f>
        <v>0</v>
      </c>
      <c r="S262" s="51">
        <f>((LEN($C262)-LEN(SUBSTITUTE($C262,Table467910[[#Headers],[18_2]],"")))/4)*$D262</f>
        <v>0</v>
      </c>
      <c r="T262" s="51">
        <f>((LEN($C262)-LEN(SUBSTITUTE($C262,Table467910[[#Headers],[18_3]],"")))/4)*$D262</f>
        <v>0</v>
      </c>
      <c r="U262" s="51">
        <f>((LEN($C262)-LEN(SUBSTITUTE($C262,Table467910[[#Headers],[18_4]],"")))/4)*$D262</f>
        <v>0</v>
      </c>
      <c r="V262" s="51">
        <f>((LEN($C262)-LEN(SUBSTITUTE($C262,Table467910[[#Headers],[18_5]],"")))/4)*$D262</f>
        <v>0</v>
      </c>
      <c r="W262" s="51">
        <f>((LEN($C262)-LEN(SUBSTITUTE($C262,Table467910[[#Headers],[19_1]],"")))/4)*$D262</f>
        <v>0</v>
      </c>
      <c r="X262" s="51">
        <f>((LEN($C262)-LEN(SUBSTITUTE($C262,Table467910[[#Headers],[20_0]],"")))/4)*$D262</f>
        <v>0</v>
      </c>
      <c r="Y262" s="51">
        <f>((LEN($C262)-LEN(SUBSTITUTE($C262,Table467910[[#Headers],[20_1]],"")))/4)*$D262</f>
        <v>0</v>
      </c>
      <c r="Z262" s="51">
        <f>((LEN($C262)-LEN(SUBSTITUTE($C262,Table467910[[#Headers],[20_2]],"")))/4)*$D262</f>
        <v>0</v>
      </c>
      <c r="AA262" s="51">
        <f>((LEN($C262)-LEN(SUBSTITUTE($C262,Table467910[[#Headers],[20_3]],"")))/4)*$D262</f>
        <v>0</v>
      </c>
      <c r="AB262" s="51">
        <f>((LEN($C262)-LEN(SUBSTITUTE($C262,Table467910[[#Headers],[20_4]],"")))/4)*$D262</f>
        <v>0</v>
      </c>
      <c r="AC262" s="51">
        <f>((LEN($C262)-LEN(SUBSTITUTE($C262,Table467910[[#Headers],[20_5]],"")))/4)*$D262</f>
        <v>0</v>
      </c>
      <c r="AD262" s="51">
        <f>((LEN($C262)-LEN(SUBSTITUTE($C262,Table467910[[#Headers],[22_0]],"")))/4)*$D262</f>
        <v>0</v>
      </c>
      <c r="AE262" s="51">
        <f>((LEN($C262)-LEN(SUBSTITUTE($C262,Table467910[[#Headers],[22_5]],"")))/4)*$D262</f>
        <v>0</v>
      </c>
      <c r="AF262" s="51">
        <f>((LEN($C262)-LEN(SUBSTITUTE($C262,Table467910[[#Headers],[22_6]],"")))/4)*$D262</f>
        <v>0</v>
      </c>
      <c r="AG262" s="51">
        <f>SUM(E262:AF262)/1</f>
        <v>8.7254333547105104E-3</v>
      </c>
      <c r="AH262" s="51">
        <f>D262-AG262</f>
        <v>0</v>
      </c>
      <c r="AI262" s="51">
        <f>Table467910[[#This Row],[Column29]]/$D$263*0.5</f>
        <v>0.40593846957597213</v>
      </c>
      <c r="AJ262" s="51">
        <f>Table467910[[#This Row],[Column29]]/$D$263*1.5</f>
        <v>1.2178154087279163</v>
      </c>
    </row>
    <row r="263" spans="3:36">
      <c r="C263" s="51"/>
      <c r="D263" s="51">
        <f t="shared" ref="D263:AH263" si="65">SUM(D260:D262)</f>
        <v>1.0747236353116233E-2</v>
      </c>
      <c r="E263" s="51">
        <f t="shared" si="65"/>
        <v>3.4081060787555261E-4</v>
      </c>
      <c r="F263" s="51">
        <f t="shared" si="65"/>
        <v>3.4081060787555261E-4</v>
      </c>
      <c r="G263" s="51">
        <f t="shared" si="65"/>
        <v>0</v>
      </c>
      <c r="H263" s="51">
        <f t="shared" si="65"/>
        <v>0</v>
      </c>
      <c r="I263" s="51">
        <f t="shared" si="65"/>
        <v>0</v>
      </c>
      <c r="J263" s="51">
        <f t="shared" si="65"/>
        <v>0</v>
      </c>
      <c r="K263" s="51">
        <f t="shared" si="65"/>
        <v>0</v>
      </c>
      <c r="L263" s="51">
        <f t="shared" si="65"/>
        <v>0</v>
      </c>
      <c r="M263" s="51">
        <f t="shared" si="65"/>
        <v>0</v>
      </c>
      <c r="N263" s="51">
        <f t="shared" si="65"/>
        <v>0</v>
      </c>
      <c r="O263" s="51">
        <f t="shared" si="65"/>
        <v>8.7254333547105104E-3</v>
      </c>
      <c r="P263" s="51">
        <f t="shared" si="65"/>
        <v>0</v>
      </c>
      <c r="Q263" s="51">
        <f t="shared" si="65"/>
        <v>0</v>
      </c>
      <c r="R263" s="51">
        <f t="shared" si="65"/>
        <v>3.361984781060339E-3</v>
      </c>
      <c r="S263" s="51">
        <f t="shared" si="65"/>
        <v>0</v>
      </c>
      <c r="T263" s="51">
        <f t="shared" si="65"/>
        <v>0</v>
      </c>
      <c r="U263" s="51">
        <f t="shared" si="65"/>
        <v>0</v>
      </c>
      <c r="V263" s="51">
        <f t="shared" si="65"/>
        <v>0</v>
      </c>
      <c r="W263" s="51">
        <f t="shared" si="65"/>
        <v>0</v>
      </c>
      <c r="X263" s="51">
        <f t="shared" si="65"/>
        <v>0</v>
      </c>
      <c r="Y263" s="51">
        <f t="shared" si="65"/>
        <v>0</v>
      </c>
      <c r="Z263" s="51">
        <f t="shared" si="65"/>
        <v>0</v>
      </c>
      <c r="AA263" s="51">
        <f t="shared" si="65"/>
        <v>0</v>
      </c>
      <c r="AB263" s="51">
        <f t="shared" si="65"/>
        <v>0</v>
      </c>
      <c r="AC263" s="51">
        <f t="shared" si="65"/>
        <v>0</v>
      </c>
      <c r="AD263" s="51">
        <f t="shared" si="65"/>
        <v>0</v>
      </c>
      <c r="AE263" s="51">
        <f t="shared" si="65"/>
        <v>0</v>
      </c>
      <c r="AF263" s="51">
        <f t="shared" si="65"/>
        <v>0</v>
      </c>
      <c r="AG263" s="51">
        <f t="shared" si="65"/>
        <v>1.0747236353116233E-2</v>
      </c>
      <c r="AH263" s="51">
        <f t="shared" si="65"/>
        <v>0</v>
      </c>
      <c r="AI263" s="51">
        <f>Table467910[[#This Row],[Column29]]/$D$263*0.5</f>
        <v>0.5</v>
      </c>
      <c r="AJ263" s="51">
        <f>Table467910[[#This Row],[Column29]]/$D$263*1.5</f>
        <v>1.5</v>
      </c>
    </row>
    <row r="264" spans="3:36">
      <c r="D264" s="44">
        <f>SUM(E263:AF263)</f>
        <v>1.2769039351521953E-2</v>
      </c>
      <c r="E264" s="44">
        <f>E263/$D$264*100</f>
        <v>2.6690387467161427</v>
      </c>
      <c r="F264" s="44">
        <f t="shared" ref="F264:AF264" si="66">F263/$D$264*100</f>
        <v>2.6690387467161427</v>
      </c>
      <c r="G264" s="44">
        <f t="shared" si="66"/>
        <v>0</v>
      </c>
      <c r="H264" s="44">
        <f t="shared" si="66"/>
        <v>0</v>
      </c>
      <c r="I264" s="44">
        <f t="shared" si="66"/>
        <v>0</v>
      </c>
      <c r="J264" s="44">
        <f t="shared" si="66"/>
        <v>0</v>
      </c>
      <c r="K264" s="44">
        <f t="shared" si="66"/>
        <v>0</v>
      </c>
      <c r="L264" s="44">
        <f t="shared" si="66"/>
        <v>0</v>
      </c>
      <c r="M264" s="44">
        <f t="shared" si="66"/>
        <v>0</v>
      </c>
      <c r="N264" s="44">
        <f t="shared" si="66"/>
        <v>0</v>
      </c>
      <c r="O264" s="44">
        <f t="shared" si="66"/>
        <v>68.332731339499858</v>
      </c>
      <c r="P264" s="44">
        <f t="shared" si="66"/>
        <v>0</v>
      </c>
      <c r="Q264" s="44">
        <f t="shared" si="66"/>
        <v>0</v>
      </c>
      <c r="R264" s="44">
        <f t="shared" si="66"/>
        <v>26.329191167067872</v>
      </c>
      <c r="S264" s="44">
        <f t="shared" si="66"/>
        <v>0</v>
      </c>
      <c r="T264" s="44">
        <f t="shared" si="66"/>
        <v>0</v>
      </c>
      <c r="U264" s="44">
        <f t="shared" si="66"/>
        <v>0</v>
      </c>
      <c r="V264" s="44">
        <f t="shared" si="66"/>
        <v>0</v>
      </c>
      <c r="W264" s="44">
        <f t="shared" si="66"/>
        <v>0</v>
      </c>
      <c r="X264" s="44">
        <f t="shared" si="66"/>
        <v>0</v>
      </c>
      <c r="Y264" s="44">
        <f t="shared" si="66"/>
        <v>0</v>
      </c>
      <c r="Z264" s="44">
        <f t="shared" si="66"/>
        <v>0</v>
      </c>
      <c r="AA264" s="44">
        <f t="shared" si="66"/>
        <v>0</v>
      </c>
      <c r="AB264" s="44">
        <f t="shared" si="66"/>
        <v>0</v>
      </c>
      <c r="AC264" s="44">
        <f t="shared" si="66"/>
        <v>0</v>
      </c>
      <c r="AD264" s="44">
        <f t="shared" si="66"/>
        <v>0</v>
      </c>
      <c r="AE264" s="44">
        <f t="shared" si="66"/>
        <v>0</v>
      </c>
      <c r="AF264" s="44">
        <f t="shared" si="66"/>
        <v>0</v>
      </c>
      <c r="AI264" s="51">
        <f>Table467910[[#This Row],[Column29]]/$D$263*0.5</f>
        <v>0</v>
      </c>
      <c r="AJ264" s="51">
        <f>Table467910[[#This Row],[Column29]]/$D$263*1.5</f>
        <v>0</v>
      </c>
    </row>
    <row r="265" spans="3:36">
      <c r="C265" s="51"/>
      <c r="D265" s="51">
        <f>SUM(E264:AF264)</f>
        <v>100.00000000000001</v>
      </c>
      <c r="E265" s="51">
        <f>IF(E264 &gt; 1, E264, 0)</f>
        <v>2.6690387467161427</v>
      </c>
      <c r="F265" s="51">
        <f t="shared" ref="F265:AB265" si="67">IF(F264 &gt; 1, F264, 0)</f>
        <v>2.6690387467161427</v>
      </c>
      <c r="G265" s="51">
        <f t="shared" si="67"/>
        <v>0</v>
      </c>
      <c r="H265" s="51">
        <f t="shared" si="67"/>
        <v>0</v>
      </c>
      <c r="I265" s="51">
        <f t="shared" si="67"/>
        <v>0</v>
      </c>
      <c r="J265" s="51">
        <f t="shared" si="67"/>
        <v>0</v>
      </c>
      <c r="K265" s="51">
        <f t="shared" si="67"/>
        <v>0</v>
      </c>
      <c r="L265" s="51">
        <f t="shared" si="67"/>
        <v>0</v>
      </c>
      <c r="M265" s="51">
        <f t="shared" si="67"/>
        <v>0</v>
      </c>
      <c r="N265" s="51">
        <f t="shared" si="67"/>
        <v>0</v>
      </c>
      <c r="O265" s="51">
        <f t="shared" si="67"/>
        <v>68.332731339499858</v>
      </c>
      <c r="P265" s="51">
        <f t="shared" si="67"/>
        <v>0</v>
      </c>
      <c r="Q265" s="51">
        <f t="shared" si="67"/>
        <v>0</v>
      </c>
      <c r="R265" s="51">
        <f t="shared" si="67"/>
        <v>26.329191167067872</v>
      </c>
      <c r="S265" s="51">
        <f t="shared" si="67"/>
        <v>0</v>
      </c>
      <c r="T265" s="51">
        <f t="shared" si="67"/>
        <v>0</v>
      </c>
      <c r="U265" s="51">
        <f t="shared" si="67"/>
        <v>0</v>
      </c>
      <c r="V265" s="51">
        <f t="shared" si="67"/>
        <v>0</v>
      </c>
      <c r="W265" s="51">
        <f t="shared" si="67"/>
        <v>0</v>
      </c>
      <c r="X265" s="51">
        <f t="shared" si="67"/>
        <v>0</v>
      </c>
      <c r="Y265" s="51">
        <f t="shared" si="67"/>
        <v>0</v>
      </c>
      <c r="Z265" s="51">
        <f t="shared" si="67"/>
        <v>0</v>
      </c>
      <c r="AA265" s="51">
        <f t="shared" si="67"/>
        <v>0</v>
      </c>
      <c r="AB265" s="51">
        <f t="shared" si="67"/>
        <v>0</v>
      </c>
      <c r="AC265" s="51">
        <f>AC264</f>
        <v>0</v>
      </c>
      <c r="AD265" s="51">
        <f>IF(AD264 &gt; 1, AD264, 0)</f>
        <v>0</v>
      </c>
      <c r="AE265" s="51">
        <f>IF(AE264 &gt; 1, AE264, 0)</f>
        <v>0</v>
      </c>
      <c r="AF265" s="51">
        <f>IF(AF264 &gt; 1, AF264, 0)</f>
        <v>0</v>
      </c>
      <c r="AG265" s="51"/>
      <c r="AH265" s="51"/>
      <c r="AI265" s="51">
        <f>Table467910[[#This Row],[Column29]]/$D$263*0.5</f>
        <v>0</v>
      </c>
      <c r="AJ265" s="51">
        <f>Table467910[[#This Row],[Column29]]/$D$263*1.5</f>
        <v>0</v>
      </c>
    </row>
    <row r="266" spans="3:36">
      <c r="D266" s="44">
        <f>SUM(E265:AF265)</f>
        <v>100.00000000000001</v>
      </c>
      <c r="E266" s="48">
        <f>E265/$D$266</f>
        <v>2.6690387467161424E-2</v>
      </c>
      <c r="F266" s="48">
        <f t="shared" ref="F266:AF266" si="68">F265/$D$266</f>
        <v>2.6690387467161424E-2</v>
      </c>
      <c r="G266" s="48">
        <f t="shared" si="68"/>
        <v>0</v>
      </c>
      <c r="H266" s="48">
        <f t="shared" si="68"/>
        <v>0</v>
      </c>
      <c r="I266" s="48">
        <f t="shared" si="68"/>
        <v>0</v>
      </c>
      <c r="J266" s="48">
        <f t="shared" si="68"/>
        <v>0</v>
      </c>
      <c r="K266" s="48">
        <f t="shared" si="68"/>
        <v>0</v>
      </c>
      <c r="L266" s="48">
        <f t="shared" si="68"/>
        <v>0</v>
      </c>
      <c r="M266" s="48">
        <f t="shared" si="68"/>
        <v>0</v>
      </c>
      <c r="N266" s="48">
        <f t="shared" si="68"/>
        <v>0</v>
      </c>
      <c r="O266" s="48">
        <f t="shared" si="68"/>
        <v>0.68332731339499853</v>
      </c>
      <c r="P266" s="48">
        <f t="shared" si="68"/>
        <v>0</v>
      </c>
      <c r="Q266" s="48">
        <f t="shared" si="68"/>
        <v>0</v>
      </c>
      <c r="R266" s="48">
        <f t="shared" si="68"/>
        <v>0.26329191167067867</v>
      </c>
      <c r="S266" s="48">
        <f t="shared" si="68"/>
        <v>0</v>
      </c>
      <c r="T266" s="48">
        <f t="shared" si="68"/>
        <v>0</v>
      </c>
      <c r="U266" s="48">
        <f t="shared" si="68"/>
        <v>0</v>
      </c>
      <c r="V266" s="48">
        <f t="shared" si="68"/>
        <v>0</v>
      </c>
      <c r="W266" s="48">
        <f t="shared" si="68"/>
        <v>0</v>
      </c>
      <c r="X266" s="48">
        <f t="shared" si="68"/>
        <v>0</v>
      </c>
      <c r="Y266" s="48">
        <f t="shared" si="68"/>
        <v>0</v>
      </c>
      <c r="Z266" s="48">
        <f t="shared" si="68"/>
        <v>0</v>
      </c>
      <c r="AA266" s="48">
        <f t="shared" si="68"/>
        <v>0</v>
      </c>
      <c r="AB266" s="48">
        <f t="shared" si="68"/>
        <v>0</v>
      </c>
      <c r="AC266" s="48">
        <f t="shared" si="68"/>
        <v>0</v>
      </c>
      <c r="AD266" s="48">
        <f t="shared" si="68"/>
        <v>0</v>
      </c>
      <c r="AE266" s="48">
        <f t="shared" si="68"/>
        <v>0</v>
      </c>
      <c r="AF266" s="48">
        <f t="shared" si="68"/>
        <v>0</v>
      </c>
      <c r="AI266" s="51">
        <f>Table467910[[#This Row],[Column29]]/$D$263*0.5</f>
        <v>0</v>
      </c>
      <c r="AJ266" s="51">
        <f>Table467910[[#This Row],[Column29]]/$D$263*1.5</f>
        <v>0</v>
      </c>
    </row>
    <row r="267" spans="3:36">
      <c r="C267" s="51"/>
      <c r="D267" s="51">
        <f>SUM(E266:AF266)</f>
        <v>1</v>
      </c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>
        <f>Table467910[[#This Row],[Column29]]/$D$263*0.5</f>
        <v>0</v>
      </c>
      <c r="AJ267" s="51">
        <f>Table467910[[#This Row],[Column29]]/$D$263*1.5</f>
        <v>0</v>
      </c>
    </row>
    <row r="271" spans="3:36">
      <c r="C271" s="49" t="s">
        <v>315</v>
      </c>
      <c r="D271" s="49" t="s">
        <v>316</v>
      </c>
      <c r="E271" s="49" t="s">
        <v>317</v>
      </c>
      <c r="F271" s="49" t="s">
        <v>318</v>
      </c>
      <c r="G271" s="49" t="s">
        <v>319</v>
      </c>
      <c r="H271" s="49" t="s">
        <v>320</v>
      </c>
      <c r="I271" s="49" t="s">
        <v>321</v>
      </c>
      <c r="J271" s="49" t="s">
        <v>322</v>
      </c>
      <c r="K271" s="49" t="s">
        <v>323</v>
      </c>
      <c r="L271" s="49" t="s">
        <v>324</v>
      </c>
      <c r="M271" s="49" t="s">
        <v>325</v>
      </c>
      <c r="N271" s="49" t="s">
        <v>326</v>
      </c>
      <c r="O271" s="49" t="s">
        <v>327</v>
      </c>
      <c r="P271" s="49" t="s">
        <v>328</v>
      </c>
      <c r="Q271" s="49" t="s">
        <v>329</v>
      </c>
      <c r="R271" s="49" t="s">
        <v>330</v>
      </c>
      <c r="S271" s="49" t="s">
        <v>331</v>
      </c>
      <c r="T271" s="49" t="s">
        <v>332</v>
      </c>
      <c r="U271" s="49" t="s">
        <v>333</v>
      </c>
      <c r="V271" s="49" t="s">
        <v>334</v>
      </c>
      <c r="W271" s="49" t="s">
        <v>508</v>
      </c>
      <c r="X271" s="49" t="s">
        <v>484</v>
      </c>
      <c r="Y271" s="49" t="s">
        <v>335</v>
      </c>
      <c r="Z271" s="49" t="s">
        <v>336</v>
      </c>
      <c r="AA271" s="49" t="s">
        <v>337</v>
      </c>
      <c r="AB271" s="49" t="s">
        <v>338</v>
      </c>
      <c r="AC271" s="49" t="s">
        <v>339</v>
      </c>
      <c r="AD271" s="49" t="s">
        <v>340</v>
      </c>
      <c r="AE271" s="49" t="s">
        <v>341</v>
      </c>
      <c r="AF271" s="49" t="s">
        <v>342</v>
      </c>
      <c r="AG271" s="49" t="s">
        <v>343</v>
      </c>
      <c r="AH271" s="49" t="s">
        <v>344</v>
      </c>
      <c r="AI271" s="49" t="s">
        <v>345</v>
      </c>
      <c r="AJ271" s="49" t="s">
        <v>346</v>
      </c>
    </row>
    <row r="272" spans="3:36">
      <c r="C272" s="53" t="s">
        <v>557</v>
      </c>
      <c r="D272" s="51">
        <v>1.1395684610649309E-4</v>
      </c>
      <c r="E272" s="51">
        <f>((LEN($C272)-LEN(SUBSTITUTE($C272,Table46791011[[#Headers],[12_0]],"")))/4)*$D272</f>
        <v>0</v>
      </c>
      <c r="F272" s="51">
        <f>((LEN($C272)-LEN(SUBSTITUTE($C272,Table46791011[[#Headers],[13_0]],"")))/4)*$D272</f>
        <v>0</v>
      </c>
      <c r="G272" s="51">
        <f>((LEN($C272)-LEN(SUBSTITUTE($C272,Table46791011[[#Headers],[14_0]],"")))/4)*$D272</f>
        <v>0</v>
      </c>
      <c r="H272" s="51">
        <f>((LEN($C272)-LEN(SUBSTITUTE($C272,Table46791011[[#Headers],[14_1]],"")))/4)*$D272</f>
        <v>0</v>
      </c>
      <c r="I272" s="51">
        <f>((LEN($C272)-LEN(SUBSTITUTE($C272,Table46791011[[#Headers],[15_0]],"")))/4)*$D272</f>
        <v>0</v>
      </c>
      <c r="J272" s="51">
        <f>((LEN($C272)-LEN(SUBSTITUTE($C272,Table46791011[[#Headers],[15_1]],"")))/4)*$D272</f>
        <v>0</v>
      </c>
      <c r="K272" s="51">
        <f>((LEN($C272)-LEN(SUBSTITUTE($C272,Table46791011[[#Headers],[16_0]],"")))/4)*$D272</f>
        <v>1.1395684610649309E-4</v>
      </c>
      <c r="L272" s="51">
        <f>((LEN($C272)-LEN(SUBSTITUTE($C272,Table46791011[[#Headers],[16_1]],"")))/4)*$D272</f>
        <v>1.1395684610649309E-4</v>
      </c>
      <c r="M272" s="51">
        <f>((LEN($C272)-LEN(SUBSTITUTE($C272,Table46791011[[#Headers],[16_2]],"")))/4)*$D272</f>
        <v>0</v>
      </c>
      <c r="N272" s="51">
        <f>((LEN($C272)-LEN(SUBSTITUTE($C272,Table46791011[[#Headers],[16_3]],"")))/4)*$D272</f>
        <v>0</v>
      </c>
      <c r="O272" s="51">
        <f>((LEN($C272)-LEN(SUBSTITUTE($C272,Table46791011[[#Headers],[17_0]],"")))/4)*$D272</f>
        <v>0</v>
      </c>
      <c r="P272" s="51">
        <f>((LEN($C272)-LEN(SUBSTITUTE($C272,Table46791011[[#Headers],[17_1]],"")))/4)*$D272</f>
        <v>0</v>
      </c>
      <c r="Q272" s="51">
        <f>((LEN($C272)-LEN(SUBSTITUTE($C272,Table46791011[[#Headers],[18_0]],"")))/4)*$D272</f>
        <v>0</v>
      </c>
      <c r="R272" s="51">
        <f>((LEN($C272)-LEN(SUBSTITUTE($C272,Table46791011[[#Headers],[18_1]],"")))/4)*$D272</f>
        <v>0</v>
      </c>
      <c r="S272" s="51">
        <f>((LEN($C272)-LEN(SUBSTITUTE($C272,Table46791011[[#Headers],[18_2]],"")))/4)*$D272</f>
        <v>0</v>
      </c>
      <c r="T272" s="51">
        <f>((LEN($C272)-LEN(SUBSTITUTE($C272,Table46791011[[#Headers],[18_3]],"")))/4)*$D272</f>
        <v>0</v>
      </c>
      <c r="U272" s="51">
        <f>((LEN($C272)-LEN(SUBSTITUTE($C272,Table46791011[[#Headers],[18_4]],"")))/4)*$D272</f>
        <v>0</v>
      </c>
      <c r="V272" s="51">
        <f>((LEN($C272)-LEN(SUBSTITUTE($C272,Table46791011[[#Headers],[18_5]],"")))/4)*$D272</f>
        <v>0</v>
      </c>
      <c r="W272" s="51">
        <f>((LEN($C272)-LEN(SUBSTITUTE($C272,Table46791011[[#Headers],[19_1]],"")))/4)*$D272</f>
        <v>0</v>
      </c>
      <c r="X272" s="51">
        <f>((LEN($C272)-LEN(SUBSTITUTE($C272,Table46791011[[#Headers],[20_0]],"")))/4)*$D272</f>
        <v>0</v>
      </c>
      <c r="Y272" s="51">
        <f>((LEN($C272)-LEN(SUBSTITUTE($C272,Table46791011[[#Headers],[20_1]],"")))/4)*$D272</f>
        <v>0</v>
      </c>
      <c r="Z272" s="51">
        <f>((LEN($C272)-LEN(SUBSTITUTE($C272,Table46791011[[#Headers],[20_2]],"")))/4)*$D272</f>
        <v>0</v>
      </c>
      <c r="AA272" s="51">
        <f>((LEN($C272)-LEN(SUBSTITUTE($C272,Table46791011[[#Headers],[20_3]],"")))/4)*$D272</f>
        <v>0</v>
      </c>
      <c r="AB272" s="51">
        <f>((LEN($C272)-LEN(SUBSTITUTE($C272,Table46791011[[#Headers],[20_4]],"")))/4)*$D272</f>
        <v>0</v>
      </c>
      <c r="AC272" s="51">
        <f>((LEN($C272)-LEN(SUBSTITUTE($C272,Table46791011[[#Headers],[20_5]],"")))/4)*$D272</f>
        <v>0</v>
      </c>
      <c r="AD272" s="51">
        <f>((LEN($C272)-LEN(SUBSTITUTE($C272,Table46791011[[#Headers],[22_0]],"")))/4)*$D272</f>
        <v>0</v>
      </c>
      <c r="AE272" s="51">
        <f>((LEN($C272)-LEN(SUBSTITUTE($C272,Table46791011[[#Headers],[22_5]],"")))/4)*$D272</f>
        <v>0</v>
      </c>
      <c r="AF272" s="51">
        <f>((LEN($C272)-LEN(SUBSTITUTE($C272,Table46791011[[#Headers],[22_6]],"")))/4)*$D272</f>
        <v>0</v>
      </c>
      <c r="AG272" s="51">
        <f>SUM(E272:AF272)/2</f>
        <v>1.1395684610649309E-4</v>
      </c>
      <c r="AH272" s="51">
        <f t="shared" ref="AH272:AH277" si="69">D272-AG272</f>
        <v>0</v>
      </c>
      <c r="AI272" s="51">
        <f>Table46791011[[#This Row],[Column29]]/$D$278*0.5</f>
        <v>2.3011804396191773E-3</v>
      </c>
      <c r="AJ272" s="51">
        <f>Table46791011[[#This Row],[Column29]]/$D$278*1.5</f>
        <v>6.9035413188575315E-3</v>
      </c>
    </row>
    <row r="273" spans="3:36">
      <c r="C273" s="51" t="s">
        <v>558</v>
      </c>
      <c r="D273" s="51">
        <v>1.0544875578632506E-4</v>
      </c>
      <c r="E273" s="51">
        <f>((LEN($C273)-LEN(SUBSTITUTE($C273,Table46791011[[#Headers],[12_0]],"")))/4)*$D273</f>
        <v>0</v>
      </c>
      <c r="F273" s="51">
        <f>((LEN($C273)-LEN(SUBSTITUTE($C273,Table46791011[[#Headers],[13_0]],"")))/4)*$D273</f>
        <v>0</v>
      </c>
      <c r="G273" s="51">
        <f>((LEN($C273)-LEN(SUBSTITUTE($C273,Table46791011[[#Headers],[14_0]],"")))/4)*$D273</f>
        <v>0</v>
      </c>
      <c r="H273" s="51">
        <f>((LEN($C273)-LEN(SUBSTITUTE($C273,Table46791011[[#Headers],[14_1]],"")))/4)*$D273</f>
        <v>0</v>
      </c>
      <c r="I273" s="51">
        <f>((LEN($C273)-LEN(SUBSTITUTE($C273,Table46791011[[#Headers],[15_0]],"")))/4)*$D273</f>
        <v>0</v>
      </c>
      <c r="J273" s="51">
        <f>((LEN($C273)-LEN(SUBSTITUTE($C273,Table46791011[[#Headers],[15_1]],"")))/4)*$D273</f>
        <v>0</v>
      </c>
      <c r="K273" s="51">
        <f>((LEN($C273)-LEN(SUBSTITUTE($C273,Table46791011[[#Headers],[16_0]],"")))/4)*$D273</f>
        <v>1.0544875578632506E-4</v>
      </c>
      <c r="L273" s="51">
        <f>((LEN($C273)-LEN(SUBSTITUTE($C273,Table46791011[[#Headers],[16_1]],"")))/4)*$D273</f>
        <v>0</v>
      </c>
      <c r="M273" s="51">
        <f>((LEN($C273)-LEN(SUBSTITUTE($C273,Table46791011[[#Headers],[16_2]],"")))/4)*$D273</f>
        <v>0</v>
      </c>
      <c r="N273" s="51">
        <f>((LEN($C273)-LEN(SUBSTITUTE($C273,Table46791011[[#Headers],[16_3]],"")))/4)*$D273</f>
        <v>0</v>
      </c>
      <c r="O273" s="51">
        <f>((LEN($C273)-LEN(SUBSTITUTE($C273,Table46791011[[#Headers],[17_0]],"")))/4)*$D273</f>
        <v>0</v>
      </c>
      <c r="P273" s="51">
        <f>((LEN($C273)-LEN(SUBSTITUTE($C273,Table46791011[[#Headers],[17_1]],"")))/4)*$D273</f>
        <v>0</v>
      </c>
      <c r="Q273" s="51">
        <f>((LEN($C273)-LEN(SUBSTITUTE($C273,Table46791011[[#Headers],[18_0]],"")))/4)*$D273</f>
        <v>0</v>
      </c>
      <c r="R273" s="51">
        <f>((LEN($C273)-LEN(SUBSTITUTE($C273,Table46791011[[#Headers],[18_1]],"")))/4)*$D273</f>
        <v>1.0544875578632506E-4</v>
      </c>
      <c r="S273" s="51">
        <f>((LEN($C273)-LEN(SUBSTITUTE($C273,Table46791011[[#Headers],[18_2]],"")))/4)*$D273</f>
        <v>0</v>
      </c>
      <c r="T273" s="51">
        <f>((LEN($C273)-LEN(SUBSTITUTE($C273,Table46791011[[#Headers],[18_3]],"")))/4)*$D273</f>
        <v>0</v>
      </c>
      <c r="U273" s="51">
        <f>((LEN($C273)-LEN(SUBSTITUTE($C273,Table46791011[[#Headers],[18_4]],"")))/4)*$D273</f>
        <v>0</v>
      </c>
      <c r="V273" s="51">
        <f>((LEN($C273)-LEN(SUBSTITUTE($C273,Table46791011[[#Headers],[18_5]],"")))/4)*$D273</f>
        <v>0</v>
      </c>
      <c r="W273" s="51">
        <f>((LEN($C273)-LEN(SUBSTITUTE($C273,Table46791011[[#Headers],[19_1]],"")))/4)*$D273</f>
        <v>0</v>
      </c>
      <c r="X273" s="51">
        <f>((LEN($C273)-LEN(SUBSTITUTE($C273,Table46791011[[#Headers],[20_0]],"")))/4)*$D273</f>
        <v>0</v>
      </c>
      <c r="Y273" s="51">
        <f>((LEN($C273)-LEN(SUBSTITUTE($C273,Table46791011[[#Headers],[20_1]],"")))/4)*$D273</f>
        <v>0</v>
      </c>
      <c r="Z273" s="51">
        <f>((LEN($C273)-LEN(SUBSTITUTE($C273,Table46791011[[#Headers],[20_2]],"")))/4)*$D273</f>
        <v>0</v>
      </c>
      <c r="AA273" s="51">
        <f>((LEN($C273)-LEN(SUBSTITUTE($C273,Table46791011[[#Headers],[20_3]],"")))/4)*$D273</f>
        <v>0</v>
      </c>
      <c r="AB273" s="51">
        <f>((LEN($C273)-LEN(SUBSTITUTE($C273,Table46791011[[#Headers],[20_4]],"")))/4)*$D273</f>
        <v>0</v>
      </c>
      <c r="AC273" s="51">
        <f>((LEN($C273)-LEN(SUBSTITUTE($C273,Table46791011[[#Headers],[20_5]],"")))/4)*$D273</f>
        <v>0</v>
      </c>
      <c r="AD273" s="51">
        <f>((LEN($C273)-LEN(SUBSTITUTE($C273,Table46791011[[#Headers],[22_0]],"")))/4)*$D273</f>
        <v>0</v>
      </c>
      <c r="AE273" s="51">
        <f>((LEN($C273)-LEN(SUBSTITUTE($C273,Table46791011[[#Headers],[22_5]],"")))/4)*$D273</f>
        <v>0</v>
      </c>
      <c r="AF273" s="51">
        <f>((LEN($C273)-LEN(SUBSTITUTE($C273,Table46791011[[#Headers],[22_6]],"")))/4)*$D273</f>
        <v>0</v>
      </c>
      <c r="AG273" s="51">
        <f>SUM(E273:AF273)/2</f>
        <v>1.0544875578632506E-4</v>
      </c>
      <c r="AH273" s="51">
        <f t="shared" si="69"/>
        <v>0</v>
      </c>
      <c r="AI273" s="51">
        <f>Table46791011[[#This Row],[Column29]]/$D$278*0.5</f>
        <v>2.1293728502358449E-3</v>
      </c>
      <c r="AJ273" s="51">
        <f>Table46791011[[#This Row],[Column29]]/$D$278*1.5</f>
        <v>6.3881185507075351E-3</v>
      </c>
    </row>
    <row r="274" spans="3:36">
      <c r="C274" s="51" t="s">
        <v>559</v>
      </c>
      <c r="D274" s="51">
        <v>2.5303690841092346E-4</v>
      </c>
      <c r="E274" s="51">
        <f>((LEN($C274)-LEN(SUBSTITUTE($C274,Table46791011[[#Headers],[12_0]],"")))/4)*$D274</f>
        <v>0</v>
      </c>
      <c r="F274" s="51">
        <f>((LEN($C274)-LEN(SUBSTITUTE($C274,Table46791011[[#Headers],[13_0]],"")))/4)*$D274</f>
        <v>0</v>
      </c>
      <c r="G274" s="51">
        <f>((LEN($C274)-LEN(SUBSTITUTE($C274,Table46791011[[#Headers],[14_0]],"")))/4)*$D274</f>
        <v>0</v>
      </c>
      <c r="H274" s="51">
        <f>((LEN($C274)-LEN(SUBSTITUTE($C274,Table46791011[[#Headers],[14_1]],"")))/4)*$D274</f>
        <v>0</v>
      </c>
      <c r="I274" s="51">
        <f>((LEN($C274)-LEN(SUBSTITUTE($C274,Table46791011[[#Headers],[15_0]],"")))/4)*$D274</f>
        <v>0</v>
      </c>
      <c r="J274" s="51">
        <f>((LEN($C274)-LEN(SUBSTITUTE($C274,Table46791011[[#Headers],[15_1]],"")))/4)*$D274</f>
        <v>0</v>
      </c>
      <c r="K274" s="51">
        <f>((LEN($C274)-LEN(SUBSTITUTE($C274,Table46791011[[#Headers],[16_0]],"")))/4)*$D274</f>
        <v>0</v>
      </c>
      <c r="L274" s="51">
        <f>((LEN($C274)-LEN(SUBSTITUTE($C274,Table46791011[[#Headers],[16_1]],"")))/4)*$D274</f>
        <v>2.5303690841092346E-4</v>
      </c>
      <c r="M274" s="51">
        <f>((LEN($C274)-LEN(SUBSTITUTE($C274,Table46791011[[#Headers],[16_2]],"")))/4)*$D274</f>
        <v>0</v>
      </c>
      <c r="N274" s="51">
        <f>((LEN($C274)-LEN(SUBSTITUTE($C274,Table46791011[[#Headers],[16_3]],"")))/4)*$D274</f>
        <v>0</v>
      </c>
      <c r="O274" s="51">
        <f>((LEN($C274)-LEN(SUBSTITUTE($C274,Table46791011[[#Headers],[17_0]],"")))/4)*$D274</f>
        <v>0</v>
      </c>
      <c r="P274" s="51">
        <f>((LEN($C274)-LEN(SUBSTITUTE($C274,Table46791011[[#Headers],[17_1]],"")))/4)*$D274</f>
        <v>0</v>
      </c>
      <c r="Q274" s="51">
        <f>((LEN($C274)-LEN(SUBSTITUTE($C274,Table46791011[[#Headers],[18_0]],"")))/4)*$D274</f>
        <v>0</v>
      </c>
      <c r="R274" s="51">
        <f>((LEN($C274)-LEN(SUBSTITUTE($C274,Table46791011[[#Headers],[18_1]],"")))/4)*$D274</f>
        <v>2.5303690841092346E-4</v>
      </c>
      <c r="S274" s="51">
        <f>((LEN($C274)-LEN(SUBSTITUTE($C274,Table46791011[[#Headers],[18_2]],"")))/4)*$D274</f>
        <v>0</v>
      </c>
      <c r="T274" s="51">
        <f>((LEN($C274)-LEN(SUBSTITUTE($C274,Table46791011[[#Headers],[18_3]],"")))/4)*$D274</f>
        <v>0</v>
      </c>
      <c r="U274" s="51">
        <f>((LEN($C274)-LEN(SUBSTITUTE($C274,Table46791011[[#Headers],[18_4]],"")))/4)*$D274</f>
        <v>0</v>
      </c>
      <c r="V274" s="51">
        <f>((LEN($C274)-LEN(SUBSTITUTE($C274,Table46791011[[#Headers],[18_5]],"")))/4)*$D274</f>
        <v>0</v>
      </c>
      <c r="W274" s="51">
        <f>((LEN($C274)-LEN(SUBSTITUTE($C274,Table46791011[[#Headers],[19_1]],"")))/4)*$D274</f>
        <v>0</v>
      </c>
      <c r="X274" s="51">
        <f>((LEN($C274)-LEN(SUBSTITUTE($C274,Table46791011[[#Headers],[20_0]],"")))/4)*$D274</f>
        <v>0</v>
      </c>
      <c r="Y274" s="51">
        <f>((LEN($C274)-LEN(SUBSTITUTE($C274,Table46791011[[#Headers],[20_1]],"")))/4)*$D274</f>
        <v>0</v>
      </c>
      <c r="Z274" s="51">
        <f>((LEN($C274)-LEN(SUBSTITUTE($C274,Table46791011[[#Headers],[20_2]],"")))/4)*$D274</f>
        <v>0</v>
      </c>
      <c r="AA274" s="51">
        <f>((LEN($C274)-LEN(SUBSTITUTE($C274,Table46791011[[#Headers],[20_3]],"")))/4)*$D274</f>
        <v>0</v>
      </c>
      <c r="AB274" s="51">
        <f>((LEN($C274)-LEN(SUBSTITUTE($C274,Table46791011[[#Headers],[20_4]],"")))/4)*$D274</f>
        <v>0</v>
      </c>
      <c r="AC274" s="51">
        <f>((LEN($C274)-LEN(SUBSTITUTE($C274,Table46791011[[#Headers],[20_5]],"")))/4)*$D274</f>
        <v>0</v>
      </c>
      <c r="AD274" s="51">
        <f>((LEN($C274)-LEN(SUBSTITUTE($C274,Table46791011[[#Headers],[22_0]],"")))/4)*$D274</f>
        <v>0</v>
      </c>
      <c r="AE274" s="51">
        <f>((LEN($C274)-LEN(SUBSTITUTE($C274,Table46791011[[#Headers],[22_5]],"")))/4)*$D274</f>
        <v>0</v>
      </c>
      <c r="AF274" s="51">
        <f>((LEN($C274)-LEN(SUBSTITUTE($C274,Table46791011[[#Headers],[22_6]],"")))/4)*$D274</f>
        <v>0</v>
      </c>
      <c r="AG274" s="51">
        <f>SUM(E274:AF274)/2</f>
        <v>2.5303690841092346E-4</v>
      </c>
      <c r="AH274" s="51">
        <f t="shared" si="69"/>
        <v>0</v>
      </c>
      <c r="AI274" s="51">
        <f>Table46791011[[#This Row],[Column29]]/$D$278*0.5</f>
        <v>5.109684973141326E-3</v>
      </c>
      <c r="AJ274" s="51">
        <f>Table46791011[[#This Row],[Column29]]/$D$278*1.5</f>
        <v>1.5329054919423978E-2</v>
      </c>
    </row>
    <row r="275" spans="3:36">
      <c r="C275" s="53" t="s">
        <v>560</v>
      </c>
      <c r="D275" s="44">
        <v>2.0693222584161421E-2</v>
      </c>
      <c r="E275" s="51">
        <f>((LEN($C275)-LEN(SUBSTITUTE($C275,Table46791011[[#Headers],[12_0]],"")))/4)*$D275</f>
        <v>0</v>
      </c>
      <c r="F275" s="51">
        <f>((LEN($C275)-LEN(SUBSTITUTE($C275,Table46791011[[#Headers],[13_0]],"")))/4)*$D275</f>
        <v>0</v>
      </c>
      <c r="G275" s="51">
        <f>((LEN($C275)-LEN(SUBSTITUTE($C275,Table46791011[[#Headers],[14_0]],"")))/4)*$D275</f>
        <v>0</v>
      </c>
      <c r="H275" s="51">
        <f>((LEN($C275)-LEN(SUBSTITUTE($C275,Table46791011[[#Headers],[14_1]],"")))/4)*$D275</f>
        <v>0</v>
      </c>
      <c r="I275" s="51">
        <f>((LEN($C275)-LEN(SUBSTITUTE($C275,Table46791011[[#Headers],[15_0]],"")))/4)*$D275</f>
        <v>0</v>
      </c>
      <c r="J275" s="51">
        <f>((LEN($C275)-LEN(SUBSTITUTE($C275,Table46791011[[#Headers],[15_1]],"")))/4)*$D275</f>
        <v>0</v>
      </c>
      <c r="K275" s="51">
        <f>((LEN($C275)-LEN(SUBSTITUTE($C275,Table46791011[[#Headers],[16_0]],"")))/4)*$D275</f>
        <v>0</v>
      </c>
      <c r="L275" s="51">
        <f>((LEN($C275)-LEN(SUBSTITUTE($C275,Table46791011[[#Headers],[16_1]],"")))/4)*$D275</f>
        <v>0</v>
      </c>
      <c r="M275" s="51">
        <f>((LEN($C275)-LEN(SUBSTITUTE($C275,Table46791011[[#Headers],[16_2]],"")))/4)*$D275</f>
        <v>0</v>
      </c>
      <c r="N275" s="51">
        <f>((LEN($C275)-LEN(SUBSTITUTE($C275,Table46791011[[#Headers],[16_3]],"")))/4)*$D275</f>
        <v>0</v>
      </c>
      <c r="O275" s="51">
        <f>((LEN($C275)-LEN(SUBSTITUTE($C275,Table46791011[[#Headers],[17_0]],"")))/4)*$D275</f>
        <v>4.1386445168322843E-2</v>
      </c>
      <c r="P275" s="51">
        <f>((LEN($C275)-LEN(SUBSTITUTE($C275,Table46791011[[#Headers],[17_1]],"")))/4)*$D275</f>
        <v>0</v>
      </c>
      <c r="Q275" s="51">
        <f>((LEN($C275)-LEN(SUBSTITUTE($C275,Table46791011[[#Headers],[18_0]],"")))/4)*$D275</f>
        <v>0</v>
      </c>
      <c r="R275" s="51">
        <f>((LEN($C275)-LEN(SUBSTITUTE($C275,Table46791011[[#Headers],[18_1]],"")))/4)*$D275</f>
        <v>0</v>
      </c>
      <c r="S275" s="51">
        <f>((LEN($C275)-LEN(SUBSTITUTE($C275,Table46791011[[#Headers],[18_2]],"")))/4)*$D275</f>
        <v>0</v>
      </c>
      <c r="T275" s="51">
        <f>((LEN($C275)-LEN(SUBSTITUTE($C275,Table46791011[[#Headers],[18_3]],"")))/4)*$D275</f>
        <v>0</v>
      </c>
      <c r="U275" s="51">
        <f>((LEN($C275)-LEN(SUBSTITUTE($C275,Table46791011[[#Headers],[18_4]],"")))/4)*$D275</f>
        <v>0</v>
      </c>
      <c r="V275" s="51">
        <f>((LEN($C275)-LEN(SUBSTITUTE($C275,Table46791011[[#Headers],[18_5]],"")))/4)*$D275</f>
        <v>0</v>
      </c>
      <c r="W275" s="51">
        <f>((LEN($C275)-LEN(SUBSTITUTE($C275,Table46791011[[#Headers],[19_1]],"")))/4)*$D275</f>
        <v>0</v>
      </c>
      <c r="X275" s="51">
        <f>((LEN($C275)-LEN(SUBSTITUTE($C275,Table46791011[[#Headers],[20_0]],"")))/4)*$D275</f>
        <v>0</v>
      </c>
      <c r="Y275" s="51">
        <f>((LEN($C275)-LEN(SUBSTITUTE($C275,Table46791011[[#Headers],[20_1]],"")))/4)*$D275</f>
        <v>0</v>
      </c>
      <c r="Z275" s="51">
        <f>((LEN($C275)-LEN(SUBSTITUTE($C275,Table46791011[[#Headers],[20_2]],"")))/4)*$D275</f>
        <v>0</v>
      </c>
      <c r="AA275" s="51">
        <f>((LEN($C275)-LEN(SUBSTITUTE($C275,Table46791011[[#Headers],[20_3]],"")))/4)*$D275</f>
        <v>0</v>
      </c>
      <c r="AB275" s="51">
        <f>((LEN($C275)-LEN(SUBSTITUTE($C275,Table46791011[[#Headers],[20_4]],"")))/4)*$D275</f>
        <v>0</v>
      </c>
      <c r="AC275" s="51">
        <f>((LEN($C275)-LEN(SUBSTITUTE($C275,Table46791011[[#Headers],[20_5]],"")))/4)*$D275</f>
        <v>0</v>
      </c>
      <c r="AD275" s="51">
        <f>((LEN($C275)-LEN(SUBSTITUTE($C275,Table46791011[[#Headers],[22_0]],"")))/4)*$D275</f>
        <v>0</v>
      </c>
      <c r="AE275" s="51">
        <f>((LEN($C275)-LEN(SUBSTITUTE($C275,Table46791011[[#Headers],[22_5]],"")))/4)*$D275</f>
        <v>0</v>
      </c>
      <c r="AF275" s="51">
        <f>((LEN($C275)-LEN(SUBSTITUTE($C275,Table46791011[[#Headers],[22_6]],"")))/4)*$D275</f>
        <v>0</v>
      </c>
      <c r="AG275" s="51">
        <f>SUM(E275:AF275)/2</f>
        <v>2.0693222584161421E-2</v>
      </c>
      <c r="AH275" s="51">
        <f t="shared" si="69"/>
        <v>0</v>
      </c>
      <c r="AI275" s="51">
        <f>Table46791011[[#This Row],[Column29]]/$D$278*0.5</f>
        <v>0.41786729512378823</v>
      </c>
      <c r="AJ275" s="51">
        <f>Table46791011[[#This Row],[Column29]]/$D$278*1.5</f>
        <v>1.2536018853713646</v>
      </c>
    </row>
    <row r="276" spans="3:36">
      <c r="C276" s="53" t="s">
        <v>561</v>
      </c>
      <c r="D276" s="51">
        <v>2.1656670710921999E-3</v>
      </c>
      <c r="E276" s="51">
        <f>((LEN($C276)-LEN(SUBSTITUTE($C276,Table46791011[[#Headers],[12_0]],"")))/4)*$D276</f>
        <v>0</v>
      </c>
      <c r="F276" s="51">
        <f>((LEN($C276)-LEN(SUBSTITUTE($C276,Table46791011[[#Headers],[13_0]],"")))/4)*$D276</f>
        <v>0</v>
      </c>
      <c r="G276" s="51">
        <f>((LEN($C276)-LEN(SUBSTITUTE($C276,Table46791011[[#Headers],[14_0]],"")))/4)*$D276</f>
        <v>0</v>
      </c>
      <c r="H276" s="51">
        <f>((LEN($C276)-LEN(SUBSTITUTE($C276,Table46791011[[#Headers],[14_1]],"")))/4)*$D276</f>
        <v>0</v>
      </c>
      <c r="I276" s="51">
        <f>((LEN($C276)-LEN(SUBSTITUTE($C276,Table46791011[[#Headers],[15_0]],"")))/4)*$D276</f>
        <v>0</v>
      </c>
      <c r="J276" s="51">
        <f>((LEN($C276)-LEN(SUBSTITUTE($C276,Table46791011[[#Headers],[15_1]],"")))/4)*$D276</f>
        <v>0</v>
      </c>
      <c r="K276" s="51">
        <f>((LEN($C276)-LEN(SUBSTITUTE($C276,Table46791011[[#Headers],[16_0]],"")))/4)*$D276</f>
        <v>0</v>
      </c>
      <c r="L276" s="51">
        <f>((LEN($C276)-LEN(SUBSTITUTE($C276,Table46791011[[#Headers],[16_1]],"")))/4)*$D276</f>
        <v>0</v>
      </c>
      <c r="M276" s="51">
        <f>((LEN($C276)-LEN(SUBSTITUTE($C276,Table46791011[[#Headers],[16_2]],"")))/4)*$D276</f>
        <v>0</v>
      </c>
      <c r="N276" s="51">
        <f>((LEN($C276)-LEN(SUBSTITUTE($C276,Table46791011[[#Headers],[16_3]],"")))/4)*$D276</f>
        <v>0</v>
      </c>
      <c r="O276" s="51">
        <f>((LEN($C276)-LEN(SUBSTITUTE($C276,Table46791011[[#Headers],[17_0]],"")))/4)*$D276</f>
        <v>0</v>
      </c>
      <c r="P276" s="51">
        <f>((LEN($C276)-LEN(SUBSTITUTE($C276,Table46791011[[#Headers],[17_1]],"")))/4)*$D276</f>
        <v>0</v>
      </c>
      <c r="Q276" s="51">
        <f>((LEN($C276)-LEN(SUBSTITUTE($C276,Table46791011[[#Headers],[18_0]],"")))/4)*$D276</f>
        <v>0</v>
      </c>
      <c r="R276" s="51">
        <f>((LEN($C276)-LEN(SUBSTITUTE($C276,Table46791011[[#Headers],[18_1]],"")))/4)*$D276</f>
        <v>4.3313341421843997E-3</v>
      </c>
      <c r="S276" s="51">
        <f>((LEN($C276)-LEN(SUBSTITUTE($C276,Table46791011[[#Headers],[18_2]],"")))/4)*$D276</f>
        <v>0</v>
      </c>
      <c r="T276" s="51">
        <f>((LEN($C276)-LEN(SUBSTITUTE($C276,Table46791011[[#Headers],[18_3]],"")))/4)*$D276</f>
        <v>0</v>
      </c>
      <c r="U276" s="51">
        <f>((LEN($C276)-LEN(SUBSTITUTE($C276,Table46791011[[#Headers],[18_4]],"")))/4)*$D276</f>
        <v>0</v>
      </c>
      <c r="V276" s="51">
        <f>((LEN($C276)-LEN(SUBSTITUTE($C276,Table46791011[[#Headers],[18_5]],"")))/4)*$D276</f>
        <v>0</v>
      </c>
      <c r="W276" s="51">
        <f>((LEN($C276)-LEN(SUBSTITUTE($C276,Table46791011[[#Headers],[19_1]],"")))/4)*$D276</f>
        <v>0</v>
      </c>
      <c r="X276" s="51">
        <f>((LEN($C276)-LEN(SUBSTITUTE($C276,Table46791011[[#Headers],[20_0]],"")))/4)*$D276</f>
        <v>0</v>
      </c>
      <c r="Y276" s="51">
        <f>((LEN($C276)-LEN(SUBSTITUTE($C276,Table46791011[[#Headers],[20_1]],"")))/4)*$D276</f>
        <v>0</v>
      </c>
      <c r="Z276" s="51">
        <f>((LEN($C276)-LEN(SUBSTITUTE($C276,Table46791011[[#Headers],[20_2]],"")))/4)*$D276</f>
        <v>0</v>
      </c>
      <c r="AA276" s="51">
        <f>((LEN($C276)-LEN(SUBSTITUTE($C276,Table46791011[[#Headers],[20_3]],"")))/4)*$D276</f>
        <v>0</v>
      </c>
      <c r="AB276" s="51">
        <f>((LEN($C276)-LEN(SUBSTITUTE($C276,Table46791011[[#Headers],[20_4]],"")))/4)*$D276</f>
        <v>0</v>
      </c>
      <c r="AC276" s="51">
        <f>((LEN($C276)-LEN(SUBSTITUTE($C276,Table46791011[[#Headers],[20_5]],"")))/4)*$D276</f>
        <v>0</v>
      </c>
      <c r="AD276" s="51">
        <f>((LEN($C276)-LEN(SUBSTITUTE($C276,Table46791011[[#Headers],[22_0]],"")))/4)*$D276</f>
        <v>0</v>
      </c>
      <c r="AE276" s="51">
        <f>((LEN($C276)-LEN(SUBSTITUTE($C276,Table46791011[[#Headers],[22_5]],"")))/4)*$D276</f>
        <v>0</v>
      </c>
      <c r="AF276" s="51">
        <f>((LEN($C276)-LEN(SUBSTITUTE($C276,Table46791011[[#Headers],[22_6]],"")))/4)*$D276</f>
        <v>0</v>
      </c>
      <c r="AG276" s="51">
        <f>SUM(E276:AF276)/2</f>
        <v>2.1656670710921999E-3</v>
      </c>
      <c r="AH276" s="51">
        <f t="shared" si="69"/>
        <v>0</v>
      </c>
      <c r="AI276" s="51">
        <f>Table46791011[[#This Row],[Column29]]/$D$278*0.5</f>
        <v>4.3732262457207183E-2</v>
      </c>
      <c r="AJ276" s="51">
        <f>Table46791011[[#This Row],[Column29]]/$D$278*1.5</f>
        <v>0.13119678737162155</v>
      </c>
    </row>
    <row r="277" spans="3:36">
      <c r="C277" s="51" t="s">
        <v>562</v>
      </c>
      <c r="D277" s="51">
        <v>1.4291872931757013E-3</v>
      </c>
      <c r="E277" s="51">
        <f>((LEN($C277)-LEN(SUBSTITUTE($C277,Table46791011[[#Headers],[12_0]],"")))/4)*$D277</f>
        <v>0</v>
      </c>
      <c r="F277" s="51">
        <f>((LEN($C277)-LEN(SUBSTITUTE($C277,Table46791011[[#Headers],[13_0]],"")))/4)*$D277</f>
        <v>0</v>
      </c>
      <c r="G277" s="51">
        <f>((LEN($C277)-LEN(SUBSTITUTE($C277,Table46791011[[#Headers],[14_0]],"")))/4)*$D277</f>
        <v>0</v>
      </c>
      <c r="H277" s="51">
        <f>((LEN($C277)-LEN(SUBSTITUTE($C277,Table46791011[[#Headers],[14_1]],"")))/4)*$D277</f>
        <v>0</v>
      </c>
      <c r="I277" s="51">
        <f>((LEN($C277)-LEN(SUBSTITUTE($C277,Table46791011[[#Headers],[15_0]],"")))/4)*$D277</f>
        <v>0</v>
      </c>
      <c r="J277" s="51">
        <f>((LEN($C277)-LEN(SUBSTITUTE($C277,Table46791011[[#Headers],[15_1]],"")))/4)*$D277</f>
        <v>0</v>
      </c>
      <c r="K277" s="51">
        <f>((LEN($C277)-LEN(SUBSTITUTE($C277,Table46791011[[#Headers],[16_0]],"")))/4)*$D277</f>
        <v>0</v>
      </c>
      <c r="L277" s="51">
        <f>((LEN($C277)-LEN(SUBSTITUTE($C277,Table46791011[[#Headers],[16_1]],"")))/4)*$D277</f>
        <v>0</v>
      </c>
      <c r="M277" s="51">
        <f>((LEN($C277)-LEN(SUBSTITUTE($C277,Table46791011[[#Headers],[16_2]],"")))/4)*$D277</f>
        <v>0</v>
      </c>
      <c r="N277" s="51">
        <f>((LEN($C277)-LEN(SUBSTITUTE($C277,Table46791011[[#Headers],[16_3]],"")))/4)*$D277</f>
        <v>0</v>
      </c>
      <c r="O277" s="51">
        <f>((LEN($C277)-LEN(SUBSTITUTE($C277,Table46791011[[#Headers],[17_0]],"")))/4)*$D277</f>
        <v>0</v>
      </c>
      <c r="P277" s="51">
        <f>((LEN($C277)-LEN(SUBSTITUTE($C277,Table46791011[[#Headers],[17_1]],"")))/4)*$D277</f>
        <v>1.4291872931757013E-3</v>
      </c>
      <c r="Q277" s="51">
        <f>((LEN($C277)-LEN(SUBSTITUTE($C277,Table46791011[[#Headers],[18_0]],"")))/4)*$D277</f>
        <v>0</v>
      </c>
      <c r="R277" s="51">
        <f>((LEN($C277)-LEN(SUBSTITUTE($C277,Table46791011[[#Headers],[18_1]],"")))/4)*$D277</f>
        <v>0</v>
      </c>
      <c r="S277" s="51">
        <f>((LEN($C277)-LEN(SUBSTITUTE($C277,Table46791011[[#Headers],[18_2]],"")))/4)*$D277</f>
        <v>0</v>
      </c>
      <c r="T277" s="51">
        <f>((LEN($C277)-LEN(SUBSTITUTE($C277,Table46791011[[#Headers],[18_3]],"")))/4)*$D277</f>
        <v>0</v>
      </c>
      <c r="U277" s="51">
        <f>((LEN($C277)-LEN(SUBSTITUTE($C277,Table46791011[[#Headers],[18_4]],"")))/4)*$D277</f>
        <v>0</v>
      </c>
      <c r="V277" s="51">
        <f>((LEN($C277)-LEN(SUBSTITUTE($C277,Table46791011[[#Headers],[18_5]],"")))/4)*$D277</f>
        <v>0</v>
      </c>
      <c r="W277" s="51">
        <f>((LEN($C277)-LEN(SUBSTITUTE($C277,Table46791011[[#Headers],[19_1]],"")))/4)*$D277</f>
        <v>0</v>
      </c>
      <c r="X277" s="51">
        <f>((LEN($C277)-LEN(SUBSTITUTE($C277,Table46791011[[#Headers],[20_0]],"")))/4)*$D277</f>
        <v>0</v>
      </c>
      <c r="Y277" s="51">
        <f>((LEN($C277)-LEN(SUBSTITUTE($C277,Table46791011[[#Headers],[20_1]],"")))/4)*$D277</f>
        <v>0</v>
      </c>
      <c r="Z277" s="51">
        <f>((LEN($C277)-LEN(SUBSTITUTE($C277,Table46791011[[#Headers],[20_2]],"")))/4)*$D277</f>
        <v>0</v>
      </c>
      <c r="AA277" s="51">
        <f>((LEN($C277)-LEN(SUBSTITUTE($C277,Table46791011[[#Headers],[20_3]],"")))/4)*$D277</f>
        <v>0</v>
      </c>
      <c r="AB277" s="51">
        <f>((LEN($C277)-LEN(SUBSTITUTE($C277,Table46791011[[#Headers],[20_4]],"")))/4)*$D277</f>
        <v>0</v>
      </c>
      <c r="AC277" s="51">
        <f>((LEN($C277)-LEN(SUBSTITUTE($C277,Table46791011[[#Headers],[20_5]],"")))/4)*$D277</f>
        <v>0</v>
      </c>
      <c r="AD277" s="51">
        <f>((LEN($C277)-LEN(SUBSTITUTE($C277,Table46791011[[#Headers],[22_0]],"")))/4)*$D277</f>
        <v>0</v>
      </c>
      <c r="AE277" s="51">
        <f>((LEN($C277)-LEN(SUBSTITUTE($C277,Table46791011[[#Headers],[22_5]],"")))/4)*$D277</f>
        <v>0</v>
      </c>
      <c r="AF277" s="51">
        <f>((LEN($C277)-LEN(SUBSTITUTE($C277,Table46791011[[#Headers],[22_6]],"")))/4)*$D277</f>
        <v>0</v>
      </c>
      <c r="AG277" s="51">
        <f>SUM(E277:AF277)/1</f>
        <v>1.4291872931757013E-3</v>
      </c>
      <c r="AH277" s="51">
        <f t="shared" si="69"/>
        <v>0</v>
      </c>
      <c r="AI277" s="51">
        <f>Table46791011[[#This Row],[Column29]]/$D$278*0.5</f>
        <v>2.8860204156008231E-2</v>
      </c>
      <c r="AJ277" s="51">
        <f>Table46791011[[#This Row],[Column29]]/$D$278*1.5</f>
        <v>8.658061246802469E-2</v>
      </c>
    </row>
    <row r="278" spans="3:36">
      <c r="C278" s="51"/>
      <c r="D278" s="51">
        <f t="shared" ref="D278:AH278" si="70">SUM(D272:D277)</f>
        <v>2.4760519458733064E-2</v>
      </c>
      <c r="E278" s="51">
        <f t="shared" si="70"/>
        <v>0</v>
      </c>
      <c r="F278" s="51">
        <f t="shared" si="70"/>
        <v>0</v>
      </c>
      <c r="G278" s="51">
        <f t="shared" si="70"/>
        <v>0</v>
      </c>
      <c r="H278" s="51">
        <f t="shared" si="70"/>
        <v>0</v>
      </c>
      <c r="I278" s="51">
        <f t="shared" si="70"/>
        <v>0</v>
      </c>
      <c r="J278" s="51">
        <f t="shared" si="70"/>
        <v>0</v>
      </c>
      <c r="K278" s="51">
        <f t="shared" si="70"/>
        <v>2.1940560189281813E-4</v>
      </c>
      <c r="L278" s="51">
        <f t="shared" si="70"/>
        <v>3.6699375451741656E-4</v>
      </c>
      <c r="M278" s="51">
        <f t="shared" si="70"/>
        <v>0</v>
      </c>
      <c r="N278" s="51">
        <f t="shared" si="70"/>
        <v>0</v>
      </c>
      <c r="O278" s="51">
        <f t="shared" si="70"/>
        <v>4.1386445168322843E-2</v>
      </c>
      <c r="P278" s="51">
        <f t="shared" si="70"/>
        <v>1.4291872931757013E-3</v>
      </c>
      <c r="Q278" s="51">
        <f t="shared" si="70"/>
        <v>0</v>
      </c>
      <c r="R278" s="51">
        <f t="shared" si="70"/>
        <v>4.6898198063816485E-3</v>
      </c>
      <c r="S278" s="51">
        <f t="shared" si="70"/>
        <v>0</v>
      </c>
      <c r="T278" s="51">
        <f t="shared" si="70"/>
        <v>0</v>
      </c>
      <c r="U278" s="51">
        <f t="shared" si="70"/>
        <v>0</v>
      </c>
      <c r="V278" s="51">
        <f t="shared" si="70"/>
        <v>0</v>
      </c>
      <c r="W278" s="51">
        <f t="shared" si="70"/>
        <v>0</v>
      </c>
      <c r="X278" s="51">
        <f t="shared" si="70"/>
        <v>0</v>
      </c>
      <c r="Y278" s="51">
        <f t="shared" si="70"/>
        <v>0</v>
      </c>
      <c r="Z278" s="51">
        <f t="shared" si="70"/>
        <v>0</v>
      </c>
      <c r="AA278" s="51">
        <f t="shared" si="70"/>
        <v>0</v>
      </c>
      <c r="AB278" s="51">
        <f t="shared" si="70"/>
        <v>0</v>
      </c>
      <c r="AC278" s="51">
        <f t="shared" si="70"/>
        <v>0</v>
      </c>
      <c r="AD278" s="51">
        <f t="shared" si="70"/>
        <v>0</v>
      </c>
      <c r="AE278" s="51">
        <f t="shared" si="70"/>
        <v>0</v>
      </c>
      <c r="AF278" s="51">
        <f t="shared" si="70"/>
        <v>0</v>
      </c>
      <c r="AG278" s="51">
        <f t="shared" si="70"/>
        <v>2.4760519458733064E-2</v>
      </c>
      <c r="AH278" s="51">
        <f t="shared" si="70"/>
        <v>0</v>
      </c>
      <c r="AI278" s="51">
        <f>Table46791011[[#This Row],[Column29]]/$D$278*0.5</f>
        <v>0.5</v>
      </c>
      <c r="AJ278" s="51">
        <f>Table46791011[[#This Row],[Column29]]/$D$278*1.5</f>
        <v>1.5</v>
      </c>
    </row>
    <row r="279" spans="3:36">
      <c r="D279" s="44">
        <f>SUM(E278:AF278)</f>
        <v>4.809185162429043E-2</v>
      </c>
      <c r="E279" s="44">
        <f>E278/$D$279*100</f>
        <v>0</v>
      </c>
      <c r="F279" s="44">
        <f t="shared" ref="F279:AF279" si="71">F278/$D$279*100</f>
        <v>0</v>
      </c>
      <c r="G279" s="44">
        <f t="shared" si="71"/>
        <v>0</v>
      </c>
      <c r="H279" s="44">
        <f t="shared" si="71"/>
        <v>0</v>
      </c>
      <c r="I279" s="44">
        <f t="shared" si="71"/>
        <v>0</v>
      </c>
      <c r="J279" s="44">
        <f t="shared" si="71"/>
        <v>0</v>
      </c>
      <c r="K279" s="44">
        <f t="shared" si="71"/>
        <v>0.45622198872043396</v>
      </c>
      <c r="L279" s="44">
        <f t="shared" si="71"/>
        <v>0.76311005320505032</v>
      </c>
      <c r="M279" s="44">
        <f t="shared" si="71"/>
        <v>0</v>
      </c>
      <c r="N279" s="44">
        <f t="shared" si="71"/>
        <v>0</v>
      </c>
      <c r="O279" s="44">
        <f t="shared" si="71"/>
        <v>86.057084039199708</v>
      </c>
      <c r="P279" s="44">
        <f t="shared" si="71"/>
        <v>2.9717867890406646</v>
      </c>
      <c r="Q279" s="44">
        <f t="shared" si="71"/>
        <v>0</v>
      </c>
      <c r="R279" s="44">
        <f t="shared" si="71"/>
        <v>9.7517971298341433</v>
      </c>
      <c r="S279" s="44">
        <f t="shared" si="71"/>
        <v>0</v>
      </c>
      <c r="T279" s="44">
        <f t="shared" si="71"/>
        <v>0</v>
      </c>
      <c r="U279" s="44">
        <f t="shared" si="71"/>
        <v>0</v>
      </c>
      <c r="V279" s="44">
        <f t="shared" si="71"/>
        <v>0</v>
      </c>
      <c r="W279" s="44">
        <f t="shared" si="71"/>
        <v>0</v>
      </c>
      <c r="X279" s="44">
        <f t="shared" si="71"/>
        <v>0</v>
      </c>
      <c r="Y279" s="44">
        <f t="shared" si="71"/>
        <v>0</v>
      </c>
      <c r="Z279" s="44">
        <f t="shared" si="71"/>
        <v>0</v>
      </c>
      <c r="AA279" s="44">
        <f t="shared" si="71"/>
        <v>0</v>
      </c>
      <c r="AB279" s="44">
        <f t="shared" si="71"/>
        <v>0</v>
      </c>
      <c r="AC279" s="44">
        <f t="shared" si="71"/>
        <v>0</v>
      </c>
      <c r="AD279" s="44">
        <f t="shared" si="71"/>
        <v>0</v>
      </c>
      <c r="AE279" s="44">
        <f t="shared" si="71"/>
        <v>0</v>
      </c>
      <c r="AF279" s="44">
        <f t="shared" si="71"/>
        <v>0</v>
      </c>
      <c r="AI279" s="51">
        <f>Table46791011[[#This Row],[Column29]]/$D$278*0.5</f>
        <v>0</v>
      </c>
      <c r="AJ279" s="51">
        <f>Table46791011[[#This Row],[Column29]]/$D$278*1.5</f>
        <v>0</v>
      </c>
    </row>
    <row r="280" spans="3:36">
      <c r="C280" s="51"/>
      <c r="D280" s="51">
        <f>SUM(E279:AF279)</f>
        <v>100</v>
      </c>
      <c r="E280" s="51">
        <f>IF(E279 &gt; 1, E279, 0)</f>
        <v>0</v>
      </c>
      <c r="F280" s="51">
        <f t="shared" ref="F280:AB280" si="72">IF(F279 &gt; 1, F279, 0)</f>
        <v>0</v>
      </c>
      <c r="G280" s="51">
        <f t="shared" si="72"/>
        <v>0</v>
      </c>
      <c r="H280" s="51">
        <f t="shared" si="72"/>
        <v>0</v>
      </c>
      <c r="I280" s="51">
        <f t="shared" si="72"/>
        <v>0</v>
      </c>
      <c r="J280" s="51">
        <f t="shared" si="72"/>
        <v>0</v>
      </c>
      <c r="K280" s="51">
        <f t="shared" si="72"/>
        <v>0</v>
      </c>
      <c r="L280" s="51">
        <f t="shared" si="72"/>
        <v>0</v>
      </c>
      <c r="M280" s="51">
        <f t="shared" si="72"/>
        <v>0</v>
      </c>
      <c r="N280" s="51">
        <f t="shared" si="72"/>
        <v>0</v>
      </c>
      <c r="O280" s="51">
        <f t="shared" si="72"/>
        <v>86.057084039199708</v>
      </c>
      <c r="P280" s="51">
        <f t="shared" si="72"/>
        <v>2.9717867890406646</v>
      </c>
      <c r="Q280" s="51">
        <f t="shared" si="72"/>
        <v>0</v>
      </c>
      <c r="R280" s="51">
        <f t="shared" si="72"/>
        <v>9.7517971298341433</v>
      </c>
      <c r="S280" s="51">
        <f t="shared" si="72"/>
        <v>0</v>
      </c>
      <c r="T280" s="51">
        <f t="shared" si="72"/>
        <v>0</v>
      </c>
      <c r="U280" s="51">
        <f t="shared" si="72"/>
        <v>0</v>
      </c>
      <c r="V280" s="51">
        <f t="shared" si="72"/>
        <v>0</v>
      </c>
      <c r="W280" s="51">
        <f t="shared" si="72"/>
        <v>0</v>
      </c>
      <c r="X280" s="51">
        <f t="shared" si="72"/>
        <v>0</v>
      </c>
      <c r="Y280" s="51">
        <f t="shared" si="72"/>
        <v>0</v>
      </c>
      <c r="Z280" s="51">
        <f t="shared" si="72"/>
        <v>0</v>
      </c>
      <c r="AA280" s="51">
        <f t="shared" si="72"/>
        <v>0</v>
      </c>
      <c r="AB280" s="51">
        <f t="shared" si="72"/>
        <v>0</v>
      </c>
      <c r="AC280" s="51">
        <f>AC279</f>
        <v>0</v>
      </c>
      <c r="AD280" s="51">
        <f>IF(AD279 &gt; 1, AD279, 0)</f>
        <v>0</v>
      </c>
      <c r="AE280" s="51">
        <f>IF(AE279 &gt; 1, AE279, 0)</f>
        <v>0</v>
      </c>
      <c r="AF280" s="51">
        <f>IF(AF279 &gt; 1, AF279, 0)</f>
        <v>0</v>
      </c>
      <c r="AG280" s="51"/>
      <c r="AH280" s="51"/>
      <c r="AI280" s="51">
        <f>Table46791011[[#This Row],[Column29]]/$D$278*0.5</f>
        <v>0</v>
      </c>
      <c r="AJ280" s="51">
        <f>Table46791011[[#This Row],[Column29]]/$D$278*1.5</f>
        <v>0</v>
      </c>
    </row>
    <row r="281" spans="3:36">
      <c r="D281" s="44">
        <f>SUM(E280:AF280)</f>
        <v>98.780667958074517</v>
      </c>
      <c r="E281" s="48">
        <f>E280/$D$281</f>
        <v>0</v>
      </c>
      <c r="F281" s="48">
        <f t="shared" ref="F281:AF281" si="73">F280/$D$281</f>
        <v>0</v>
      </c>
      <c r="G281" s="48">
        <f t="shared" si="73"/>
        <v>0</v>
      </c>
      <c r="H281" s="48">
        <f t="shared" si="73"/>
        <v>0</v>
      </c>
      <c r="I281" s="48">
        <f t="shared" si="73"/>
        <v>0</v>
      </c>
      <c r="J281" s="48">
        <f t="shared" si="73"/>
        <v>0</v>
      </c>
      <c r="K281" s="48">
        <f t="shared" si="73"/>
        <v>0</v>
      </c>
      <c r="L281" s="48">
        <f t="shared" si="73"/>
        <v>0</v>
      </c>
      <c r="M281" s="48">
        <f t="shared" si="73"/>
        <v>0</v>
      </c>
      <c r="N281" s="48">
        <f t="shared" si="73"/>
        <v>0</v>
      </c>
      <c r="O281" s="48">
        <f t="shared" si="73"/>
        <v>0.8711935828954398</v>
      </c>
      <c r="P281" s="48">
        <f t="shared" si="73"/>
        <v>3.0084700280645808E-2</v>
      </c>
      <c r="Q281" s="48">
        <f t="shared" si="73"/>
        <v>0</v>
      </c>
      <c r="R281" s="48">
        <f t="shared" si="73"/>
        <v>9.8721716823914354E-2</v>
      </c>
      <c r="S281" s="48">
        <f t="shared" si="73"/>
        <v>0</v>
      </c>
      <c r="T281" s="48">
        <f t="shared" si="73"/>
        <v>0</v>
      </c>
      <c r="U281" s="48">
        <f t="shared" si="73"/>
        <v>0</v>
      </c>
      <c r="V281" s="48">
        <f t="shared" si="73"/>
        <v>0</v>
      </c>
      <c r="W281" s="48">
        <f t="shared" si="73"/>
        <v>0</v>
      </c>
      <c r="X281" s="48">
        <f t="shared" si="73"/>
        <v>0</v>
      </c>
      <c r="Y281" s="48">
        <f t="shared" si="73"/>
        <v>0</v>
      </c>
      <c r="Z281" s="48">
        <f t="shared" si="73"/>
        <v>0</v>
      </c>
      <c r="AA281" s="48">
        <f t="shared" si="73"/>
        <v>0</v>
      </c>
      <c r="AB281" s="48">
        <f t="shared" si="73"/>
        <v>0</v>
      </c>
      <c r="AC281" s="48">
        <f t="shared" si="73"/>
        <v>0</v>
      </c>
      <c r="AD281" s="48">
        <f t="shared" si="73"/>
        <v>0</v>
      </c>
      <c r="AE281" s="48">
        <f t="shared" si="73"/>
        <v>0</v>
      </c>
      <c r="AF281" s="48">
        <f t="shared" si="73"/>
        <v>0</v>
      </c>
      <c r="AI281" s="51">
        <f>Table46791011[[#This Row],[Column29]]/$D$278*0.5</f>
        <v>0</v>
      </c>
      <c r="AJ281" s="51">
        <f>Table46791011[[#This Row],[Column29]]/$D$278*1.5</f>
        <v>0</v>
      </c>
    </row>
    <row r="282" spans="3:36">
      <c r="C282" s="51"/>
      <c r="D282" s="51">
        <f>SUM(E281:AF281)</f>
        <v>1</v>
      </c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>
        <f>Table46791011[[#This Row],[Column29]]/$D$278*0.5</f>
        <v>0</v>
      </c>
      <c r="AJ282" s="51">
        <f>Table46791011[[#This Row],[Column29]]/$D$278*1.5</f>
        <v>0</v>
      </c>
    </row>
    <row r="286" spans="3:36">
      <c r="C286" s="49" t="s">
        <v>315</v>
      </c>
      <c r="D286" s="49" t="s">
        <v>316</v>
      </c>
      <c r="E286" s="49" t="s">
        <v>317</v>
      </c>
      <c r="F286" s="49" t="s">
        <v>318</v>
      </c>
      <c r="G286" s="49" t="s">
        <v>319</v>
      </c>
      <c r="H286" s="49" t="s">
        <v>320</v>
      </c>
      <c r="I286" s="49" t="s">
        <v>321</v>
      </c>
      <c r="J286" s="49" t="s">
        <v>322</v>
      </c>
      <c r="K286" s="49" t="s">
        <v>323</v>
      </c>
      <c r="L286" s="49" t="s">
        <v>324</v>
      </c>
      <c r="M286" s="49" t="s">
        <v>325</v>
      </c>
      <c r="N286" s="49" t="s">
        <v>326</v>
      </c>
      <c r="O286" s="49" t="s">
        <v>327</v>
      </c>
      <c r="P286" s="49" t="s">
        <v>328</v>
      </c>
      <c r="Q286" s="49" t="s">
        <v>329</v>
      </c>
      <c r="R286" s="49" t="s">
        <v>330</v>
      </c>
      <c r="S286" s="49" t="s">
        <v>331</v>
      </c>
      <c r="T286" s="49" t="s">
        <v>332</v>
      </c>
      <c r="U286" s="49" t="s">
        <v>333</v>
      </c>
      <c r="V286" s="49" t="s">
        <v>334</v>
      </c>
      <c r="W286" s="49" t="s">
        <v>508</v>
      </c>
      <c r="X286" s="49" t="s">
        <v>484</v>
      </c>
      <c r="Y286" s="49" t="s">
        <v>335</v>
      </c>
      <c r="Z286" s="49" t="s">
        <v>336</v>
      </c>
      <c r="AA286" s="49" t="s">
        <v>337</v>
      </c>
      <c r="AB286" s="49" t="s">
        <v>338</v>
      </c>
      <c r="AC286" s="49" t="s">
        <v>339</v>
      </c>
      <c r="AD286" s="49" t="s">
        <v>340</v>
      </c>
      <c r="AE286" s="49" t="s">
        <v>341</v>
      </c>
      <c r="AF286" s="49" t="s">
        <v>342</v>
      </c>
      <c r="AG286" s="49" t="s">
        <v>343</v>
      </c>
      <c r="AH286" s="49" t="s">
        <v>344</v>
      </c>
      <c r="AI286" s="49" t="s">
        <v>345</v>
      </c>
      <c r="AJ286" s="49" t="s">
        <v>346</v>
      </c>
    </row>
    <row r="287" spans="3:36">
      <c r="C287" s="51" t="s">
        <v>563</v>
      </c>
      <c r="D287" s="51">
        <v>7.0127289911688055E-5</v>
      </c>
      <c r="E287" s="51">
        <f>((LEN($C287)-LEN(SUBSTITUTE($C287,Table4679101112[[#Headers],[12_0]],"")))/4)*$D287</f>
        <v>7.0127289911688055E-5</v>
      </c>
      <c r="F287" s="51">
        <f>((LEN($C287)-LEN(SUBSTITUTE($C287,Table4679101112[[#Headers],[13_0]],"")))/4)*$D287</f>
        <v>0</v>
      </c>
      <c r="G287" s="51">
        <f>((LEN($C287)-LEN(SUBSTITUTE($C287,Table4679101112[[#Headers],[14_0]],"")))/4)*$D287</f>
        <v>7.0127289911688055E-5</v>
      </c>
      <c r="H287" s="51">
        <f>((LEN($C287)-LEN(SUBSTITUTE($C287,Table4679101112[[#Headers],[14_1]],"")))/4)*$D287</f>
        <v>0</v>
      </c>
      <c r="I287" s="51">
        <f>((LEN($C287)-LEN(SUBSTITUTE($C287,Table4679101112[[#Headers],[15_0]],"")))/4)*$D287</f>
        <v>0</v>
      </c>
      <c r="J287" s="51">
        <f>((LEN($C287)-LEN(SUBSTITUTE($C287,Table4679101112[[#Headers],[15_1]],"")))/4)*$D287</f>
        <v>0</v>
      </c>
      <c r="K287" s="51">
        <f>((LEN($C287)-LEN(SUBSTITUTE($C287,Table4679101112[[#Headers],[16_0]],"")))/4)*$D287</f>
        <v>0</v>
      </c>
      <c r="L287" s="51">
        <f>((LEN($C287)-LEN(SUBSTITUTE($C287,Table4679101112[[#Headers],[16_1]],"")))/4)*$D287</f>
        <v>0</v>
      </c>
      <c r="M287" s="51">
        <f>((LEN($C287)-LEN(SUBSTITUTE($C287,Table4679101112[[#Headers],[16_2]],"")))/4)*$D287</f>
        <v>0</v>
      </c>
      <c r="N287" s="51">
        <f>((LEN($C287)-LEN(SUBSTITUTE($C287,Table4679101112[[#Headers],[16_3]],"")))/4)*$D287</f>
        <v>0</v>
      </c>
      <c r="O287" s="51">
        <f>((LEN($C287)-LEN(SUBSTITUTE($C287,Table4679101112[[#Headers],[17_0]],"")))/4)*$D287</f>
        <v>0</v>
      </c>
      <c r="P287" s="51">
        <f>((LEN($C287)-LEN(SUBSTITUTE($C287,Table4679101112[[#Headers],[17_1]],"")))/4)*$D287</f>
        <v>0</v>
      </c>
      <c r="Q287" s="51">
        <f>((LEN($C287)-LEN(SUBSTITUTE($C287,Table4679101112[[#Headers],[18_0]],"")))/4)*$D287</f>
        <v>0</v>
      </c>
      <c r="R287" s="51">
        <f>((LEN($C287)-LEN(SUBSTITUTE($C287,Table4679101112[[#Headers],[18_1]],"")))/4)*$D287</f>
        <v>0</v>
      </c>
      <c r="S287" s="51">
        <f>((LEN($C287)-LEN(SUBSTITUTE($C287,Table4679101112[[#Headers],[18_2]],"")))/4)*$D287</f>
        <v>0</v>
      </c>
      <c r="T287" s="51">
        <f>((LEN($C287)-LEN(SUBSTITUTE($C287,Table4679101112[[#Headers],[18_3]],"")))/4)*$D287</f>
        <v>0</v>
      </c>
      <c r="U287" s="51">
        <f>((LEN($C287)-LEN(SUBSTITUTE($C287,Table4679101112[[#Headers],[18_4]],"")))/4)*$D287</f>
        <v>0</v>
      </c>
      <c r="V287" s="51">
        <f>((LEN($C287)-LEN(SUBSTITUTE($C287,Table4679101112[[#Headers],[18_5]],"")))/4)*$D287</f>
        <v>0</v>
      </c>
      <c r="W287" s="51">
        <f>((LEN($C287)-LEN(SUBSTITUTE($C287,Table4679101112[[#Headers],[19_1]],"")))/4)*$D287</f>
        <v>0</v>
      </c>
      <c r="X287" s="51">
        <f>((LEN($C287)-LEN(SUBSTITUTE($C287,Table4679101112[[#Headers],[20_0]],"")))/4)*$D287</f>
        <v>0</v>
      </c>
      <c r="Y287" s="51">
        <f>((LEN($C287)-LEN(SUBSTITUTE($C287,Table4679101112[[#Headers],[20_1]],"")))/4)*$D287</f>
        <v>0</v>
      </c>
      <c r="Z287" s="51">
        <f>((LEN($C287)-LEN(SUBSTITUTE($C287,Table4679101112[[#Headers],[20_2]],"")))/4)*$D287</f>
        <v>0</v>
      </c>
      <c r="AA287" s="51">
        <f>((LEN($C287)-LEN(SUBSTITUTE($C287,Table4679101112[[#Headers],[20_3]],"")))/4)*$D287</f>
        <v>0</v>
      </c>
      <c r="AB287" s="51">
        <f>((LEN($C287)-LEN(SUBSTITUTE($C287,Table4679101112[[#Headers],[20_4]],"")))/4)*$D287</f>
        <v>0</v>
      </c>
      <c r="AC287" s="51">
        <f>((LEN($C287)-LEN(SUBSTITUTE($C287,Table4679101112[[#Headers],[20_5]],"")))/4)*$D287</f>
        <v>0</v>
      </c>
      <c r="AD287" s="51">
        <f>((LEN($C287)-LEN(SUBSTITUTE($C287,Table4679101112[[#Headers],[22_0]],"")))/4)*$D287</f>
        <v>0</v>
      </c>
      <c r="AE287" s="51">
        <f>((LEN($C287)-LEN(SUBSTITUTE($C287,Table4679101112[[#Headers],[22_5]],"")))/4)*$D287</f>
        <v>0</v>
      </c>
      <c r="AF287" s="51">
        <f>((LEN($C287)-LEN(SUBSTITUTE($C287,Table4679101112[[#Headers],[22_6]],"")))/4)*$D287</f>
        <v>0</v>
      </c>
      <c r="AG287" s="51">
        <f t="shared" ref="AG287:AG300" si="74">SUM(E287:AF287)/2</f>
        <v>7.0127289911688055E-5</v>
      </c>
      <c r="AH287" s="51">
        <f t="shared" ref="AH287:AH294" si="75">D287-AG287</f>
        <v>0</v>
      </c>
      <c r="AI287" s="51">
        <f>Table4679101112[[#This Row],[Column29]]/$D$302*0.5</f>
        <v>1.3650811353370879E-3</v>
      </c>
      <c r="AJ287" s="51">
        <f>Table4679101112[[#This Row],[Column29]]/$D$302*1.5</f>
        <v>4.0952434060112638E-3</v>
      </c>
    </row>
    <row r="288" spans="3:36">
      <c r="C288" s="51" t="s">
        <v>564</v>
      </c>
      <c r="D288" s="51">
        <v>1.1269381007209509E-2</v>
      </c>
      <c r="E288" s="51">
        <f>((LEN($C288)-LEN(SUBSTITUTE($C288,Table4679101112[[#Headers],[12_0]],"")))/4)*$D288</f>
        <v>0</v>
      </c>
      <c r="F288" s="51">
        <f>((LEN($C288)-LEN(SUBSTITUTE($C288,Table4679101112[[#Headers],[13_0]],"")))/4)*$D288</f>
        <v>0</v>
      </c>
      <c r="G288" s="51">
        <f>((LEN($C288)-LEN(SUBSTITUTE($C288,Table4679101112[[#Headers],[14_0]],"")))/4)*$D288</f>
        <v>2.2538762014419018E-2</v>
      </c>
      <c r="H288" s="51">
        <f>((LEN($C288)-LEN(SUBSTITUTE($C288,Table4679101112[[#Headers],[14_1]],"")))/4)*$D288</f>
        <v>0</v>
      </c>
      <c r="I288" s="51">
        <f>((LEN($C288)-LEN(SUBSTITUTE($C288,Table4679101112[[#Headers],[15_0]],"")))/4)*$D288</f>
        <v>0</v>
      </c>
      <c r="J288" s="51">
        <f>((LEN($C288)-LEN(SUBSTITUTE($C288,Table4679101112[[#Headers],[15_1]],"")))/4)*$D288</f>
        <v>0</v>
      </c>
      <c r="K288" s="51">
        <f>((LEN($C288)-LEN(SUBSTITUTE($C288,Table4679101112[[#Headers],[16_0]],"")))/4)*$D288</f>
        <v>0</v>
      </c>
      <c r="L288" s="51">
        <f>((LEN($C288)-LEN(SUBSTITUTE($C288,Table4679101112[[#Headers],[16_1]],"")))/4)*$D288</f>
        <v>0</v>
      </c>
      <c r="M288" s="51">
        <f>((LEN($C288)-LEN(SUBSTITUTE($C288,Table4679101112[[#Headers],[16_2]],"")))/4)*$D288</f>
        <v>0</v>
      </c>
      <c r="N288" s="51">
        <f>((LEN($C288)-LEN(SUBSTITUTE($C288,Table4679101112[[#Headers],[16_3]],"")))/4)*$D288</f>
        <v>0</v>
      </c>
      <c r="O288" s="51">
        <f>((LEN($C288)-LEN(SUBSTITUTE($C288,Table4679101112[[#Headers],[17_0]],"")))/4)*$D288</f>
        <v>0</v>
      </c>
      <c r="P288" s="51">
        <f>((LEN($C288)-LEN(SUBSTITUTE($C288,Table4679101112[[#Headers],[17_1]],"")))/4)*$D288</f>
        <v>0</v>
      </c>
      <c r="Q288" s="51">
        <f>((LEN($C288)-LEN(SUBSTITUTE($C288,Table4679101112[[#Headers],[18_0]],"")))/4)*$D288</f>
        <v>0</v>
      </c>
      <c r="R288" s="51">
        <f>((LEN($C288)-LEN(SUBSTITUTE($C288,Table4679101112[[#Headers],[18_1]],"")))/4)*$D288</f>
        <v>0</v>
      </c>
      <c r="S288" s="51">
        <f>((LEN($C288)-LEN(SUBSTITUTE($C288,Table4679101112[[#Headers],[18_2]],"")))/4)*$D288</f>
        <v>0</v>
      </c>
      <c r="T288" s="51">
        <f>((LEN($C288)-LEN(SUBSTITUTE($C288,Table4679101112[[#Headers],[18_3]],"")))/4)*$D288</f>
        <v>0</v>
      </c>
      <c r="U288" s="51">
        <f>((LEN($C288)-LEN(SUBSTITUTE($C288,Table4679101112[[#Headers],[18_4]],"")))/4)*$D288</f>
        <v>0</v>
      </c>
      <c r="V288" s="51">
        <f>((LEN($C288)-LEN(SUBSTITUTE($C288,Table4679101112[[#Headers],[18_5]],"")))/4)*$D288</f>
        <v>0</v>
      </c>
      <c r="W288" s="51">
        <f>((LEN($C288)-LEN(SUBSTITUTE($C288,Table4679101112[[#Headers],[19_1]],"")))/4)*$D288</f>
        <v>0</v>
      </c>
      <c r="X288" s="51">
        <f>((LEN($C288)-LEN(SUBSTITUTE($C288,Table4679101112[[#Headers],[20_0]],"")))/4)*$D288</f>
        <v>0</v>
      </c>
      <c r="Y288" s="51">
        <f>((LEN($C288)-LEN(SUBSTITUTE($C288,Table4679101112[[#Headers],[20_1]],"")))/4)*$D288</f>
        <v>0</v>
      </c>
      <c r="Z288" s="51">
        <f>((LEN($C288)-LEN(SUBSTITUTE($C288,Table4679101112[[#Headers],[20_2]],"")))/4)*$D288</f>
        <v>0</v>
      </c>
      <c r="AA288" s="51">
        <f>((LEN($C288)-LEN(SUBSTITUTE($C288,Table4679101112[[#Headers],[20_3]],"")))/4)*$D288</f>
        <v>0</v>
      </c>
      <c r="AB288" s="51">
        <f>((LEN($C288)-LEN(SUBSTITUTE($C288,Table4679101112[[#Headers],[20_4]],"")))/4)*$D288</f>
        <v>0</v>
      </c>
      <c r="AC288" s="51">
        <f>((LEN($C288)-LEN(SUBSTITUTE($C288,Table4679101112[[#Headers],[20_5]],"")))/4)*$D288</f>
        <v>0</v>
      </c>
      <c r="AD288" s="51">
        <f>((LEN($C288)-LEN(SUBSTITUTE($C288,Table4679101112[[#Headers],[22_0]],"")))/4)*$D288</f>
        <v>0</v>
      </c>
      <c r="AE288" s="51">
        <f>((LEN($C288)-LEN(SUBSTITUTE($C288,Table4679101112[[#Headers],[22_5]],"")))/4)*$D288</f>
        <v>0</v>
      </c>
      <c r="AF288" s="51">
        <f>((LEN($C288)-LEN(SUBSTITUTE($C288,Table4679101112[[#Headers],[22_6]],"")))/4)*$D288</f>
        <v>0</v>
      </c>
      <c r="AG288" s="51">
        <f t="shared" si="74"/>
        <v>1.1269381007209509E-2</v>
      </c>
      <c r="AH288" s="51">
        <f t="shared" si="75"/>
        <v>0</v>
      </c>
      <c r="AI288" s="51">
        <f>Table4679101112[[#This Row],[Column29]]/$D$302*0.5</f>
        <v>0.21936708860759496</v>
      </c>
      <c r="AJ288" s="51">
        <f>Table4679101112[[#This Row],[Column29]]/$D$302*1.5</f>
        <v>0.65810126582278494</v>
      </c>
    </row>
    <row r="289" spans="3:36">
      <c r="C289" s="51" t="s">
        <v>565</v>
      </c>
      <c r="D289" s="51">
        <v>7.3662301176027239E-4</v>
      </c>
      <c r="E289" s="51">
        <f>((LEN($C289)-LEN(SUBSTITUTE($C289,Table4679101112[[#Headers],[12_0]],"")))/4)*$D289</f>
        <v>0</v>
      </c>
      <c r="F289" s="51">
        <f>((LEN($C289)-LEN(SUBSTITUTE($C289,Table4679101112[[#Headers],[13_0]],"")))/4)*$D289</f>
        <v>0</v>
      </c>
      <c r="G289" s="51">
        <f>((LEN($C289)-LEN(SUBSTITUTE($C289,Table4679101112[[#Headers],[14_0]],"")))/4)*$D289</f>
        <v>7.3662301176027239E-4</v>
      </c>
      <c r="H289" s="51">
        <f>((LEN($C289)-LEN(SUBSTITUTE($C289,Table4679101112[[#Headers],[14_1]],"")))/4)*$D289</f>
        <v>0</v>
      </c>
      <c r="I289" s="51">
        <f>((LEN($C289)-LEN(SUBSTITUTE($C289,Table4679101112[[#Headers],[15_0]],"")))/4)*$D289</f>
        <v>7.3662301176027239E-4</v>
      </c>
      <c r="J289" s="51">
        <f>((LEN($C289)-LEN(SUBSTITUTE($C289,Table4679101112[[#Headers],[15_1]],"")))/4)*$D289</f>
        <v>0</v>
      </c>
      <c r="K289" s="51">
        <f>((LEN($C289)-LEN(SUBSTITUTE($C289,Table4679101112[[#Headers],[16_0]],"")))/4)*$D289</f>
        <v>0</v>
      </c>
      <c r="L289" s="51">
        <f>((LEN($C289)-LEN(SUBSTITUTE($C289,Table4679101112[[#Headers],[16_1]],"")))/4)*$D289</f>
        <v>0</v>
      </c>
      <c r="M289" s="51">
        <f>((LEN($C289)-LEN(SUBSTITUTE($C289,Table4679101112[[#Headers],[16_2]],"")))/4)*$D289</f>
        <v>0</v>
      </c>
      <c r="N289" s="51">
        <f>((LEN($C289)-LEN(SUBSTITUTE($C289,Table4679101112[[#Headers],[16_3]],"")))/4)*$D289</f>
        <v>0</v>
      </c>
      <c r="O289" s="51">
        <f>((LEN($C289)-LEN(SUBSTITUTE($C289,Table4679101112[[#Headers],[17_0]],"")))/4)*$D289</f>
        <v>0</v>
      </c>
      <c r="P289" s="51">
        <f>((LEN($C289)-LEN(SUBSTITUTE($C289,Table4679101112[[#Headers],[17_1]],"")))/4)*$D289</f>
        <v>0</v>
      </c>
      <c r="Q289" s="51">
        <f>((LEN($C289)-LEN(SUBSTITUTE($C289,Table4679101112[[#Headers],[18_0]],"")))/4)*$D289</f>
        <v>0</v>
      </c>
      <c r="R289" s="51">
        <f>((LEN($C289)-LEN(SUBSTITUTE($C289,Table4679101112[[#Headers],[18_1]],"")))/4)*$D289</f>
        <v>0</v>
      </c>
      <c r="S289" s="51">
        <f>((LEN($C289)-LEN(SUBSTITUTE($C289,Table4679101112[[#Headers],[18_2]],"")))/4)*$D289</f>
        <v>0</v>
      </c>
      <c r="T289" s="51">
        <f>((LEN($C289)-LEN(SUBSTITUTE($C289,Table4679101112[[#Headers],[18_3]],"")))/4)*$D289</f>
        <v>0</v>
      </c>
      <c r="U289" s="51">
        <f>((LEN($C289)-LEN(SUBSTITUTE($C289,Table4679101112[[#Headers],[18_4]],"")))/4)*$D289</f>
        <v>0</v>
      </c>
      <c r="V289" s="51">
        <f>((LEN($C289)-LEN(SUBSTITUTE($C289,Table4679101112[[#Headers],[18_5]],"")))/4)*$D289</f>
        <v>0</v>
      </c>
      <c r="W289" s="51">
        <f>((LEN($C289)-LEN(SUBSTITUTE($C289,Table4679101112[[#Headers],[19_1]],"")))/4)*$D289</f>
        <v>0</v>
      </c>
      <c r="X289" s="51">
        <f>((LEN($C289)-LEN(SUBSTITUTE($C289,Table4679101112[[#Headers],[20_0]],"")))/4)*$D289</f>
        <v>0</v>
      </c>
      <c r="Y289" s="51">
        <f>((LEN($C289)-LEN(SUBSTITUTE($C289,Table4679101112[[#Headers],[20_1]],"")))/4)*$D289</f>
        <v>0</v>
      </c>
      <c r="Z289" s="51">
        <f>((LEN($C289)-LEN(SUBSTITUTE($C289,Table4679101112[[#Headers],[20_2]],"")))/4)*$D289</f>
        <v>0</v>
      </c>
      <c r="AA289" s="51">
        <f>((LEN($C289)-LEN(SUBSTITUTE($C289,Table4679101112[[#Headers],[20_3]],"")))/4)*$D289</f>
        <v>0</v>
      </c>
      <c r="AB289" s="51">
        <f>((LEN($C289)-LEN(SUBSTITUTE($C289,Table4679101112[[#Headers],[20_4]],"")))/4)*$D289</f>
        <v>0</v>
      </c>
      <c r="AC289" s="51">
        <f>((LEN($C289)-LEN(SUBSTITUTE($C289,Table4679101112[[#Headers],[20_5]],"")))/4)*$D289</f>
        <v>0</v>
      </c>
      <c r="AD289" s="51">
        <f>((LEN($C289)-LEN(SUBSTITUTE($C289,Table4679101112[[#Headers],[22_0]],"")))/4)*$D289</f>
        <v>0</v>
      </c>
      <c r="AE289" s="51">
        <f>((LEN($C289)-LEN(SUBSTITUTE($C289,Table4679101112[[#Headers],[22_5]],"")))/4)*$D289</f>
        <v>0</v>
      </c>
      <c r="AF289" s="51">
        <f>((LEN($C289)-LEN(SUBSTITUTE($C289,Table4679101112[[#Headers],[22_6]],"")))/4)*$D289</f>
        <v>0</v>
      </c>
      <c r="AG289" s="51">
        <f t="shared" si="74"/>
        <v>7.3662301176027239E-4</v>
      </c>
      <c r="AH289" s="51">
        <f t="shared" si="75"/>
        <v>0</v>
      </c>
      <c r="AI289" s="51">
        <f>Table4679101112[[#This Row],[Column29]]/$D$302*0.5</f>
        <v>1.4338928232866782E-2</v>
      </c>
      <c r="AJ289" s="51">
        <f>Table4679101112[[#This Row],[Column29]]/$D$302*1.5</f>
        <v>4.3016784698600347E-2</v>
      </c>
    </row>
    <row r="290" spans="3:36">
      <c r="C290" s="51" t="s">
        <v>566</v>
      </c>
      <c r="D290" s="51">
        <v>6.0763807076502458E-3</v>
      </c>
      <c r="E290" s="51">
        <f>((LEN($C290)-LEN(SUBSTITUTE($C290,Table4679101112[[#Headers],[12_0]],"")))/4)*$D290</f>
        <v>0</v>
      </c>
      <c r="F290" s="51">
        <f>((LEN($C290)-LEN(SUBSTITUTE($C290,Table4679101112[[#Headers],[13_0]],"")))/4)*$D290</f>
        <v>0</v>
      </c>
      <c r="G290" s="51">
        <f>((LEN($C290)-LEN(SUBSTITUTE($C290,Table4679101112[[#Headers],[14_0]],"")))/4)*$D290</f>
        <v>6.0763807076502458E-3</v>
      </c>
      <c r="H290" s="51">
        <f>((LEN($C290)-LEN(SUBSTITUTE($C290,Table4679101112[[#Headers],[14_1]],"")))/4)*$D290</f>
        <v>0</v>
      </c>
      <c r="I290" s="51">
        <f>((LEN($C290)-LEN(SUBSTITUTE($C290,Table4679101112[[#Headers],[15_0]],"")))/4)*$D290</f>
        <v>0</v>
      </c>
      <c r="J290" s="51">
        <f>((LEN($C290)-LEN(SUBSTITUTE($C290,Table4679101112[[#Headers],[15_1]],"")))/4)*$D290</f>
        <v>0</v>
      </c>
      <c r="K290" s="51">
        <f>((LEN($C290)-LEN(SUBSTITUTE($C290,Table4679101112[[#Headers],[16_0]],"")))/4)*$D290</f>
        <v>6.0763807076502458E-3</v>
      </c>
      <c r="L290" s="51">
        <f>((LEN($C290)-LEN(SUBSTITUTE($C290,Table4679101112[[#Headers],[16_1]],"")))/4)*$D290</f>
        <v>0</v>
      </c>
      <c r="M290" s="51">
        <f>((LEN($C290)-LEN(SUBSTITUTE($C290,Table4679101112[[#Headers],[16_2]],"")))/4)*$D290</f>
        <v>0</v>
      </c>
      <c r="N290" s="51">
        <f>((LEN($C290)-LEN(SUBSTITUTE($C290,Table4679101112[[#Headers],[16_3]],"")))/4)*$D290</f>
        <v>0</v>
      </c>
      <c r="O290" s="51">
        <f>((LEN($C290)-LEN(SUBSTITUTE($C290,Table4679101112[[#Headers],[17_0]],"")))/4)*$D290</f>
        <v>0</v>
      </c>
      <c r="P290" s="51">
        <f>((LEN($C290)-LEN(SUBSTITUTE($C290,Table4679101112[[#Headers],[17_1]],"")))/4)*$D290</f>
        <v>0</v>
      </c>
      <c r="Q290" s="51">
        <f>((LEN($C290)-LEN(SUBSTITUTE($C290,Table4679101112[[#Headers],[18_0]],"")))/4)*$D290</f>
        <v>0</v>
      </c>
      <c r="R290" s="51">
        <f>((LEN($C290)-LEN(SUBSTITUTE($C290,Table4679101112[[#Headers],[18_1]],"")))/4)*$D290</f>
        <v>0</v>
      </c>
      <c r="S290" s="51">
        <f>((LEN($C290)-LEN(SUBSTITUTE($C290,Table4679101112[[#Headers],[18_2]],"")))/4)*$D290</f>
        <v>0</v>
      </c>
      <c r="T290" s="51">
        <f>((LEN($C290)-LEN(SUBSTITUTE($C290,Table4679101112[[#Headers],[18_3]],"")))/4)*$D290</f>
        <v>0</v>
      </c>
      <c r="U290" s="51">
        <f>((LEN($C290)-LEN(SUBSTITUTE($C290,Table4679101112[[#Headers],[18_4]],"")))/4)*$D290</f>
        <v>0</v>
      </c>
      <c r="V290" s="51">
        <f>((LEN($C290)-LEN(SUBSTITUTE($C290,Table4679101112[[#Headers],[18_5]],"")))/4)*$D290</f>
        <v>0</v>
      </c>
      <c r="W290" s="51">
        <f>((LEN($C290)-LEN(SUBSTITUTE($C290,Table4679101112[[#Headers],[19_1]],"")))/4)*$D290</f>
        <v>0</v>
      </c>
      <c r="X290" s="51">
        <f>((LEN($C290)-LEN(SUBSTITUTE($C290,Table4679101112[[#Headers],[20_0]],"")))/4)*$D290</f>
        <v>0</v>
      </c>
      <c r="Y290" s="51">
        <f>((LEN($C290)-LEN(SUBSTITUTE($C290,Table4679101112[[#Headers],[20_1]],"")))/4)*$D290</f>
        <v>0</v>
      </c>
      <c r="Z290" s="51">
        <f>((LEN($C290)-LEN(SUBSTITUTE($C290,Table4679101112[[#Headers],[20_2]],"")))/4)*$D290</f>
        <v>0</v>
      </c>
      <c r="AA290" s="51">
        <f>((LEN($C290)-LEN(SUBSTITUTE($C290,Table4679101112[[#Headers],[20_3]],"")))/4)*$D290</f>
        <v>0</v>
      </c>
      <c r="AB290" s="51">
        <f>((LEN($C290)-LEN(SUBSTITUTE($C290,Table4679101112[[#Headers],[20_4]],"")))/4)*$D290</f>
        <v>0</v>
      </c>
      <c r="AC290" s="51">
        <f>((LEN($C290)-LEN(SUBSTITUTE($C290,Table4679101112[[#Headers],[20_5]],"")))/4)*$D290</f>
        <v>0</v>
      </c>
      <c r="AD290" s="51">
        <f>((LEN($C290)-LEN(SUBSTITUTE($C290,Table4679101112[[#Headers],[22_0]],"")))/4)*$D290</f>
        <v>0</v>
      </c>
      <c r="AE290" s="51">
        <f>((LEN($C290)-LEN(SUBSTITUTE($C290,Table4679101112[[#Headers],[22_5]],"")))/4)*$D290</f>
        <v>0</v>
      </c>
      <c r="AF290" s="51">
        <f>((LEN($C290)-LEN(SUBSTITUTE($C290,Table4679101112[[#Headers],[22_6]],"")))/4)*$D290</f>
        <v>0</v>
      </c>
      <c r="AG290" s="51">
        <f t="shared" si="74"/>
        <v>6.0763807076502458E-3</v>
      </c>
      <c r="AH290" s="51">
        <f t="shared" si="75"/>
        <v>0</v>
      </c>
      <c r="AI290" s="51">
        <f>Table4679101112[[#This Row],[Column29]]/$D$302*0.5</f>
        <v>0.11828138069480847</v>
      </c>
      <c r="AJ290" s="51">
        <f>Table4679101112[[#This Row],[Column29]]/$D$302*1.5</f>
        <v>0.35484414208442538</v>
      </c>
    </row>
    <row r="291" spans="3:36">
      <c r="C291" s="51" t="s">
        <v>567</v>
      </c>
      <c r="D291" s="51">
        <v>1.8017671676002988E-3</v>
      </c>
      <c r="E291" s="51">
        <f>((LEN($C291)-LEN(SUBSTITUTE($C291,Table4679101112[[#Headers],[12_0]],"")))/4)*$D291</f>
        <v>0</v>
      </c>
      <c r="F291" s="51">
        <f>((LEN($C291)-LEN(SUBSTITUTE($C291,Table4679101112[[#Headers],[13_0]],"")))/4)*$D291</f>
        <v>0</v>
      </c>
      <c r="G291" s="51">
        <f>((LEN($C291)-LEN(SUBSTITUTE($C291,Table4679101112[[#Headers],[14_0]],"")))/4)*$D291</f>
        <v>1.8017671676002988E-3</v>
      </c>
      <c r="H291" s="51">
        <f>((LEN($C291)-LEN(SUBSTITUTE($C291,Table4679101112[[#Headers],[14_1]],"")))/4)*$D291</f>
        <v>0</v>
      </c>
      <c r="I291" s="51">
        <f>((LEN($C291)-LEN(SUBSTITUTE($C291,Table4679101112[[#Headers],[15_0]],"")))/4)*$D291</f>
        <v>0</v>
      </c>
      <c r="J291" s="51">
        <f>((LEN($C291)-LEN(SUBSTITUTE($C291,Table4679101112[[#Headers],[15_1]],"")))/4)*$D291</f>
        <v>0</v>
      </c>
      <c r="K291" s="51">
        <f>((LEN($C291)-LEN(SUBSTITUTE($C291,Table4679101112[[#Headers],[16_0]],"")))/4)*$D291</f>
        <v>0</v>
      </c>
      <c r="L291" s="51">
        <f>((LEN($C291)-LEN(SUBSTITUTE($C291,Table4679101112[[#Headers],[16_1]],"")))/4)*$D291</f>
        <v>1.8017671676002988E-3</v>
      </c>
      <c r="M291" s="51">
        <f>((LEN($C291)-LEN(SUBSTITUTE($C291,Table4679101112[[#Headers],[16_2]],"")))/4)*$D291</f>
        <v>0</v>
      </c>
      <c r="N291" s="51">
        <f>((LEN($C291)-LEN(SUBSTITUTE($C291,Table4679101112[[#Headers],[16_3]],"")))/4)*$D291</f>
        <v>0</v>
      </c>
      <c r="O291" s="51">
        <f>((LEN($C291)-LEN(SUBSTITUTE($C291,Table4679101112[[#Headers],[17_0]],"")))/4)*$D291</f>
        <v>0</v>
      </c>
      <c r="P291" s="51">
        <f>((LEN($C291)-LEN(SUBSTITUTE($C291,Table4679101112[[#Headers],[17_1]],"")))/4)*$D291</f>
        <v>0</v>
      </c>
      <c r="Q291" s="51">
        <f>((LEN($C291)-LEN(SUBSTITUTE($C291,Table4679101112[[#Headers],[18_0]],"")))/4)*$D291</f>
        <v>0</v>
      </c>
      <c r="R291" s="51">
        <f>((LEN($C291)-LEN(SUBSTITUTE($C291,Table4679101112[[#Headers],[18_1]],"")))/4)*$D291</f>
        <v>0</v>
      </c>
      <c r="S291" s="51">
        <f>((LEN($C291)-LEN(SUBSTITUTE($C291,Table4679101112[[#Headers],[18_2]],"")))/4)*$D291</f>
        <v>0</v>
      </c>
      <c r="T291" s="51">
        <f>((LEN($C291)-LEN(SUBSTITUTE($C291,Table4679101112[[#Headers],[18_3]],"")))/4)*$D291</f>
        <v>0</v>
      </c>
      <c r="U291" s="51">
        <f>((LEN($C291)-LEN(SUBSTITUTE($C291,Table4679101112[[#Headers],[18_4]],"")))/4)*$D291</f>
        <v>0</v>
      </c>
      <c r="V291" s="51">
        <f>((LEN($C291)-LEN(SUBSTITUTE($C291,Table4679101112[[#Headers],[18_5]],"")))/4)*$D291</f>
        <v>0</v>
      </c>
      <c r="W291" s="51">
        <f>((LEN($C291)-LEN(SUBSTITUTE($C291,Table4679101112[[#Headers],[19_1]],"")))/4)*$D291</f>
        <v>0</v>
      </c>
      <c r="X291" s="51">
        <f>((LEN($C291)-LEN(SUBSTITUTE($C291,Table4679101112[[#Headers],[20_0]],"")))/4)*$D291</f>
        <v>0</v>
      </c>
      <c r="Y291" s="51">
        <f>((LEN($C291)-LEN(SUBSTITUTE($C291,Table4679101112[[#Headers],[20_1]],"")))/4)*$D291</f>
        <v>0</v>
      </c>
      <c r="Z291" s="51">
        <f>((LEN($C291)-LEN(SUBSTITUTE($C291,Table4679101112[[#Headers],[20_2]],"")))/4)*$D291</f>
        <v>0</v>
      </c>
      <c r="AA291" s="51">
        <f>((LEN($C291)-LEN(SUBSTITUTE($C291,Table4679101112[[#Headers],[20_3]],"")))/4)*$D291</f>
        <v>0</v>
      </c>
      <c r="AB291" s="51">
        <f>((LEN($C291)-LEN(SUBSTITUTE($C291,Table4679101112[[#Headers],[20_4]],"")))/4)*$D291</f>
        <v>0</v>
      </c>
      <c r="AC291" s="51">
        <f>((LEN($C291)-LEN(SUBSTITUTE($C291,Table4679101112[[#Headers],[20_5]],"")))/4)*$D291</f>
        <v>0</v>
      </c>
      <c r="AD291" s="51">
        <f>((LEN($C291)-LEN(SUBSTITUTE($C291,Table4679101112[[#Headers],[22_0]],"")))/4)*$D291</f>
        <v>0</v>
      </c>
      <c r="AE291" s="51">
        <f>((LEN($C291)-LEN(SUBSTITUTE($C291,Table4679101112[[#Headers],[22_5]],"")))/4)*$D291</f>
        <v>0</v>
      </c>
      <c r="AF291" s="51">
        <f>((LEN($C291)-LEN(SUBSTITUTE($C291,Table4679101112[[#Headers],[22_6]],"")))/4)*$D291</f>
        <v>0</v>
      </c>
      <c r="AG291" s="51">
        <f t="shared" si="74"/>
        <v>1.8017671676002988E-3</v>
      </c>
      <c r="AH291" s="51">
        <f t="shared" si="75"/>
        <v>0</v>
      </c>
      <c r="AI291" s="51">
        <f>Table4679101112[[#This Row],[Column29]]/$D$302*0.5</f>
        <v>3.5072770869347007E-2</v>
      </c>
      <c r="AJ291" s="51">
        <f>Table4679101112[[#This Row],[Column29]]/$D$302*1.5</f>
        <v>0.10521831260804101</v>
      </c>
    </row>
    <row r="292" spans="3:36">
      <c r="C292" s="51" t="s">
        <v>568</v>
      </c>
      <c r="D292" s="51">
        <v>2.8532181679755434E-4</v>
      </c>
      <c r="E292" s="51">
        <f>((LEN($C292)-LEN(SUBSTITUTE($C292,Table4679101112[[#Headers],[12_0]],"")))/4)*$D292</f>
        <v>0</v>
      </c>
      <c r="F292" s="51">
        <f>((LEN($C292)-LEN(SUBSTITUTE($C292,Table4679101112[[#Headers],[13_0]],"")))/4)*$D292</f>
        <v>0</v>
      </c>
      <c r="G292" s="51">
        <f>((LEN($C292)-LEN(SUBSTITUTE($C292,Table4679101112[[#Headers],[14_0]],"")))/4)*$D292</f>
        <v>2.8532181679755434E-4</v>
      </c>
      <c r="H292" s="51">
        <f>((LEN($C292)-LEN(SUBSTITUTE($C292,Table4679101112[[#Headers],[14_1]],"")))/4)*$D292</f>
        <v>0</v>
      </c>
      <c r="I292" s="51">
        <f>((LEN($C292)-LEN(SUBSTITUTE($C292,Table4679101112[[#Headers],[15_0]],"")))/4)*$D292</f>
        <v>0</v>
      </c>
      <c r="J292" s="51">
        <f>((LEN($C292)-LEN(SUBSTITUTE($C292,Table4679101112[[#Headers],[15_1]],"")))/4)*$D292</f>
        <v>0</v>
      </c>
      <c r="K292" s="51">
        <f>((LEN($C292)-LEN(SUBSTITUTE($C292,Table4679101112[[#Headers],[16_0]],"")))/4)*$D292</f>
        <v>0</v>
      </c>
      <c r="L292" s="51">
        <f>((LEN($C292)-LEN(SUBSTITUTE($C292,Table4679101112[[#Headers],[16_1]],"")))/4)*$D292</f>
        <v>0</v>
      </c>
      <c r="M292" s="51">
        <f>((LEN($C292)-LEN(SUBSTITUTE($C292,Table4679101112[[#Headers],[16_2]],"")))/4)*$D292</f>
        <v>0</v>
      </c>
      <c r="N292" s="51">
        <f>((LEN($C292)-LEN(SUBSTITUTE($C292,Table4679101112[[#Headers],[16_3]],"")))/4)*$D292</f>
        <v>0</v>
      </c>
      <c r="O292" s="51">
        <f>((LEN($C292)-LEN(SUBSTITUTE($C292,Table4679101112[[#Headers],[17_0]],"")))/4)*$D292</f>
        <v>0</v>
      </c>
      <c r="P292" s="51">
        <f>((LEN($C292)-LEN(SUBSTITUTE($C292,Table4679101112[[#Headers],[17_1]],"")))/4)*$D292</f>
        <v>0</v>
      </c>
      <c r="Q292" s="51">
        <f>((LEN($C292)-LEN(SUBSTITUTE($C292,Table4679101112[[#Headers],[18_0]],"")))/4)*$D292</f>
        <v>0</v>
      </c>
      <c r="R292" s="51">
        <f>((LEN($C292)-LEN(SUBSTITUTE($C292,Table4679101112[[#Headers],[18_1]],"")))/4)*$D292</f>
        <v>2.8532181679755434E-4</v>
      </c>
      <c r="S292" s="51">
        <f>((LEN($C292)-LEN(SUBSTITUTE($C292,Table4679101112[[#Headers],[18_2]],"")))/4)*$D292</f>
        <v>0</v>
      </c>
      <c r="T292" s="51">
        <f>((LEN($C292)-LEN(SUBSTITUTE($C292,Table4679101112[[#Headers],[18_3]],"")))/4)*$D292</f>
        <v>0</v>
      </c>
      <c r="U292" s="51">
        <f>((LEN($C292)-LEN(SUBSTITUTE($C292,Table4679101112[[#Headers],[18_4]],"")))/4)*$D292</f>
        <v>0</v>
      </c>
      <c r="V292" s="51">
        <f>((LEN($C292)-LEN(SUBSTITUTE($C292,Table4679101112[[#Headers],[18_5]],"")))/4)*$D292</f>
        <v>0</v>
      </c>
      <c r="W292" s="51">
        <f>((LEN($C292)-LEN(SUBSTITUTE($C292,Table4679101112[[#Headers],[19_1]],"")))/4)*$D292</f>
        <v>0</v>
      </c>
      <c r="X292" s="51">
        <f>((LEN($C292)-LEN(SUBSTITUTE($C292,Table4679101112[[#Headers],[20_0]],"")))/4)*$D292</f>
        <v>0</v>
      </c>
      <c r="Y292" s="51">
        <f>((LEN($C292)-LEN(SUBSTITUTE($C292,Table4679101112[[#Headers],[20_1]],"")))/4)*$D292</f>
        <v>0</v>
      </c>
      <c r="Z292" s="51">
        <f>((LEN($C292)-LEN(SUBSTITUTE($C292,Table4679101112[[#Headers],[20_2]],"")))/4)*$D292</f>
        <v>0</v>
      </c>
      <c r="AA292" s="51">
        <f>((LEN($C292)-LEN(SUBSTITUTE($C292,Table4679101112[[#Headers],[20_3]],"")))/4)*$D292</f>
        <v>0</v>
      </c>
      <c r="AB292" s="51">
        <f>((LEN($C292)-LEN(SUBSTITUTE($C292,Table4679101112[[#Headers],[20_4]],"")))/4)*$D292</f>
        <v>0</v>
      </c>
      <c r="AC292" s="51">
        <f>((LEN($C292)-LEN(SUBSTITUTE($C292,Table4679101112[[#Headers],[20_5]],"")))/4)*$D292</f>
        <v>0</v>
      </c>
      <c r="AD292" s="51">
        <f>((LEN($C292)-LEN(SUBSTITUTE($C292,Table4679101112[[#Headers],[22_0]],"")))/4)*$D292</f>
        <v>0</v>
      </c>
      <c r="AE292" s="51">
        <f>((LEN($C292)-LEN(SUBSTITUTE($C292,Table4679101112[[#Headers],[22_5]],"")))/4)*$D292</f>
        <v>0</v>
      </c>
      <c r="AF292" s="51">
        <f>((LEN($C292)-LEN(SUBSTITUTE($C292,Table4679101112[[#Headers],[22_6]],"")))/4)*$D292</f>
        <v>0</v>
      </c>
      <c r="AG292" s="51">
        <f t="shared" si="74"/>
        <v>2.8532181679755434E-4</v>
      </c>
      <c r="AH292" s="51">
        <f t="shared" si="75"/>
        <v>0</v>
      </c>
      <c r="AI292" s="51">
        <f>Table4679101112[[#This Row],[Column29]]/$D$302*0.5</f>
        <v>5.5540065800479561E-3</v>
      </c>
      <c r="AJ292" s="51">
        <f>Table4679101112[[#This Row],[Column29]]/$D$302*1.5</f>
        <v>1.666201974014387E-2</v>
      </c>
    </row>
    <row r="293" spans="3:36">
      <c r="C293" s="51" t="s">
        <v>569</v>
      </c>
      <c r="D293" s="51">
        <v>1.3280641994713473E-4</v>
      </c>
      <c r="E293" s="51">
        <f>((LEN($C293)-LEN(SUBSTITUTE($C293,Table4679101112[[#Headers],[12_0]],"")))/4)*$D293</f>
        <v>0</v>
      </c>
      <c r="F293" s="51">
        <f>((LEN($C293)-LEN(SUBSTITUTE($C293,Table4679101112[[#Headers],[13_0]],"")))/4)*$D293</f>
        <v>0</v>
      </c>
      <c r="G293" s="51">
        <f>((LEN($C293)-LEN(SUBSTITUTE($C293,Table4679101112[[#Headers],[14_0]],"")))/4)*$D293</f>
        <v>1.3280641994713473E-4</v>
      </c>
      <c r="H293" s="51">
        <f>((LEN($C293)-LEN(SUBSTITUTE($C293,Table4679101112[[#Headers],[14_1]],"")))/4)*$D293</f>
        <v>0</v>
      </c>
      <c r="I293" s="51">
        <f>((LEN($C293)-LEN(SUBSTITUTE($C293,Table4679101112[[#Headers],[15_0]],"")))/4)*$D293</f>
        <v>0</v>
      </c>
      <c r="J293" s="51">
        <f>((LEN($C293)-LEN(SUBSTITUTE($C293,Table4679101112[[#Headers],[15_1]],"")))/4)*$D293</f>
        <v>0</v>
      </c>
      <c r="K293" s="51">
        <f>((LEN($C293)-LEN(SUBSTITUTE($C293,Table4679101112[[#Headers],[16_0]],"")))/4)*$D293</f>
        <v>0</v>
      </c>
      <c r="L293" s="51">
        <f>((LEN($C293)-LEN(SUBSTITUTE($C293,Table4679101112[[#Headers],[16_1]],"")))/4)*$D293</f>
        <v>0</v>
      </c>
      <c r="M293" s="51">
        <f>((LEN($C293)-LEN(SUBSTITUTE($C293,Table4679101112[[#Headers],[16_2]],"")))/4)*$D293</f>
        <v>0</v>
      </c>
      <c r="N293" s="51">
        <f>((LEN($C293)-LEN(SUBSTITUTE($C293,Table4679101112[[#Headers],[16_3]],"")))/4)*$D293</f>
        <v>0</v>
      </c>
      <c r="O293" s="51">
        <f>((LEN($C293)-LEN(SUBSTITUTE($C293,Table4679101112[[#Headers],[17_0]],"")))/4)*$D293</f>
        <v>0</v>
      </c>
      <c r="P293" s="51">
        <f>((LEN($C293)-LEN(SUBSTITUTE($C293,Table4679101112[[#Headers],[17_1]],"")))/4)*$D293</f>
        <v>0</v>
      </c>
      <c r="Q293" s="51">
        <f>((LEN($C293)-LEN(SUBSTITUTE($C293,Table4679101112[[#Headers],[18_0]],"")))/4)*$D293</f>
        <v>0</v>
      </c>
      <c r="R293" s="51">
        <f>((LEN($C293)-LEN(SUBSTITUTE($C293,Table4679101112[[#Headers],[18_1]],"")))/4)*$D293</f>
        <v>0</v>
      </c>
      <c r="S293" s="51">
        <f>((LEN($C293)-LEN(SUBSTITUTE($C293,Table4679101112[[#Headers],[18_2]],"")))/4)*$D293</f>
        <v>0</v>
      </c>
      <c r="T293" s="51">
        <f>((LEN($C293)-LEN(SUBSTITUTE($C293,Table4679101112[[#Headers],[18_3]],"")))/4)*$D293</f>
        <v>0</v>
      </c>
      <c r="U293" s="51">
        <f>((LEN($C293)-LEN(SUBSTITUTE($C293,Table4679101112[[#Headers],[18_4]],"")))/4)*$D293</f>
        <v>0</v>
      </c>
      <c r="V293" s="51">
        <f>((LEN($C293)-LEN(SUBSTITUTE($C293,Table4679101112[[#Headers],[18_5]],"")))/4)*$D293</f>
        <v>0</v>
      </c>
      <c r="W293" s="51">
        <f>((LEN($C293)-LEN(SUBSTITUTE($C293,Table4679101112[[#Headers],[19_1]],"")))/4)*$D293</f>
        <v>0</v>
      </c>
      <c r="X293" s="51">
        <f>((LEN($C293)-LEN(SUBSTITUTE($C293,Table4679101112[[#Headers],[20_0]],"")))/4)*$D293</f>
        <v>0</v>
      </c>
      <c r="Y293" s="51">
        <f>((LEN($C293)-LEN(SUBSTITUTE($C293,Table4679101112[[#Headers],[20_1]],"")))/4)*$D293</f>
        <v>0</v>
      </c>
      <c r="Z293" s="51">
        <f>((LEN($C293)-LEN(SUBSTITUTE($C293,Table4679101112[[#Headers],[20_2]],"")))/4)*$D293</f>
        <v>0</v>
      </c>
      <c r="AA293" s="51">
        <f>((LEN($C293)-LEN(SUBSTITUTE($C293,Table4679101112[[#Headers],[20_3]],"")))/4)*$D293</f>
        <v>0</v>
      </c>
      <c r="AB293" s="51">
        <f>((LEN($C293)-LEN(SUBSTITUTE($C293,Table4679101112[[#Headers],[20_4]],"")))/4)*$D293</f>
        <v>0</v>
      </c>
      <c r="AC293" s="51">
        <f>((LEN($C293)-LEN(SUBSTITUTE($C293,Table4679101112[[#Headers],[20_5]],"")))/4)*$D293</f>
        <v>1.3280641994713473E-4</v>
      </c>
      <c r="AD293" s="51">
        <f>((LEN($C293)-LEN(SUBSTITUTE($C293,Table4679101112[[#Headers],[22_0]],"")))/4)*$D293</f>
        <v>0</v>
      </c>
      <c r="AE293" s="51">
        <f>((LEN($C293)-LEN(SUBSTITUTE($C293,Table4679101112[[#Headers],[22_5]],"")))/4)*$D293</f>
        <v>0</v>
      </c>
      <c r="AF293" s="51">
        <f>((LEN($C293)-LEN(SUBSTITUTE($C293,Table4679101112[[#Headers],[22_6]],"")))/4)*$D293</f>
        <v>0</v>
      </c>
      <c r="AG293" s="51">
        <f t="shared" si="74"/>
        <v>1.3280641994713473E-4</v>
      </c>
      <c r="AH293" s="51">
        <f t="shared" si="75"/>
        <v>0</v>
      </c>
      <c r="AI293" s="51">
        <f>Table4679101112[[#This Row],[Column29]]/$D$302*0.5</f>
        <v>2.5851781631628839E-3</v>
      </c>
      <c r="AJ293" s="51">
        <f>Table4679101112[[#This Row],[Column29]]/$D$302*1.5</f>
        <v>7.7555344894886516E-3</v>
      </c>
    </row>
    <row r="294" spans="3:36">
      <c r="C294" s="51" t="s">
        <v>570</v>
      </c>
      <c r="D294" s="51">
        <v>2.3501809086417025E-4</v>
      </c>
      <c r="E294" s="51">
        <f>((LEN($C294)-LEN(SUBSTITUTE($C294,Table4679101112[[#Headers],[12_0]],"")))/4)*$D294</f>
        <v>0</v>
      </c>
      <c r="F294" s="51">
        <f>((LEN($C294)-LEN(SUBSTITUTE($C294,Table4679101112[[#Headers],[13_0]],"")))/4)*$D294</f>
        <v>0</v>
      </c>
      <c r="G294" s="51">
        <f>((LEN($C294)-LEN(SUBSTITUTE($C294,Table4679101112[[#Headers],[14_0]],"")))/4)*$D294</f>
        <v>2.3501809086417025E-4</v>
      </c>
      <c r="H294" s="51">
        <f>((LEN($C294)-LEN(SUBSTITUTE($C294,Table4679101112[[#Headers],[14_1]],"")))/4)*$D294</f>
        <v>0</v>
      </c>
      <c r="I294" s="51">
        <f>((LEN($C294)-LEN(SUBSTITUTE($C294,Table4679101112[[#Headers],[15_0]],"")))/4)*$D294</f>
        <v>0</v>
      </c>
      <c r="J294" s="51">
        <f>((LEN($C294)-LEN(SUBSTITUTE($C294,Table4679101112[[#Headers],[15_1]],"")))/4)*$D294</f>
        <v>0</v>
      </c>
      <c r="K294" s="51">
        <f>((LEN($C294)-LEN(SUBSTITUTE($C294,Table4679101112[[#Headers],[16_0]],"")))/4)*$D294</f>
        <v>0</v>
      </c>
      <c r="L294" s="51">
        <f>((LEN($C294)-LEN(SUBSTITUTE($C294,Table4679101112[[#Headers],[16_1]],"")))/4)*$D294</f>
        <v>0</v>
      </c>
      <c r="M294" s="51">
        <f>((LEN($C294)-LEN(SUBSTITUTE($C294,Table4679101112[[#Headers],[16_2]],"")))/4)*$D294</f>
        <v>0</v>
      </c>
      <c r="N294" s="51">
        <f>((LEN($C294)-LEN(SUBSTITUTE($C294,Table4679101112[[#Headers],[16_3]],"")))/4)*$D294</f>
        <v>0</v>
      </c>
      <c r="O294" s="51">
        <f>((LEN($C294)-LEN(SUBSTITUTE($C294,Table4679101112[[#Headers],[17_0]],"")))/4)*$D294</f>
        <v>0</v>
      </c>
      <c r="P294" s="51">
        <f>((LEN($C294)-LEN(SUBSTITUTE($C294,Table4679101112[[#Headers],[17_1]],"")))/4)*$D294</f>
        <v>0</v>
      </c>
      <c r="Q294" s="51">
        <f>((LEN($C294)-LEN(SUBSTITUTE($C294,Table4679101112[[#Headers],[18_0]],"")))/4)*$D294</f>
        <v>0</v>
      </c>
      <c r="R294" s="51">
        <f>((LEN($C294)-LEN(SUBSTITUTE($C294,Table4679101112[[#Headers],[18_1]],"")))/4)*$D294</f>
        <v>0</v>
      </c>
      <c r="S294" s="51">
        <f>((LEN($C294)-LEN(SUBSTITUTE($C294,Table4679101112[[#Headers],[18_2]],"")))/4)*$D294</f>
        <v>0</v>
      </c>
      <c r="T294" s="51">
        <f>((LEN($C294)-LEN(SUBSTITUTE($C294,Table4679101112[[#Headers],[18_3]],"")))/4)*$D294</f>
        <v>0</v>
      </c>
      <c r="U294" s="51">
        <f>((LEN($C294)-LEN(SUBSTITUTE($C294,Table4679101112[[#Headers],[18_4]],"")))/4)*$D294</f>
        <v>0</v>
      </c>
      <c r="V294" s="51">
        <f>((LEN($C294)-LEN(SUBSTITUTE($C294,Table4679101112[[#Headers],[18_5]],"")))/4)*$D294</f>
        <v>0</v>
      </c>
      <c r="W294" s="51">
        <f>((LEN($C294)-LEN(SUBSTITUTE($C294,Table4679101112[[#Headers],[19_1]],"")))/4)*$D294</f>
        <v>0</v>
      </c>
      <c r="X294" s="51">
        <f>((LEN($C294)-LEN(SUBSTITUTE($C294,Table4679101112[[#Headers],[20_0]],"")))/4)*$D294</f>
        <v>0</v>
      </c>
      <c r="Y294" s="51">
        <f>((LEN($C294)-LEN(SUBSTITUTE($C294,Table4679101112[[#Headers],[20_1]],"")))/4)*$D294</f>
        <v>0</v>
      </c>
      <c r="Z294" s="51">
        <f>((LEN($C294)-LEN(SUBSTITUTE($C294,Table4679101112[[#Headers],[20_2]],"")))/4)*$D294</f>
        <v>0</v>
      </c>
      <c r="AA294" s="51">
        <f>((LEN($C294)-LEN(SUBSTITUTE($C294,Table4679101112[[#Headers],[20_3]],"")))/4)*$D294</f>
        <v>0</v>
      </c>
      <c r="AB294" s="51">
        <f>((LEN($C294)-LEN(SUBSTITUTE($C294,Table4679101112[[#Headers],[20_4]],"")))/4)*$D294</f>
        <v>0</v>
      </c>
      <c r="AC294" s="51">
        <f>((LEN($C294)-LEN(SUBSTITUTE($C294,Table4679101112[[#Headers],[20_5]],"")))/4)*$D294</f>
        <v>0</v>
      </c>
      <c r="AD294" s="51">
        <f>((LEN($C294)-LEN(SUBSTITUTE($C294,Table4679101112[[#Headers],[22_0]],"")))/4)*$D294</f>
        <v>0</v>
      </c>
      <c r="AE294" s="51">
        <f>((LEN($C294)-LEN(SUBSTITUTE($C294,Table4679101112[[#Headers],[22_5]],"")))/4)*$D294</f>
        <v>0</v>
      </c>
      <c r="AF294" s="51">
        <f>((LEN($C294)-LEN(SUBSTITUTE($C294,Table4679101112[[#Headers],[22_6]],"")))/4)*$D294</f>
        <v>2.3501809086417025E-4</v>
      </c>
      <c r="AG294" s="51">
        <f t="shared" si="74"/>
        <v>2.3501809086417025E-4</v>
      </c>
      <c r="AH294" s="51">
        <f t="shared" si="75"/>
        <v>0</v>
      </c>
      <c r="AI294" s="51">
        <f>Table4679101112[[#This Row],[Column29]]/$D$302*0.5</f>
        <v>4.5748062231639993E-3</v>
      </c>
      <c r="AJ294" s="51">
        <f>Table4679101112[[#This Row],[Column29]]/$D$302*1.5</f>
        <v>1.3724418669491999E-2</v>
      </c>
    </row>
    <row r="295" spans="3:36">
      <c r="C295" s="51" t="s">
        <v>571</v>
      </c>
      <c r="D295" s="51">
        <v>1.2023048846378871E-4</v>
      </c>
      <c r="E295" s="51">
        <f>((LEN($C295)-LEN(SUBSTITUTE($C295,Table4679101112[[#Headers],[12_0]],"")))/4)*$D295</f>
        <v>0</v>
      </c>
      <c r="F295" s="51">
        <f>((LEN($C295)-LEN(SUBSTITUTE($C295,Table4679101112[[#Headers],[13_0]],"")))/4)*$D295</f>
        <v>0</v>
      </c>
      <c r="G295" s="51">
        <f>((LEN($C295)-LEN(SUBSTITUTE($C295,Table4679101112[[#Headers],[14_0]],"")))/4)*$D295</f>
        <v>0</v>
      </c>
      <c r="H295" s="51">
        <f>((LEN($C295)-LEN(SUBSTITUTE($C295,Table4679101112[[#Headers],[14_1]],"")))/4)*$D295</f>
        <v>0</v>
      </c>
      <c r="I295" s="51">
        <f>((LEN($C295)-LEN(SUBSTITUTE($C295,Table4679101112[[#Headers],[15_0]],"")))/4)*$D295</f>
        <v>0</v>
      </c>
      <c r="J295" s="51">
        <f>((LEN($C295)-LEN(SUBSTITUTE($C295,Table4679101112[[#Headers],[15_1]],"")))/4)*$D295</f>
        <v>0</v>
      </c>
      <c r="K295" s="51">
        <f>((LEN($C295)-LEN(SUBSTITUTE($C295,Table4679101112[[#Headers],[16_0]],"")))/4)*$D295</f>
        <v>1.2023048846378871E-4</v>
      </c>
      <c r="L295" s="51">
        <f>((LEN($C295)-LEN(SUBSTITUTE($C295,Table4679101112[[#Headers],[16_1]],"")))/4)*$D295</f>
        <v>1.2023048846378871E-4</v>
      </c>
      <c r="M295" s="51">
        <f>((LEN($C295)-LEN(SUBSTITUTE($C295,Table4679101112[[#Headers],[16_2]],"")))/4)*$D295</f>
        <v>0</v>
      </c>
      <c r="N295" s="51">
        <f>((LEN($C295)-LEN(SUBSTITUTE($C295,Table4679101112[[#Headers],[16_3]],"")))/4)*$D295</f>
        <v>0</v>
      </c>
      <c r="O295" s="51">
        <f>((LEN($C295)-LEN(SUBSTITUTE($C295,Table4679101112[[#Headers],[17_0]],"")))/4)*$D295</f>
        <v>0</v>
      </c>
      <c r="P295" s="51">
        <f>((LEN($C295)-LEN(SUBSTITUTE($C295,Table4679101112[[#Headers],[17_1]],"")))/4)*$D295</f>
        <v>0</v>
      </c>
      <c r="Q295" s="51">
        <f>((LEN($C295)-LEN(SUBSTITUTE($C295,Table4679101112[[#Headers],[18_0]],"")))/4)*$D295</f>
        <v>0</v>
      </c>
      <c r="R295" s="51">
        <f>((LEN($C295)-LEN(SUBSTITUTE($C295,Table4679101112[[#Headers],[18_1]],"")))/4)*$D295</f>
        <v>0</v>
      </c>
      <c r="S295" s="51">
        <f>((LEN($C295)-LEN(SUBSTITUTE($C295,Table4679101112[[#Headers],[18_2]],"")))/4)*$D295</f>
        <v>0</v>
      </c>
      <c r="T295" s="51">
        <f>((LEN($C295)-LEN(SUBSTITUTE($C295,Table4679101112[[#Headers],[18_3]],"")))/4)*$D295</f>
        <v>0</v>
      </c>
      <c r="U295" s="51">
        <f>((LEN($C295)-LEN(SUBSTITUTE($C295,Table4679101112[[#Headers],[18_4]],"")))/4)*$D295</f>
        <v>0</v>
      </c>
      <c r="V295" s="51">
        <f>((LEN($C295)-LEN(SUBSTITUTE($C295,Table4679101112[[#Headers],[18_5]],"")))/4)*$D295</f>
        <v>0</v>
      </c>
      <c r="W295" s="51">
        <f>((LEN($C295)-LEN(SUBSTITUTE($C295,Table4679101112[[#Headers],[19_1]],"")))/4)*$D295</f>
        <v>0</v>
      </c>
      <c r="X295" s="51">
        <f>((LEN($C295)-LEN(SUBSTITUTE($C295,Table4679101112[[#Headers],[20_0]],"")))/4)*$D295</f>
        <v>0</v>
      </c>
      <c r="Y295" s="51">
        <f>((LEN($C295)-LEN(SUBSTITUTE($C295,Table4679101112[[#Headers],[20_1]],"")))/4)*$D295</f>
        <v>0</v>
      </c>
      <c r="Z295" s="51">
        <f>((LEN($C295)-LEN(SUBSTITUTE($C295,Table4679101112[[#Headers],[20_2]],"")))/4)*$D295</f>
        <v>0</v>
      </c>
      <c r="AA295" s="51">
        <f>((LEN($C295)-LEN(SUBSTITUTE($C295,Table4679101112[[#Headers],[20_3]],"")))/4)*$D295</f>
        <v>0</v>
      </c>
      <c r="AB295" s="51">
        <f>((LEN($C295)-LEN(SUBSTITUTE($C295,Table4679101112[[#Headers],[20_4]],"")))/4)*$D295</f>
        <v>0</v>
      </c>
      <c r="AC295" s="51">
        <f>((LEN($C295)-LEN(SUBSTITUTE($C295,Table4679101112[[#Headers],[20_5]],"")))/4)*$D295</f>
        <v>0</v>
      </c>
      <c r="AD295" s="51">
        <f>((LEN($C295)-LEN(SUBSTITUTE($C295,Table4679101112[[#Headers],[22_0]],"")))/4)*$D295</f>
        <v>0</v>
      </c>
      <c r="AE295" s="51">
        <f>((LEN($C295)-LEN(SUBSTITUTE($C295,Table4679101112[[#Headers],[22_5]],"")))/4)*$D295</f>
        <v>0</v>
      </c>
      <c r="AF295" s="51">
        <f>((LEN($C295)-LEN(SUBSTITUTE($C295,Table4679101112[[#Headers],[22_6]],"")))/4)*$D295</f>
        <v>0</v>
      </c>
      <c r="AG295" s="51">
        <f>SUM(E295:AF295)/2</f>
        <v>1.2023048846378871E-4</v>
      </c>
      <c r="AH295" s="51">
        <f>D295-AG295</f>
        <v>0</v>
      </c>
      <c r="AI295" s="51">
        <f>Table4679101112[[#This Row],[Column29]]/$D$302*0.5</f>
        <v>2.3403780739418949E-3</v>
      </c>
      <c r="AJ295" s="51">
        <f>Table4679101112[[#This Row],[Column29]]/$D$302*1.5</f>
        <v>7.0211342218256846E-3</v>
      </c>
    </row>
    <row r="296" spans="3:36">
      <c r="C296" s="51" t="s">
        <v>572</v>
      </c>
      <c r="D296" s="51">
        <v>9.0211539485660476E-4</v>
      </c>
      <c r="E296" s="51">
        <f>((LEN($C296)-LEN(SUBSTITUTE($C296,Table4679101112[[#Headers],[12_0]],"")))/4)*$D296</f>
        <v>0</v>
      </c>
      <c r="F296" s="51">
        <f>((LEN($C296)-LEN(SUBSTITUTE($C296,Table4679101112[[#Headers],[13_0]],"")))/4)*$D296</f>
        <v>0</v>
      </c>
      <c r="G296" s="51">
        <f>((LEN($C296)-LEN(SUBSTITUTE($C296,Table4679101112[[#Headers],[14_0]],"")))/4)*$D296</f>
        <v>0</v>
      </c>
      <c r="H296" s="51">
        <f>((LEN($C296)-LEN(SUBSTITUTE($C296,Table4679101112[[#Headers],[14_1]],"")))/4)*$D296</f>
        <v>0</v>
      </c>
      <c r="I296" s="51">
        <f>((LEN($C296)-LEN(SUBSTITUTE($C296,Table4679101112[[#Headers],[15_0]],"")))/4)*$D296</f>
        <v>0</v>
      </c>
      <c r="J296" s="51">
        <f>((LEN($C296)-LEN(SUBSTITUTE($C296,Table4679101112[[#Headers],[15_1]],"")))/4)*$D296</f>
        <v>0</v>
      </c>
      <c r="K296" s="51">
        <f>((LEN($C296)-LEN(SUBSTITUTE($C296,Table4679101112[[#Headers],[16_0]],"")))/4)*$D296</f>
        <v>9.0211539485660476E-4</v>
      </c>
      <c r="L296" s="51">
        <f>((LEN($C296)-LEN(SUBSTITUTE($C296,Table4679101112[[#Headers],[16_1]],"")))/4)*$D296</f>
        <v>0</v>
      </c>
      <c r="M296" s="51">
        <f>((LEN($C296)-LEN(SUBSTITUTE($C296,Table4679101112[[#Headers],[16_2]],"")))/4)*$D296</f>
        <v>0</v>
      </c>
      <c r="N296" s="51">
        <f>((LEN($C296)-LEN(SUBSTITUTE($C296,Table4679101112[[#Headers],[16_3]],"")))/4)*$D296</f>
        <v>0</v>
      </c>
      <c r="O296" s="51">
        <f>((LEN($C296)-LEN(SUBSTITUTE($C296,Table4679101112[[#Headers],[17_0]],"")))/4)*$D296</f>
        <v>0</v>
      </c>
      <c r="P296" s="51">
        <f>((LEN($C296)-LEN(SUBSTITUTE($C296,Table4679101112[[#Headers],[17_1]],"")))/4)*$D296</f>
        <v>0</v>
      </c>
      <c r="Q296" s="51">
        <f>((LEN($C296)-LEN(SUBSTITUTE($C296,Table4679101112[[#Headers],[18_0]],"")))/4)*$D296</f>
        <v>0</v>
      </c>
      <c r="R296" s="51">
        <f>((LEN($C296)-LEN(SUBSTITUTE($C296,Table4679101112[[#Headers],[18_1]],"")))/4)*$D296</f>
        <v>0</v>
      </c>
      <c r="S296" s="51">
        <f>((LEN($C296)-LEN(SUBSTITUTE($C296,Table4679101112[[#Headers],[18_2]],"")))/4)*$D296</f>
        <v>0</v>
      </c>
      <c r="T296" s="51">
        <f>((LEN($C296)-LEN(SUBSTITUTE($C296,Table4679101112[[#Headers],[18_3]],"")))/4)*$D296</f>
        <v>0</v>
      </c>
      <c r="U296" s="51">
        <f>((LEN($C296)-LEN(SUBSTITUTE($C296,Table4679101112[[#Headers],[18_4]],"")))/4)*$D296</f>
        <v>0</v>
      </c>
      <c r="V296" s="51">
        <f>((LEN($C296)-LEN(SUBSTITUTE($C296,Table4679101112[[#Headers],[18_5]],"")))/4)*$D296</f>
        <v>0</v>
      </c>
      <c r="W296" s="51">
        <f>((LEN($C296)-LEN(SUBSTITUTE($C296,Table4679101112[[#Headers],[19_1]],"")))/4)*$D296</f>
        <v>0</v>
      </c>
      <c r="X296" s="51">
        <f>((LEN($C296)-LEN(SUBSTITUTE($C296,Table4679101112[[#Headers],[20_0]],"")))/4)*$D296</f>
        <v>0</v>
      </c>
      <c r="Y296" s="51">
        <f>((LEN($C296)-LEN(SUBSTITUTE($C296,Table4679101112[[#Headers],[20_1]],"")))/4)*$D296</f>
        <v>0</v>
      </c>
      <c r="Z296" s="51">
        <f>((LEN($C296)-LEN(SUBSTITUTE($C296,Table4679101112[[#Headers],[20_2]],"")))/4)*$D296</f>
        <v>0</v>
      </c>
      <c r="AA296" s="51">
        <f>((LEN($C296)-LEN(SUBSTITUTE($C296,Table4679101112[[#Headers],[20_3]],"")))/4)*$D296</f>
        <v>0</v>
      </c>
      <c r="AB296" s="51">
        <f>((LEN($C296)-LEN(SUBSTITUTE($C296,Table4679101112[[#Headers],[20_4]],"")))/4)*$D296</f>
        <v>0</v>
      </c>
      <c r="AC296" s="51">
        <f>((LEN($C296)-LEN(SUBSTITUTE($C296,Table4679101112[[#Headers],[20_5]],"")))/4)*$D296</f>
        <v>0</v>
      </c>
      <c r="AD296" s="51">
        <f>((LEN($C296)-LEN(SUBSTITUTE($C296,Table4679101112[[#Headers],[22_0]],"")))/4)*$D296</f>
        <v>0</v>
      </c>
      <c r="AE296" s="51">
        <f>((LEN($C296)-LEN(SUBSTITUTE($C296,Table4679101112[[#Headers],[22_5]],"")))/4)*$D296</f>
        <v>0</v>
      </c>
      <c r="AF296" s="51">
        <f>((LEN($C296)-LEN(SUBSTITUTE($C296,Table4679101112[[#Headers],[22_6]],"")))/4)*$D296</f>
        <v>9.0211539485660476E-4</v>
      </c>
      <c r="AG296" s="51">
        <f t="shared" si="74"/>
        <v>9.0211539485660476E-4</v>
      </c>
      <c r="AH296" s="51">
        <f t="shared" ref="AH296:AH301" si="76">D296-AG296</f>
        <v>0</v>
      </c>
      <c r="AI296" s="51">
        <f>Table4679101112[[#This Row],[Column29]]/$D$302*0.5</f>
        <v>1.7560363575531143E-2</v>
      </c>
      <c r="AJ296" s="51">
        <f>Table4679101112[[#This Row],[Column29]]/$D$302*1.5</f>
        <v>5.2681090726593424E-2</v>
      </c>
    </row>
    <row r="297" spans="3:36">
      <c r="C297" s="51" t="s">
        <v>573</v>
      </c>
      <c r="D297" s="51">
        <v>2.2579383132513287E-3</v>
      </c>
      <c r="E297" s="51">
        <f>((LEN($C297)-LEN(SUBSTITUTE($C297,Table4679101112[[#Headers],[12_0]],"")))/4)*$D297</f>
        <v>0</v>
      </c>
      <c r="F297" s="51">
        <f>((LEN($C297)-LEN(SUBSTITUTE($C297,Table4679101112[[#Headers],[13_0]],"")))/4)*$D297</f>
        <v>0</v>
      </c>
      <c r="G297" s="51">
        <f>((LEN($C297)-LEN(SUBSTITUTE($C297,Table4679101112[[#Headers],[14_0]],"")))/4)*$D297</f>
        <v>0</v>
      </c>
      <c r="H297" s="51">
        <f>((LEN($C297)-LEN(SUBSTITUTE($C297,Table4679101112[[#Headers],[14_1]],"")))/4)*$D297</f>
        <v>0</v>
      </c>
      <c r="I297" s="51">
        <f>((LEN($C297)-LEN(SUBSTITUTE($C297,Table4679101112[[#Headers],[15_0]],"")))/4)*$D297</f>
        <v>0</v>
      </c>
      <c r="J297" s="51">
        <f>((LEN($C297)-LEN(SUBSTITUTE($C297,Table4679101112[[#Headers],[15_1]],"")))/4)*$D297</f>
        <v>0</v>
      </c>
      <c r="K297" s="51">
        <f>((LEN($C297)-LEN(SUBSTITUTE($C297,Table4679101112[[#Headers],[16_0]],"")))/4)*$D297</f>
        <v>0</v>
      </c>
      <c r="L297" s="51">
        <f>((LEN($C297)-LEN(SUBSTITUTE($C297,Table4679101112[[#Headers],[16_1]],"")))/4)*$D297</f>
        <v>2.2579383132513287E-3</v>
      </c>
      <c r="M297" s="51">
        <f>((LEN($C297)-LEN(SUBSTITUTE($C297,Table4679101112[[#Headers],[16_2]],"")))/4)*$D297</f>
        <v>0</v>
      </c>
      <c r="N297" s="51">
        <f>((LEN($C297)-LEN(SUBSTITUTE($C297,Table4679101112[[#Headers],[16_3]],"")))/4)*$D297</f>
        <v>0</v>
      </c>
      <c r="O297" s="51">
        <f>((LEN($C297)-LEN(SUBSTITUTE($C297,Table4679101112[[#Headers],[17_0]],"")))/4)*$D297</f>
        <v>0</v>
      </c>
      <c r="P297" s="51">
        <f>((LEN($C297)-LEN(SUBSTITUTE($C297,Table4679101112[[#Headers],[17_1]],"")))/4)*$D297</f>
        <v>0</v>
      </c>
      <c r="Q297" s="51">
        <f>((LEN($C297)-LEN(SUBSTITUTE($C297,Table4679101112[[#Headers],[18_0]],"")))/4)*$D297</f>
        <v>0</v>
      </c>
      <c r="R297" s="51">
        <f>((LEN($C297)-LEN(SUBSTITUTE($C297,Table4679101112[[#Headers],[18_1]],"")))/4)*$D297</f>
        <v>0</v>
      </c>
      <c r="S297" s="51">
        <f>((LEN($C297)-LEN(SUBSTITUTE($C297,Table4679101112[[#Headers],[18_2]],"")))/4)*$D297</f>
        <v>0</v>
      </c>
      <c r="T297" s="51">
        <f>((LEN($C297)-LEN(SUBSTITUTE($C297,Table4679101112[[#Headers],[18_3]],"")))/4)*$D297</f>
        <v>0</v>
      </c>
      <c r="U297" s="51">
        <f>((LEN($C297)-LEN(SUBSTITUTE($C297,Table4679101112[[#Headers],[18_4]],"")))/4)*$D297</f>
        <v>0</v>
      </c>
      <c r="V297" s="51">
        <f>((LEN($C297)-LEN(SUBSTITUTE($C297,Table4679101112[[#Headers],[18_5]],"")))/4)*$D297</f>
        <v>0</v>
      </c>
      <c r="W297" s="51">
        <f>((LEN($C297)-LEN(SUBSTITUTE($C297,Table4679101112[[#Headers],[19_1]],"")))/4)*$D297</f>
        <v>0</v>
      </c>
      <c r="X297" s="51">
        <f>((LEN($C297)-LEN(SUBSTITUTE($C297,Table4679101112[[#Headers],[20_0]],"")))/4)*$D297</f>
        <v>0</v>
      </c>
      <c r="Y297" s="51">
        <f>((LEN($C297)-LEN(SUBSTITUTE($C297,Table4679101112[[#Headers],[20_1]],"")))/4)*$D297</f>
        <v>0</v>
      </c>
      <c r="Z297" s="51">
        <f>((LEN($C297)-LEN(SUBSTITUTE($C297,Table4679101112[[#Headers],[20_2]],"")))/4)*$D297</f>
        <v>0</v>
      </c>
      <c r="AA297" s="51">
        <f>((LEN($C297)-LEN(SUBSTITUTE($C297,Table4679101112[[#Headers],[20_3]],"")))/4)*$D297</f>
        <v>0</v>
      </c>
      <c r="AB297" s="51">
        <f>((LEN($C297)-LEN(SUBSTITUTE($C297,Table4679101112[[#Headers],[20_4]],"")))/4)*$D297</f>
        <v>0</v>
      </c>
      <c r="AC297" s="51">
        <f>((LEN($C297)-LEN(SUBSTITUTE($C297,Table4679101112[[#Headers],[20_5]],"")))/4)*$D297</f>
        <v>0</v>
      </c>
      <c r="AD297" s="51">
        <f>((LEN($C297)-LEN(SUBSTITUTE($C297,Table4679101112[[#Headers],[22_0]],"")))/4)*$D297</f>
        <v>0</v>
      </c>
      <c r="AE297" s="51">
        <f>((LEN($C297)-LEN(SUBSTITUTE($C297,Table4679101112[[#Headers],[22_5]],"")))/4)*$D297</f>
        <v>0</v>
      </c>
      <c r="AF297" s="51">
        <f>((LEN($C297)-LEN(SUBSTITUTE($C297,Table4679101112[[#Headers],[22_6]],"")))/4)*$D297</f>
        <v>2.2579383132513287E-3</v>
      </c>
      <c r="AG297" s="51">
        <f t="shared" si="74"/>
        <v>2.2579383132513287E-3</v>
      </c>
      <c r="AH297" s="51">
        <f t="shared" si="76"/>
        <v>0</v>
      </c>
      <c r="AI297" s="51">
        <f>Table4679101112[[#This Row],[Column29]]/$D$302*0.5</f>
        <v>4.3952489823230911E-2</v>
      </c>
      <c r="AJ297" s="51">
        <f>Table4679101112[[#This Row],[Column29]]/$D$302*1.5</f>
        <v>0.13185746946969273</v>
      </c>
    </row>
    <row r="298" spans="3:36">
      <c r="C298" s="51" t="s">
        <v>574</v>
      </c>
      <c r="D298" s="44">
        <v>1.0593575085515623E-4</v>
      </c>
      <c r="E298" s="51">
        <f>((LEN($C298)-LEN(SUBSTITUTE($C298,Table4679101112[[#Headers],[12_0]],"")))/4)*$D298</f>
        <v>0</v>
      </c>
      <c r="F298" s="51">
        <f>((LEN($C298)-LEN(SUBSTITUTE($C298,Table4679101112[[#Headers],[13_0]],"")))/4)*$D298</f>
        <v>0</v>
      </c>
      <c r="G298" s="51">
        <f>((LEN($C298)-LEN(SUBSTITUTE($C298,Table4679101112[[#Headers],[14_0]],"")))/4)*$D298</f>
        <v>0</v>
      </c>
      <c r="H298" s="51">
        <f>((LEN($C298)-LEN(SUBSTITUTE($C298,Table4679101112[[#Headers],[14_1]],"")))/4)*$D298</f>
        <v>0</v>
      </c>
      <c r="I298" s="51">
        <f>((LEN($C298)-LEN(SUBSTITUTE($C298,Table4679101112[[#Headers],[15_0]],"")))/4)*$D298</f>
        <v>0</v>
      </c>
      <c r="J298" s="51">
        <f>((LEN($C298)-LEN(SUBSTITUTE($C298,Table4679101112[[#Headers],[15_1]],"")))/4)*$D298</f>
        <v>0</v>
      </c>
      <c r="K298" s="51">
        <f>((LEN($C298)-LEN(SUBSTITUTE($C298,Table4679101112[[#Headers],[16_0]],"")))/4)*$D298</f>
        <v>0</v>
      </c>
      <c r="L298" s="51">
        <f>((LEN($C298)-LEN(SUBSTITUTE($C298,Table4679101112[[#Headers],[16_1]],"")))/4)*$D298</f>
        <v>0</v>
      </c>
      <c r="M298" s="51">
        <f>((LEN($C298)-LEN(SUBSTITUTE($C298,Table4679101112[[#Headers],[16_2]],"")))/4)*$D298</f>
        <v>0</v>
      </c>
      <c r="N298" s="51">
        <f>((LEN($C298)-LEN(SUBSTITUTE($C298,Table4679101112[[#Headers],[16_3]],"")))/4)*$D298</f>
        <v>0</v>
      </c>
      <c r="O298" s="51">
        <f>((LEN($C298)-LEN(SUBSTITUTE($C298,Table4679101112[[#Headers],[17_0]],"")))/4)*$D298</f>
        <v>0</v>
      </c>
      <c r="P298" s="51">
        <f>((LEN($C298)-LEN(SUBSTITUTE($C298,Table4679101112[[#Headers],[17_1]],"")))/4)*$D298</f>
        <v>0</v>
      </c>
      <c r="Q298" s="51">
        <f>((LEN($C298)-LEN(SUBSTITUTE($C298,Table4679101112[[#Headers],[18_0]],"")))/4)*$D298</f>
        <v>0</v>
      </c>
      <c r="R298" s="51">
        <f>((LEN($C298)-LEN(SUBSTITUTE($C298,Table4679101112[[#Headers],[18_1]],"")))/4)*$D298</f>
        <v>0</v>
      </c>
      <c r="S298" s="51">
        <f>((LEN($C298)-LEN(SUBSTITUTE($C298,Table4679101112[[#Headers],[18_2]],"")))/4)*$D298</f>
        <v>0</v>
      </c>
      <c r="T298" s="51">
        <f>((LEN($C298)-LEN(SUBSTITUTE($C298,Table4679101112[[#Headers],[18_3]],"")))/4)*$D298</f>
        <v>0</v>
      </c>
      <c r="U298" s="51">
        <f>((LEN($C298)-LEN(SUBSTITUTE($C298,Table4679101112[[#Headers],[18_4]],"")))/4)*$D298</f>
        <v>0</v>
      </c>
      <c r="V298" s="51">
        <f>((LEN($C298)-LEN(SUBSTITUTE($C298,Table4679101112[[#Headers],[18_5]],"")))/4)*$D298</f>
        <v>0</v>
      </c>
      <c r="W298" s="51">
        <f>((LEN($C298)-LEN(SUBSTITUTE($C298,Table4679101112[[#Headers],[19_1]],"")))/4)*$D298</f>
        <v>0</v>
      </c>
      <c r="X298" s="51">
        <f>((LEN($C298)-LEN(SUBSTITUTE($C298,Table4679101112[[#Headers],[20_0]],"")))/4)*$D298</f>
        <v>0</v>
      </c>
      <c r="Y298" s="51">
        <f>((LEN($C298)-LEN(SUBSTITUTE($C298,Table4679101112[[#Headers],[20_1]],"")))/4)*$D298</f>
        <v>0</v>
      </c>
      <c r="Z298" s="51">
        <f>((LEN($C298)-LEN(SUBSTITUTE($C298,Table4679101112[[#Headers],[20_2]],"")))/4)*$D298</f>
        <v>0</v>
      </c>
      <c r="AA298" s="51">
        <f>((LEN($C298)-LEN(SUBSTITUTE($C298,Table4679101112[[#Headers],[20_3]],"")))/4)*$D298</f>
        <v>0</v>
      </c>
      <c r="AB298" s="51">
        <f>((LEN($C298)-LEN(SUBSTITUTE($C298,Table4679101112[[#Headers],[20_4]],"")))/4)*$D298</f>
        <v>0</v>
      </c>
      <c r="AC298" s="51">
        <f>((LEN($C298)-LEN(SUBSTITUTE($C298,Table4679101112[[#Headers],[20_5]],"")))/4)*$D298</f>
        <v>1.0593575085515623E-4</v>
      </c>
      <c r="AD298" s="51">
        <f>((LEN($C298)-LEN(SUBSTITUTE($C298,Table4679101112[[#Headers],[22_0]],"")))/4)*$D298</f>
        <v>0</v>
      </c>
      <c r="AE298" s="51">
        <f>((LEN($C298)-LEN(SUBSTITUTE($C298,Table4679101112[[#Headers],[22_5]],"")))/4)*$D298</f>
        <v>0</v>
      </c>
      <c r="AF298" s="51">
        <f>((LEN($C298)-LEN(SUBSTITUTE($C298,Table4679101112[[#Headers],[22_6]],"")))/4)*$D298</f>
        <v>1.0593575085515623E-4</v>
      </c>
      <c r="AG298" s="51">
        <f t="shared" si="74"/>
        <v>1.0593575085515623E-4</v>
      </c>
      <c r="AH298" s="51">
        <f t="shared" si="76"/>
        <v>0</v>
      </c>
      <c r="AI298" s="51">
        <f>Table4679101112[[#This Row],[Column29]]/$D$302*0.5</f>
        <v>2.0621201137567616E-3</v>
      </c>
      <c r="AJ298" s="51">
        <f>Table4679101112[[#This Row],[Column29]]/$D$302*1.5</f>
        <v>6.1863603412702847E-3</v>
      </c>
    </row>
    <row r="299" spans="3:36">
      <c r="C299" s="51" t="s">
        <v>575</v>
      </c>
      <c r="D299" s="51">
        <v>7.0556991443009674E-5</v>
      </c>
      <c r="E299" s="51">
        <f>((LEN($C299)-LEN(SUBSTITUTE($C299,Table4679101112[[#Headers],[12_0]],"")))/4)*$D299</f>
        <v>0</v>
      </c>
      <c r="F299" s="51">
        <f>((LEN($C299)-LEN(SUBSTITUTE($C299,Table4679101112[[#Headers],[13_0]],"")))/4)*$D299</f>
        <v>0</v>
      </c>
      <c r="G299" s="51">
        <f>((LEN($C299)-LEN(SUBSTITUTE($C299,Table4679101112[[#Headers],[14_0]],"")))/4)*$D299</f>
        <v>0</v>
      </c>
      <c r="H299" s="51">
        <f>((LEN($C299)-LEN(SUBSTITUTE($C299,Table4679101112[[#Headers],[14_1]],"")))/4)*$D299</f>
        <v>0</v>
      </c>
      <c r="I299" s="51">
        <f>((LEN($C299)-LEN(SUBSTITUTE($C299,Table4679101112[[#Headers],[15_0]],"")))/4)*$D299</f>
        <v>0</v>
      </c>
      <c r="J299" s="51">
        <f>((LEN($C299)-LEN(SUBSTITUTE($C299,Table4679101112[[#Headers],[15_1]],"")))/4)*$D299</f>
        <v>0</v>
      </c>
      <c r="K299" s="51">
        <f>((LEN($C299)-LEN(SUBSTITUTE($C299,Table4679101112[[#Headers],[16_0]],"")))/4)*$D299</f>
        <v>0</v>
      </c>
      <c r="L299" s="51">
        <f>((LEN($C299)-LEN(SUBSTITUTE($C299,Table4679101112[[#Headers],[16_1]],"")))/4)*$D299</f>
        <v>0</v>
      </c>
      <c r="M299" s="51">
        <f>((LEN($C299)-LEN(SUBSTITUTE($C299,Table4679101112[[#Headers],[16_2]],"")))/4)*$D299</f>
        <v>0</v>
      </c>
      <c r="N299" s="51">
        <f>((LEN($C299)-LEN(SUBSTITUTE($C299,Table4679101112[[#Headers],[16_3]],"")))/4)*$D299</f>
        <v>0</v>
      </c>
      <c r="O299" s="51">
        <f>((LEN($C299)-LEN(SUBSTITUTE($C299,Table4679101112[[#Headers],[17_0]],"")))/4)*$D299</f>
        <v>0</v>
      </c>
      <c r="P299" s="51">
        <f>((LEN($C299)-LEN(SUBSTITUTE($C299,Table4679101112[[#Headers],[17_1]],"")))/4)*$D299</f>
        <v>0</v>
      </c>
      <c r="Q299" s="51">
        <f>((LEN($C299)-LEN(SUBSTITUTE($C299,Table4679101112[[#Headers],[18_0]],"")))/4)*$D299</f>
        <v>0</v>
      </c>
      <c r="R299" s="51">
        <f>((LEN($C299)-LEN(SUBSTITUTE($C299,Table4679101112[[#Headers],[18_1]],"")))/4)*$D299</f>
        <v>0</v>
      </c>
      <c r="S299" s="51">
        <f>((LEN($C299)-LEN(SUBSTITUTE($C299,Table4679101112[[#Headers],[18_2]],"")))/4)*$D299</f>
        <v>0</v>
      </c>
      <c r="T299" s="51">
        <f>((LEN($C299)-LEN(SUBSTITUTE($C299,Table4679101112[[#Headers],[18_3]],"")))/4)*$D299</f>
        <v>0</v>
      </c>
      <c r="U299" s="51">
        <f>((LEN($C299)-LEN(SUBSTITUTE($C299,Table4679101112[[#Headers],[18_4]],"")))/4)*$D299</f>
        <v>0</v>
      </c>
      <c r="V299" s="51">
        <f>((LEN($C299)-LEN(SUBSTITUTE($C299,Table4679101112[[#Headers],[18_5]],"")))/4)*$D299</f>
        <v>0</v>
      </c>
      <c r="W299" s="51">
        <f>((LEN($C299)-LEN(SUBSTITUTE($C299,Table4679101112[[#Headers],[19_1]],"")))/4)*$D299</f>
        <v>0</v>
      </c>
      <c r="X299" s="51">
        <f>((LEN($C299)-LEN(SUBSTITUTE($C299,Table4679101112[[#Headers],[20_0]],"")))/4)*$D299</f>
        <v>0</v>
      </c>
      <c r="Y299" s="51">
        <f>((LEN($C299)-LEN(SUBSTITUTE($C299,Table4679101112[[#Headers],[20_1]],"")))/4)*$D299</f>
        <v>0</v>
      </c>
      <c r="Z299" s="51">
        <f>((LEN($C299)-LEN(SUBSTITUTE($C299,Table4679101112[[#Headers],[20_2]],"")))/4)*$D299</f>
        <v>0</v>
      </c>
      <c r="AA299" s="51">
        <f>((LEN($C299)-LEN(SUBSTITUTE($C299,Table4679101112[[#Headers],[20_3]],"")))/4)*$D299</f>
        <v>0</v>
      </c>
      <c r="AB299" s="51">
        <f>((LEN($C299)-LEN(SUBSTITUTE($C299,Table4679101112[[#Headers],[20_4]],"")))/4)*$D299</f>
        <v>0</v>
      </c>
      <c r="AC299" s="51">
        <f>((LEN($C299)-LEN(SUBSTITUTE($C299,Table4679101112[[#Headers],[20_5]],"")))/4)*$D299</f>
        <v>0</v>
      </c>
      <c r="AD299" s="51">
        <f>((LEN($C299)-LEN(SUBSTITUTE($C299,Table4679101112[[#Headers],[22_0]],"")))/4)*$D299</f>
        <v>0</v>
      </c>
      <c r="AE299" s="51">
        <f>((LEN($C299)-LEN(SUBSTITUTE($C299,Table4679101112[[#Headers],[22_5]],"")))/4)*$D299</f>
        <v>7.0556991443009674E-5</v>
      </c>
      <c r="AF299" s="51">
        <f>((LEN($C299)-LEN(SUBSTITUTE($C299,Table4679101112[[#Headers],[22_6]],"")))/4)*$D299</f>
        <v>7.0556991443009674E-5</v>
      </c>
      <c r="AG299" s="51">
        <f t="shared" si="74"/>
        <v>7.0556991443009674E-5</v>
      </c>
      <c r="AH299" s="51">
        <f t="shared" si="76"/>
        <v>0</v>
      </c>
      <c r="AI299" s="51">
        <f>Table4679101112[[#This Row],[Column29]]/$D$302*0.5</f>
        <v>1.3734456030781242E-3</v>
      </c>
      <c r="AJ299" s="51">
        <f>Table4679101112[[#This Row],[Column29]]/$D$302*1.5</f>
        <v>4.1203368092343727E-3</v>
      </c>
    </row>
    <row r="300" spans="3:36">
      <c r="C300" s="51" t="s">
        <v>576</v>
      </c>
      <c r="D300" s="51">
        <v>1.4971374286620266E-3</v>
      </c>
      <c r="E300" s="51">
        <f>((LEN($C300)-LEN(SUBSTITUTE($C300,Table4679101112[[#Headers],[12_0]],"")))/4)*$D300</f>
        <v>0</v>
      </c>
      <c r="F300" s="51">
        <f>((LEN($C300)-LEN(SUBSTITUTE($C300,Table4679101112[[#Headers],[13_0]],"")))/4)*$D300</f>
        <v>0</v>
      </c>
      <c r="G300" s="51">
        <f>((LEN($C300)-LEN(SUBSTITUTE($C300,Table4679101112[[#Headers],[14_0]],"")))/4)*$D300</f>
        <v>0</v>
      </c>
      <c r="H300" s="51">
        <f>((LEN($C300)-LEN(SUBSTITUTE($C300,Table4679101112[[#Headers],[14_1]],"")))/4)*$D300</f>
        <v>0</v>
      </c>
      <c r="I300" s="51">
        <f>((LEN($C300)-LEN(SUBSTITUTE($C300,Table4679101112[[#Headers],[15_0]],"")))/4)*$D300</f>
        <v>0</v>
      </c>
      <c r="J300" s="51">
        <f>((LEN($C300)-LEN(SUBSTITUTE($C300,Table4679101112[[#Headers],[15_1]],"")))/4)*$D300</f>
        <v>0</v>
      </c>
      <c r="K300" s="51">
        <f>((LEN($C300)-LEN(SUBSTITUTE($C300,Table4679101112[[#Headers],[16_0]],"")))/4)*$D300</f>
        <v>0</v>
      </c>
      <c r="L300" s="51">
        <f>((LEN($C300)-LEN(SUBSTITUTE($C300,Table4679101112[[#Headers],[16_1]],"")))/4)*$D300</f>
        <v>0</v>
      </c>
      <c r="M300" s="51">
        <f>((LEN($C300)-LEN(SUBSTITUTE($C300,Table4679101112[[#Headers],[16_2]],"")))/4)*$D300</f>
        <v>0</v>
      </c>
      <c r="N300" s="51">
        <f>((LEN($C300)-LEN(SUBSTITUTE($C300,Table4679101112[[#Headers],[16_3]],"")))/4)*$D300</f>
        <v>0</v>
      </c>
      <c r="O300" s="51">
        <f>((LEN($C300)-LEN(SUBSTITUTE($C300,Table4679101112[[#Headers],[17_0]],"")))/4)*$D300</f>
        <v>0</v>
      </c>
      <c r="P300" s="51">
        <f>((LEN($C300)-LEN(SUBSTITUTE($C300,Table4679101112[[#Headers],[17_1]],"")))/4)*$D300</f>
        <v>0</v>
      </c>
      <c r="Q300" s="51">
        <f>((LEN($C300)-LEN(SUBSTITUTE($C300,Table4679101112[[#Headers],[18_0]],"")))/4)*$D300</f>
        <v>0</v>
      </c>
      <c r="R300" s="51">
        <f>((LEN($C300)-LEN(SUBSTITUTE($C300,Table4679101112[[#Headers],[18_1]],"")))/4)*$D300</f>
        <v>0</v>
      </c>
      <c r="S300" s="51">
        <f>((LEN($C300)-LEN(SUBSTITUTE($C300,Table4679101112[[#Headers],[18_2]],"")))/4)*$D300</f>
        <v>0</v>
      </c>
      <c r="T300" s="51">
        <f>((LEN($C300)-LEN(SUBSTITUTE($C300,Table4679101112[[#Headers],[18_3]],"")))/4)*$D300</f>
        <v>0</v>
      </c>
      <c r="U300" s="51">
        <f>((LEN($C300)-LEN(SUBSTITUTE($C300,Table4679101112[[#Headers],[18_4]],"")))/4)*$D300</f>
        <v>0</v>
      </c>
      <c r="V300" s="51">
        <f>((LEN($C300)-LEN(SUBSTITUTE($C300,Table4679101112[[#Headers],[18_5]],"")))/4)*$D300</f>
        <v>0</v>
      </c>
      <c r="W300" s="51">
        <f>((LEN($C300)-LEN(SUBSTITUTE($C300,Table4679101112[[#Headers],[19_1]],"")))/4)*$D300</f>
        <v>0</v>
      </c>
      <c r="X300" s="51">
        <f>((LEN($C300)-LEN(SUBSTITUTE($C300,Table4679101112[[#Headers],[20_0]],"")))/4)*$D300</f>
        <v>0</v>
      </c>
      <c r="Y300" s="51">
        <f>((LEN($C300)-LEN(SUBSTITUTE($C300,Table4679101112[[#Headers],[20_1]],"")))/4)*$D300</f>
        <v>0</v>
      </c>
      <c r="Z300" s="51">
        <f>((LEN($C300)-LEN(SUBSTITUTE($C300,Table4679101112[[#Headers],[20_2]],"")))/4)*$D300</f>
        <v>0</v>
      </c>
      <c r="AA300" s="51">
        <f>((LEN($C300)-LEN(SUBSTITUTE($C300,Table4679101112[[#Headers],[20_3]],"")))/4)*$D300</f>
        <v>0</v>
      </c>
      <c r="AB300" s="51">
        <f>((LEN($C300)-LEN(SUBSTITUTE($C300,Table4679101112[[#Headers],[20_4]],"")))/4)*$D300</f>
        <v>0</v>
      </c>
      <c r="AC300" s="51">
        <f>((LEN($C300)-LEN(SUBSTITUTE($C300,Table4679101112[[#Headers],[20_5]],"")))/4)*$D300</f>
        <v>0</v>
      </c>
      <c r="AD300" s="51">
        <f>((LEN($C300)-LEN(SUBSTITUTE($C300,Table4679101112[[#Headers],[22_0]],"")))/4)*$D300</f>
        <v>0</v>
      </c>
      <c r="AE300" s="51">
        <f>((LEN($C300)-LEN(SUBSTITUTE($C300,Table4679101112[[#Headers],[22_5]],"")))/4)*$D300</f>
        <v>0</v>
      </c>
      <c r="AF300" s="51">
        <f>((LEN($C300)-LEN(SUBSTITUTE($C300,Table4679101112[[#Headers],[22_6]],"")))/4)*$D300</f>
        <v>2.9942748573240532E-3</v>
      </c>
      <c r="AG300" s="51">
        <f t="shared" si="74"/>
        <v>1.4971374286620266E-3</v>
      </c>
      <c r="AH300" s="51">
        <f t="shared" si="76"/>
        <v>0</v>
      </c>
      <c r="AI300" s="51">
        <f>Table4679101112[[#This Row],[Column29]]/$D$302*0.5</f>
        <v>2.9142920872135169E-2</v>
      </c>
      <c r="AJ300" s="51">
        <f>Table4679101112[[#This Row],[Column29]]/$D$302*1.5</f>
        <v>8.7428762616405503E-2</v>
      </c>
    </row>
    <row r="301" spans="3:36">
      <c r="C301" s="51" t="s">
        <v>577</v>
      </c>
      <c r="D301" s="51">
        <v>1.2478532469579787E-4</v>
      </c>
      <c r="E301" s="51">
        <f>((LEN($C301)-LEN(SUBSTITUTE($C301,Table4679101112[[#Headers],[12_0]],"")))/4)*$D301</f>
        <v>0</v>
      </c>
      <c r="F301" s="51">
        <f>((LEN($C301)-LEN(SUBSTITUTE($C301,Table4679101112[[#Headers],[13_0]],"")))/4)*$D301</f>
        <v>0</v>
      </c>
      <c r="G301" s="51">
        <f>((LEN($C301)-LEN(SUBSTITUTE($C301,Table4679101112[[#Headers],[14_0]],"")))/4)*$D301</f>
        <v>0</v>
      </c>
      <c r="H301" s="51">
        <f>((LEN($C301)-LEN(SUBSTITUTE($C301,Table4679101112[[#Headers],[14_1]],"")))/4)*$D301</f>
        <v>0</v>
      </c>
      <c r="I301" s="51">
        <f>((LEN($C301)-LEN(SUBSTITUTE($C301,Table4679101112[[#Headers],[15_0]],"")))/4)*$D301</f>
        <v>0</v>
      </c>
      <c r="J301" s="51">
        <f>((LEN($C301)-LEN(SUBSTITUTE($C301,Table4679101112[[#Headers],[15_1]],"")))/4)*$D301</f>
        <v>0</v>
      </c>
      <c r="K301" s="51">
        <f>((LEN($C301)-LEN(SUBSTITUTE($C301,Table4679101112[[#Headers],[16_0]],"")))/4)*$D301</f>
        <v>1.2478532469579787E-4</v>
      </c>
      <c r="L301" s="51">
        <f>((LEN($C301)-LEN(SUBSTITUTE($C301,Table4679101112[[#Headers],[16_1]],"")))/4)*$D301</f>
        <v>0</v>
      </c>
      <c r="M301" s="51">
        <f>((LEN($C301)-LEN(SUBSTITUTE($C301,Table4679101112[[#Headers],[16_2]],"")))/4)*$D301</f>
        <v>0</v>
      </c>
      <c r="N301" s="51">
        <f>((LEN($C301)-LEN(SUBSTITUTE($C301,Table4679101112[[#Headers],[16_3]],"")))/4)*$D301</f>
        <v>0</v>
      </c>
      <c r="O301" s="51">
        <f>((LEN($C301)-LEN(SUBSTITUTE($C301,Table4679101112[[#Headers],[17_0]],"")))/4)*$D301</f>
        <v>0</v>
      </c>
      <c r="P301" s="51">
        <f>((LEN($C301)-LEN(SUBSTITUTE($C301,Table4679101112[[#Headers],[17_1]],"")))/4)*$D301</f>
        <v>0</v>
      </c>
      <c r="Q301" s="51">
        <f>((LEN($C301)-LEN(SUBSTITUTE($C301,Table4679101112[[#Headers],[18_0]],"")))/4)*$D301</f>
        <v>0</v>
      </c>
      <c r="R301" s="51">
        <f>((LEN($C301)-LEN(SUBSTITUTE($C301,Table4679101112[[#Headers],[18_1]],"")))/4)*$D301</f>
        <v>0</v>
      </c>
      <c r="S301" s="51">
        <f>((LEN($C301)-LEN(SUBSTITUTE($C301,Table4679101112[[#Headers],[18_2]],"")))/4)*$D301</f>
        <v>0</v>
      </c>
      <c r="T301" s="51">
        <f>((LEN($C301)-LEN(SUBSTITUTE($C301,Table4679101112[[#Headers],[18_3]],"")))/4)*$D301</f>
        <v>0</v>
      </c>
      <c r="U301" s="51">
        <f>((LEN($C301)-LEN(SUBSTITUTE($C301,Table4679101112[[#Headers],[18_4]],"")))/4)*$D301</f>
        <v>0</v>
      </c>
      <c r="V301" s="51">
        <f>((LEN($C301)-LEN(SUBSTITUTE($C301,Table4679101112[[#Headers],[18_5]],"")))/4)*$D301</f>
        <v>0</v>
      </c>
      <c r="W301" s="51">
        <f>((LEN($C301)-LEN(SUBSTITUTE($C301,Table4679101112[[#Headers],[19_1]],"")))/4)*$D301</f>
        <v>0</v>
      </c>
      <c r="X301" s="51">
        <f>((LEN($C301)-LEN(SUBSTITUTE($C301,Table4679101112[[#Headers],[20_0]],"")))/4)*$D301</f>
        <v>0</v>
      </c>
      <c r="Y301" s="51">
        <f>((LEN($C301)-LEN(SUBSTITUTE($C301,Table4679101112[[#Headers],[20_1]],"")))/4)*$D301</f>
        <v>0</v>
      </c>
      <c r="Z301" s="51">
        <f>((LEN($C301)-LEN(SUBSTITUTE($C301,Table4679101112[[#Headers],[20_2]],"")))/4)*$D301</f>
        <v>0</v>
      </c>
      <c r="AA301" s="51">
        <f>((LEN($C301)-LEN(SUBSTITUTE($C301,Table4679101112[[#Headers],[20_3]],"")))/4)*$D301</f>
        <v>0</v>
      </c>
      <c r="AB301" s="51">
        <f>((LEN($C301)-LEN(SUBSTITUTE($C301,Table4679101112[[#Headers],[20_4]],"")))/4)*$D301</f>
        <v>0</v>
      </c>
      <c r="AC301" s="51">
        <f>((LEN($C301)-LEN(SUBSTITUTE($C301,Table4679101112[[#Headers],[20_5]],"")))/4)*$D301</f>
        <v>0</v>
      </c>
      <c r="AD301" s="51">
        <f>((LEN($C301)-LEN(SUBSTITUTE($C301,Table4679101112[[#Headers],[22_0]],"")))/4)*$D301</f>
        <v>0</v>
      </c>
      <c r="AE301" s="51">
        <f>((LEN($C301)-LEN(SUBSTITUTE($C301,Table4679101112[[#Headers],[22_5]],"")))/4)*$D301</f>
        <v>0</v>
      </c>
      <c r="AF301" s="51">
        <f>((LEN($C301)-LEN(SUBSTITUTE($C301,Table4679101112[[#Headers],[22_6]],"")))/4)*$D301</f>
        <v>0</v>
      </c>
      <c r="AG301" s="51">
        <f>SUM(E301:AF301)</f>
        <v>1.2478532469579787E-4</v>
      </c>
      <c r="AH301" s="51">
        <f t="shared" si="76"/>
        <v>0</v>
      </c>
      <c r="AI301" s="51">
        <f>Table4679101112[[#This Row],[Column29]]/$D$302*0.5</f>
        <v>2.4290414319968773E-3</v>
      </c>
      <c r="AJ301" s="51">
        <f>Table4679101112[[#This Row],[Column29]]/$D$302*1.5</f>
        <v>7.287124295990632E-3</v>
      </c>
    </row>
    <row r="302" spans="3:36">
      <c r="C302" s="51"/>
      <c r="D302" s="51">
        <f>SUM(D287:D301)</f>
        <v>2.5686125203968586E-2</v>
      </c>
      <c r="E302" s="51">
        <f>SUM(E287:E301)</f>
        <v>7.0127289911688055E-5</v>
      </c>
      <c r="F302" s="51">
        <f t="shared" ref="F302:AF302" si="77">SUM(F287:F301)</f>
        <v>0</v>
      </c>
      <c r="G302" s="51">
        <f t="shared" si="77"/>
        <v>3.1876806518950376E-2</v>
      </c>
      <c r="H302" s="51">
        <f t="shared" si="77"/>
        <v>0</v>
      </c>
      <c r="I302" s="51">
        <f t="shared" si="77"/>
        <v>7.3662301176027239E-4</v>
      </c>
      <c r="J302" s="51">
        <f t="shared" si="77"/>
        <v>0</v>
      </c>
      <c r="K302" s="51">
        <f t="shared" si="77"/>
        <v>7.2235119156664369E-3</v>
      </c>
      <c r="L302" s="51">
        <f t="shared" si="77"/>
        <v>4.1799359693154162E-3</v>
      </c>
      <c r="M302" s="51">
        <f t="shared" si="77"/>
        <v>0</v>
      </c>
      <c r="N302" s="51">
        <f t="shared" si="77"/>
        <v>0</v>
      </c>
      <c r="O302" s="51">
        <f t="shared" si="77"/>
        <v>0</v>
      </c>
      <c r="P302" s="51">
        <f t="shared" si="77"/>
        <v>0</v>
      </c>
      <c r="Q302" s="51">
        <f t="shared" si="77"/>
        <v>0</v>
      </c>
      <c r="R302" s="51">
        <f t="shared" si="77"/>
        <v>2.8532181679755434E-4</v>
      </c>
      <c r="S302" s="51">
        <f t="shared" si="77"/>
        <v>0</v>
      </c>
      <c r="T302" s="51">
        <f t="shared" si="77"/>
        <v>0</v>
      </c>
      <c r="U302" s="51">
        <f t="shared" si="77"/>
        <v>0</v>
      </c>
      <c r="V302" s="51">
        <f t="shared" si="77"/>
        <v>0</v>
      </c>
      <c r="W302" s="51">
        <f t="shared" si="77"/>
        <v>0</v>
      </c>
      <c r="X302" s="51">
        <f t="shared" si="77"/>
        <v>0</v>
      </c>
      <c r="Y302" s="51">
        <f t="shared" si="77"/>
        <v>0</v>
      </c>
      <c r="Z302" s="51">
        <f t="shared" si="77"/>
        <v>0</v>
      </c>
      <c r="AA302" s="51">
        <f t="shared" si="77"/>
        <v>0</v>
      </c>
      <c r="AB302" s="51">
        <f t="shared" si="77"/>
        <v>0</v>
      </c>
      <c r="AC302" s="51">
        <f t="shared" si="77"/>
        <v>2.3874217080229094E-4</v>
      </c>
      <c r="AD302" s="51">
        <f t="shared" si="77"/>
        <v>0</v>
      </c>
      <c r="AE302" s="51">
        <f t="shared" si="77"/>
        <v>7.0556991443009674E-5</v>
      </c>
      <c r="AF302" s="51">
        <f t="shared" si="77"/>
        <v>6.5658393985943229E-3</v>
      </c>
      <c r="AG302" s="51">
        <f>SUM(AG287:AG301)</f>
        <v>2.5686125203968586E-2</v>
      </c>
      <c r="AH302" s="51">
        <f>SUM(AH287:AH301)</f>
        <v>0</v>
      </c>
      <c r="AI302" s="51">
        <f>Table4679101112[[#This Row],[Column29]]/$D$302*0.5</f>
        <v>0.5</v>
      </c>
      <c r="AJ302" s="51">
        <f>Table4679101112[[#This Row],[Column29]]/$D$302*1.5</f>
        <v>1.5</v>
      </c>
    </row>
    <row r="303" spans="3:36">
      <c r="D303" s="44">
        <f>SUM(E302:AF302)</f>
        <v>5.1247465083241357E-2</v>
      </c>
      <c r="E303" s="44">
        <f>E302/$D$303*100</f>
        <v>0.1368405047894177</v>
      </c>
      <c r="F303" s="44">
        <f t="shared" ref="F303:AF303" si="78">F302/$D$303*100</f>
        <v>0</v>
      </c>
      <c r="G303" s="44">
        <f t="shared" si="78"/>
        <v>62.201723474854454</v>
      </c>
      <c r="H303" s="44">
        <f t="shared" si="78"/>
        <v>0</v>
      </c>
      <c r="I303" s="44">
        <f t="shared" si="78"/>
        <v>1.4373842892790387</v>
      </c>
      <c r="J303" s="44">
        <f t="shared" si="78"/>
        <v>0</v>
      </c>
      <c r="K303" s="44">
        <f t="shared" si="78"/>
        <v>14.095354577896238</v>
      </c>
      <c r="L303" s="44">
        <f t="shared" si="78"/>
        <v>8.1563760520172828</v>
      </c>
      <c r="M303" s="44">
        <f t="shared" si="78"/>
        <v>0</v>
      </c>
      <c r="N303" s="44">
        <f t="shared" si="78"/>
        <v>0</v>
      </c>
      <c r="O303" s="44">
        <f t="shared" si="78"/>
        <v>0</v>
      </c>
      <c r="P303" s="44">
        <f t="shared" si="78"/>
        <v>0</v>
      </c>
      <c r="Q303" s="44">
        <f t="shared" si="78"/>
        <v>0</v>
      </c>
      <c r="R303" s="44">
        <f t="shared" si="78"/>
        <v>0.55675303419223876</v>
      </c>
      <c r="S303" s="44">
        <f t="shared" si="78"/>
        <v>0</v>
      </c>
      <c r="T303" s="44">
        <f t="shared" si="78"/>
        <v>0</v>
      </c>
      <c r="U303" s="44">
        <f t="shared" si="78"/>
        <v>0</v>
      </c>
      <c r="V303" s="44">
        <f t="shared" si="78"/>
        <v>0</v>
      </c>
      <c r="W303" s="44">
        <f t="shared" si="78"/>
        <v>0</v>
      </c>
      <c r="X303" s="44">
        <f t="shared" si="78"/>
        <v>0</v>
      </c>
      <c r="Y303" s="44">
        <f t="shared" si="78"/>
        <v>0</v>
      </c>
      <c r="Z303" s="44">
        <f t="shared" si="78"/>
        <v>0</v>
      </c>
      <c r="AA303" s="44">
        <f t="shared" si="78"/>
        <v>0</v>
      </c>
      <c r="AB303" s="44">
        <f t="shared" si="78"/>
        <v>0</v>
      </c>
      <c r="AC303" s="44">
        <f t="shared" si="78"/>
        <v>0.46586142439338524</v>
      </c>
      <c r="AD303" s="44">
        <f t="shared" si="78"/>
        <v>0</v>
      </c>
      <c r="AE303" s="44">
        <f t="shared" si="78"/>
        <v>0.137678988274647</v>
      </c>
      <c r="AF303" s="44">
        <f t="shared" si="78"/>
        <v>12.812027654303323</v>
      </c>
      <c r="AI303" s="51">
        <f>Table4679101112[[#This Row],[Column29]]/$D$302*0.5</f>
        <v>0</v>
      </c>
      <c r="AJ303" s="51">
        <f>Table4679101112[[#This Row],[Column29]]/$D$302*1.5</f>
        <v>0</v>
      </c>
    </row>
    <row r="304" spans="3:36">
      <c r="C304" s="51"/>
      <c r="D304" s="51">
        <f>SUM(E303:AF303)</f>
        <v>100.00000000000001</v>
      </c>
      <c r="E304" s="51">
        <f>IF(E303 &gt; 1, E303, 0)</f>
        <v>0</v>
      </c>
      <c r="F304" s="51">
        <f t="shared" ref="F304:Q304" si="79">IF(F303 &gt; 1, F303, 0)</f>
        <v>0</v>
      </c>
      <c r="G304" s="51">
        <f t="shared" si="79"/>
        <v>62.201723474854454</v>
      </c>
      <c r="H304" s="51">
        <f t="shared" si="79"/>
        <v>0</v>
      </c>
      <c r="I304" s="51">
        <f t="shared" si="79"/>
        <v>1.4373842892790387</v>
      </c>
      <c r="J304" s="51">
        <f t="shared" si="79"/>
        <v>0</v>
      </c>
      <c r="K304" s="51">
        <f t="shared" si="79"/>
        <v>14.095354577896238</v>
      </c>
      <c r="L304" s="51">
        <f t="shared" si="79"/>
        <v>8.1563760520172828</v>
      </c>
      <c r="M304" s="51">
        <f t="shared" si="79"/>
        <v>0</v>
      </c>
      <c r="N304" s="51">
        <f t="shared" si="79"/>
        <v>0</v>
      </c>
      <c r="O304" s="51">
        <f t="shared" si="79"/>
        <v>0</v>
      </c>
      <c r="P304" s="51">
        <f t="shared" si="79"/>
        <v>0</v>
      </c>
      <c r="Q304" s="51">
        <f t="shared" si="79"/>
        <v>0</v>
      </c>
      <c r="R304" s="51">
        <f>R303</f>
        <v>0.55675303419223876</v>
      </c>
      <c r="S304" s="51">
        <f t="shared" ref="S304:AB304" si="80">IF(S303 &gt; 1, S303, 0)</f>
        <v>0</v>
      </c>
      <c r="T304" s="51">
        <f t="shared" si="80"/>
        <v>0</v>
      </c>
      <c r="U304" s="51">
        <f t="shared" si="80"/>
        <v>0</v>
      </c>
      <c r="V304" s="51">
        <f t="shared" si="80"/>
        <v>0</v>
      </c>
      <c r="W304" s="51">
        <f t="shared" si="80"/>
        <v>0</v>
      </c>
      <c r="X304" s="51">
        <f t="shared" si="80"/>
        <v>0</v>
      </c>
      <c r="Y304" s="51">
        <f t="shared" si="80"/>
        <v>0</v>
      </c>
      <c r="Z304" s="51">
        <f t="shared" si="80"/>
        <v>0</v>
      </c>
      <c r="AA304" s="51">
        <f t="shared" si="80"/>
        <v>0</v>
      </c>
      <c r="AB304" s="51">
        <f t="shared" si="80"/>
        <v>0</v>
      </c>
      <c r="AC304" s="51">
        <f>AC303</f>
        <v>0.46586142439338524</v>
      </c>
      <c r="AD304" s="51">
        <f>IF(AD303 &gt; 1, AD303, 0)</f>
        <v>0</v>
      </c>
      <c r="AE304" s="51">
        <v>0.70327624508163489</v>
      </c>
      <c r="AF304" s="51">
        <f>IF(AF303 &gt; 1, AF303, 0)</f>
        <v>12.812027654303323</v>
      </c>
      <c r="AG304" s="51"/>
      <c r="AH304" s="51"/>
      <c r="AI304" s="51">
        <f>Table4679101112[[#This Row],[Column29]]/$D$302*0.5</f>
        <v>0</v>
      </c>
      <c r="AJ304" s="51">
        <f>Table4679101112[[#This Row],[Column29]]/$D$302*1.5</f>
        <v>0</v>
      </c>
    </row>
    <row r="305" spans="3:36">
      <c r="D305" s="44">
        <f>SUM(E304:AF304)</f>
        <v>100.42875675201759</v>
      </c>
      <c r="E305" s="47">
        <f>E304/$D$305</f>
        <v>0</v>
      </c>
      <c r="F305" s="48">
        <f t="shared" ref="F305:AF305" si="81">F304/$D$305</f>
        <v>0</v>
      </c>
      <c r="G305" s="48">
        <f t="shared" si="81"/>
        <v>0.61936167972730416</v>
      </c>
      <c r="H305" s="48">
        <f t="shared" si="81"/>
        <v>0</v>
      </c>
      <c r="I305" s="48">
        <f t="shared" si="81"/>
        <v>1.4312477180498025E-2</v>
      </c>
      <c r="J305" s="48">
        <f t="shared" si="81"/>
        <v>0</v>
      </c>
      <c r="K305" s="48">
        <f t="shared" si="81"/>
        <v>0.14035177805397919</v>
      </c>
      <c r="L305" s="48">
        <f t="shared" si="81"/>
        <v>8.1215543394182493E-2</v>
      </c>
      <c r="M305" s="48">
        <f t="shared" si="81"/>
        <v>0</v>
      </c>
      <c r="N305" s="48">
        <f t="shared" si="81"/>
        <v>0</v>
      </c>
      <c r="O305" s="48">
        <f t="shared" si="81"/>
        <v>0</v>
      </c>
      <c r="P305" s="48">
        <f t="shared" si="81"/>
        <v>0</v>
      </c>
      <c r="Q305" s="48">
        <f t="shared" si="81"/>
        <v>0</v>
      </c>
      <c r="R305" s="48">
        <f t="shared" si="81"/>
        <v>5.5437610919250348E-3</v>
      </c>
      <c r="S305" s="48">
        <f t="shared" si="81"/>
        <v>0</v>
      </c>
      <c r="T305" s="48">
        <f t="shared" si="81"/>
        <v>0</v>
      </c>
      <c r="U305" s="48">
        <f t="shared" si="81"/>
        <v>0</v>
      </c>
      <c r="V305" s="48">
        <f t="shared" si="81"/>
        <v>0</v>
      </c>
      <c r="W305" s="48">
        <f t="shared" si="81"/>
        <v>0</v>
      </c>
      <c r="X305" s="48">
        <f t="shared" si="81"/>
        <v>0</v>
      </c>
      <c r="Y305" s="48">
        <f t="shared" si="81"/>
        <v>0</v>
      </c>
      <c r="Z305" s="48">
        <f t="shared" si="81"/>
        <v>0</v>
      </c>
      <c r="AA305" s="48">
        <f t="shared" si="81"/>
        <v>0</v>
      </c>
      <c r="AB305" s="48">
        <f t="shared" si="81"/>
        <v>0</v>
      </c>
      <c r="AC305" s="48">
        <f t="shared" si="81"/>
        <v>4.6387253955926938E-3</v>
      </c>
      <c r="AD305" s="48">
        <f t="shared" si="81"/>
        <v>0</v>
      </c>
      <c r="AE305" s="48">
        <f t="shared" si="81"/>
        <v>7.0027377399303134E-3</v>
      </c>
      <c r="AF305" s="48">
        <f t="shared" si="81"/>
        <v>0.12757329741658813</v>
      </c>
      <c r="AI305" s="51">
        <f>Table4679101112[[#This Row],[Column29]]/$D$302*0.5</f>
        <v>0</v>
      </c>
      <c r="AJ305" s="51">
        <f>Table4679101112[[#This Row],[Column29]]/$D$302*1.5</f>
        <v>0</v>
      </c>
    </row>
    <row r="306" spans="3:36">
      <c r="C306" s="51"/>
      <c r="D306" s="51">
        <f>SUM(E305:AF305)</f>
        <v>1</v>
      </c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>
        <f>Table4679101112[[#This Row],[Column29]]/$D$302*0.5</f>
        <v>0</v>
      </c>
      <c r="AJ306" s="51">
        <f>Table4679101112[[#This Row],[Column29]]/$D$302*1.5</f>
        <v>0</v>
      </c>
    </row>
    <row r="310" spans="3:36">
      <c r="C310" s="49" t="s">
        <v>315</v>
      </c>
      <c r="D310" s="49" t="s">
        <v>316</v>
      </c>
      <c r="E310" s="49" t="s">
        <v>317</v>
      </c>
      <c r="F310" s="49" t="s">
        <v>318</v>
      </c>
      <c r="G310" s="49" t="s">
        <v>319</v>
      </c>
      <c r="H310" s="49" t="s">
        <v>320</v>
      </c>
      <c r="I310" s="49" t="s">
        <v>321</v>
      </c>
      <c r="J310" s="49" t="s">
        <v>322</v>
      </c>
      <c r="K310" s="49" t="s">
        <v>323</v>
      </c>
      <c r="L310" s="49" t="s">
        <v>324</v>
      </c>
      <c r="M310" s="49" t="s">
        <v>325</v>
      </c>
      <c r="N310" s="49" t="s">
        <v>326</v>
      </c>
      <c r="O310" s="49" t="s">
        <v>327</v>
      </c>
      <c r="P310" s="49" t="s">
        <v>328</v>
      </c>
      <c r="Q310" s="49" t="s">
        <v>329</v>
      </c>
      <c r="R310" s="49" t="s">
        <v>330</v>
      </c>
      <c r="S310" s="49" t="s">
        <v>331</v>
      </c>
      <c r="T310" s="49" t="s">
        <v>332</v>
      </c>
      <c r="U310" s="49" t="s">
        <v>333</v>
      </c>
      <c r="V310" s="49" t="s">
        <v>334</v>
      </c>
      <c r="W310" s="49" t="s">
        <v>508</v>
      </c>
      <c r="X310" s="49" t="s">
        <v>484</v>
      </c>
      <c r="Y310" s="49" t="s">
        <v>335</v>
      </c>
      <c r="Z310" s="49" t="s">
        <v>336</v>
      </c>
      <c r="AA310" s="49" t="s">
        <v>337</v>
      </c>
      <c r="AB310" s="49" t="s">
        <v>338</v>
      </c>
      <c r="AC310" s="49" t="s">
        <v>339</v>
      </c>
      <c r="AD310" s="49" t="s">
        <v>340</v>
      </c>
      <c r="AE310" s="49" t="s">
        <v>341</v>
      </c>
      <c r="AF310" s="49" t="s">
        <v>342</v>
      </c>
      <c r="AG310" s="49" t="s">
        <v>343</v>
      </c>
      <c r="AH310" s="49" t="s">
        <v>344</v>
      </c>
      <c r="AI310" s="49" t="s">
        <v>345</v>
      </c>
      <c r="AJ310" s="49" t="s">
        <v>346</v>
      </c>
    </row>
    <row r="311" spans="3:36">
      <c r="C311" s="51" t="s">
        <v>578</v>
      </c>
      <c r="D311" s="51">
        <v>1.382493060105419E-4</v>
      </c>
      <c r="E311" s="51">
        <f>((LEN($C311)-LEN(SUBSTITUTE($C311,Table467910111213[[#Headers],[12_0]],"")))/4)*$D311</f>
        <v>0</v>
      </c>
      <c r="F311" s="51">
        <f>((LEN($C311)-LEN(SUBSTITUTE($C311,Table467910111213[[#Headers],[13_0]],"")))/4)*$D311</f>
        <v>0</v>
      </c>
      <c r="G311" s="51">
        <f>((LEN($C311)-LEN(SUBSTITUTE($C311,Table467910111213[[#Headers],[14_0]],"")))/4)*$D311</f>
        <v>1.382493060105419E-4</v>
      </c>
      <c r="H311" s="51">
        <f>((LEN($C311)-LEN(SUBSTITUTE($C311,Table467910111213[[#Headers],[14_1]],"")))/4)*$D311</f>
        <v>0</v>
      </c>
      <c r="I311" s="51">
        <f>((LEN($C311)-LEN(SUBSTITUTE($C311,Table467910111213[[#Headers],[15_0]],"")))/4)*$D311</f>
        <v>0</v>
      </c>
      <c r="J311" s="51">
        <f>((LEN($C311)-LEN(SUBSTITUTE($C311,Table467910111213[[#Headers],[15_1]],"")))/4)*$D311</f>
        <v>0</v>
      </c>
      <c r="K311" s="51">
        <f>((LEN($C311)-LEN(SUBSTITUTE($C311,Table467910111213[[#Headers],[16_0]],"")))/4)*$D311</f>
        <v>1.382493060105419E-4</v>
      </c>
      <c r="L311" s="51">
        <f>((LEN($C311)-LEN(SUBSTITUTE($C311,Table467910111213[[#Headers],[16_1]],"")))/4)*$D311</f>
        <v>0</v>
      </c>
      <c r="M311" s="51">
        <f>((LEN($C311)-LEN(SUBSTITUTE($C311,Table467910111213[[#Headers],[16_2]],"")))/4)*$D311</f>
        <v>0</v>
      </c>
      <c r="N311" s="51">
        <f>((LEN($C311)-LEN(SUBSTITUTE($C311,Table467910111213[[#Headers],[16_3]],"")))/4)*$D311</f>
        <v>0</v>
      </c>
      <c r="O311" s="51">
        <f>((LEN($C311)-LEN(SUBSTITUTE($C311,Table467910111213[[#Headers],[17_0]],"")))/4)*$D311</f>
        <v>0</v>
      </c>
      <c r="P311" s="51">
        <f>((LEN($C311)-LEN(SUBSTITUTE($C311,Table467910111213[[#Headers],[17_1]],"")))/4)*$D311</f>
        <v>0</v>
      </c>
      <c r="Q311" s="51">
        <f>((LEN($C311)-LEN(SUBSTITUTE($C311,Table467910111213[[#Headers],[18_0]],"")))/4)*$D311</f>
        <v>0</v>
      </c>
      <c r="R311" s="51">
        <f>((LEN($C311)-LEN(SUBSTITUTE($C311,Table467910111213[[#Headers],[18_1]],"")))/4)*$D311</f>
        <v>0</v>
      </c>
      <c r="S311" s="51">
        <f>((LEN($C311)-LEN(SUBSTITUTE($C311,Table467910111213[[#Headers],[18_2]],"")))/4)*$D311</f>
        <v>0</v>
      </c>
      <c r="T311" s="51">
        <f>((LEN($C311)-LEN(SUBSTITUTE($C311,Table467910111213[[#Headers],[18_3]],"")))/4)*$D311</f>
        <v>0</v>
      </c>
      <c r="U311" s="51">
        <f>((LEN($C311)-LEN(SUBSTITUTE($C311,Table467910111213[[#Headers],[18_4]],"")))/4)*$D311</f>
        <v>0</v>
      </c>
      <c r="V311" s="51">
        <f>((LEN($C311)-LEN(SUBSTITUTE($C311,Table467910111213[[#Headers],[18_5]],"")))/4)*$D311</f>
        <v>0</v>
      </c>
      <c r="W311" s="51">
        <f>((LEN($C311)-LEN(SUBSTITUTE($C311,Table467910111213[[#Headers],[19_1]],"")))/4)*$D311</f>
        <v>0</v>
      </c>
      <c r="X311" s="51">
        <f>((LEN($C311)-LEN(SUBSTITUTE($C311,Table467910111213[[#Headers],[20_0]],"")))/4)*$D311</f>
        <v>0</v>
      </c>
      <c r="Y311" s="51">
        <f>((LEN($C311)-LEN(SUBSTITUTE($C311,Table467910111213[[#Headers],[20_1]],"")))/4)*$D311</f>
        <v>0</v>
      </c>
      <c r="Z311" s="51">
        <f>((LEN($C311)-LEN(SUBSTITUTE($C311,Table467910111213[[#Headers],[20_2]],"")))/4)*$D311</f>
        <v>0</v>
      </c>
      <c r="AA311" s="51">
        <f>((LEN($C311)-LEN(SUBSTITUTE($C311,Table467910111213[[#Headers],[20_3]],"")))/4)*$D311</f>
        <v>0</v>
      </c>
      <c r="AB311" s="51">
        <f>((LEN($C311)-LEN(SUBSTITUTE($C311,Table467910111213[[#Headers],[20_4]],"")))/4)*$D311</f>
        <v>0</v>
      </c>
      <c r="AC311" s="51">
        <f>((LEN($C311)-LEN(SUBSTITUTE($C311,Table467910111213[[#Headers],[20_5]],"")))/4)*$D311</f>
        <v>0</v>
      </c>
      <c r="AD311" s="51">
        <f>((LEN($C311)-LEN(SUBSTITUTE($C311,Table467910111213[[#Headers],[22_0]],"")))/4)*$D311</f>
        <v>0</v>
      </c>
      <c r="AE311" s="51">
        <f>((LEN($C311)-LEN(SUBSTITUTE($C311,Table467910111213[[#Headers],[22_5]],"")))/4)*$D311</f>
        <v>0</v>
      </c>
      <c r="AF311" s="51">
        <f>((LEN($C311)-LEN(SUBSTITUTE($C311,Table467910111213[[#Headers],[22_6]],"")))/4)*$D311</f>
        <v>0</v>
      </c>
      <c r="AG311" s="51">
        <f t="shared" ref="AG311:AG341" si="82">SUM(E311:AF311)/2</f>
        <v>1.382493060105419E-4</v>
      </c>
      <c r="AH311" s="51">
        <f t="shared" ref="AH311:AH341" si="83">D311-AG311</f>
        <v>0</v>
      </c>
      <c r="AI311" s="51">
        <f>Table467910111213[[#This Row],[Column29]]/$D$350*0.5</f>
        <v>1.7946738423870279E-3</v>
      </c>
      <c r="AJ311" s="51">
        <f>Table467910111213[[#This Row],[Column29]]/$D$350*1.5</f>
        <v>5.3840215271610831E-3</v>
      </c>
    </row>
    <row r="312" spans="3:36">
      <c r="C312" s="51" t="s">
        <v>579</v>
      </c>
      <c r="D312" s="51">
        <v>2.2358803013101521E-4</v>
      </c>
      <c r="E312" s="51">
        <f>((LEN($C312)-LEN(SUBSTITUTE($C312,Table467910111213[[#Headers],[12_0]],"")))/4)*$D312</f>
        <v>0</v>
      </c>
      <c r="F312" s="51">
        <f>((LEN($C312)-LEN(SUBSTITUTE($C312,Table467910111213[[#Headers],[13_0]],"")))/4)*$D312</f>
        <v>0</v>
      </c>
      <c r="G312" s="51">
        <f>((LEN($C312)-LEN(SUBSTITUTE($C312,Table467910111213[[#Headers],[14_0]],"")))/4)*$D312</f>
        <v>2.2358803013101521E-4</v>
      </c>
      <c r="H312" s="51">
        <f>((LEN($C312)-LEN(SUBSTITUTE($C312,Table467910111213[[#Headers],[14_1]],"")))/4)*$D312</f>
        <v>0</v>
      </c>
      <c r="I312" s="51">
        <f>((LEN($C312)-LEN(SUBSTITUTE($C312,Table467910111213[[#Headers],[15_0]],"")))/4)*$D312</f>
        <v>0</v>
      </c>
      <c r="J312" s="51">
        <f>((LEN($C312)-LEN(SUBSTITUTE($C312,Table467910111213[[#Headers],[15_1]],"")))/4)*$D312</f>
        <v>0</v>
      </c>
      <c r="K312" s="51">
        <f>((LEN($C312)-LEN(SUBSTITUTE($C312,Table467910111213[[#Headers],[16_0]],"")))/4)*$D312</f>
        <v>0</v>
      </c>
      <c r="L312" s="51">
        <f>((LEN($C312)-LEN(SUBSTITUTE($C312,Table467910111213[[#Headers],[16_1]],"")))/4)*$D312</f>
        <v>2.2358803013101521E-4</v>
      </c>
      <c r="M312" s="51">
        <f>((LEN($C312)-LEN(SUBSTITUTE($C312,Table467910111213[[#Headers],[16_2]],"")))/4)*$D312</f>
        <v>0</v>
      </c>
      <c r="N312" s="51">
        <f>((LEN($C312)-LEN(SUBSTITUTE($C312,Table467910111213[[#Headers],[16_3]],"")))/4)*$D312</f>
        <v>0</v>
      </c>
      <c r="O312" s="51">
        <f>((LEN($C312)-LEN(SUBSTITUTE($C312,Table467910111213[[#Headers],[17_0]],"")))/4)*$D312</f>
        <v>0</v>
      </c>
      <c r="P312" s="51">
        <f>((LEN($C312)-LEN(SUBSTITUTE($C312,Table467910111213[[#Headers],[17_1]],"")))/4)*$D312</f>
        <v>0</v>
      </c>
      <c r="Q312" s="51">
        <f>((LEN($C312)-LEN(SUBSTITUTE($C312,Table467910111213[[#Headers],[18_0]],"")))/4)*$D312</f>
        <v>0</v>
      </c>
      <c r="R312" s="51">
        <f>((LEN($C312)-LEN(SUBSTITUTE($C312,Table467910111213[[#Headers],[18_1]],"")))/4)*$D312</f>
        <v>0</v>
      </c>
      <c r="S312" s="51">
        <f>((LEN($C312)-LEN(SUBSTITUTE($C312,Table467910111213[[#Headers],[18_2]],"")))/4)*$D312</f>
        <v>0</v>
      </c>
      <c r="T312" s="51">
        <f>((LEN($C312)-LEN(SUBSTITUTE($C312,Table467910111213[[#Headers],[18_3]],"")))/4)*$D312</f>
        <v>0</v>
      </c>
      <c r="U312" s="51">
        <f>((LEN($C312)-LEN(SUBSTITUTE($C312,Table467910111213[[#Headers],[18_4]],"")))/4)*$D312</f>
        <v>0</v>
      </c>
      <c r="V312" s="51">
        <f>((LEN($C312)-LEN(SUBSTITUTE($C312,Table467910111213[[#Headers],[18_5]],"")))/4)*$D312</f>
        <v>0</v>
      </c>
      <c r="W312" s="51">
        <f>((LEN($C312)-LEN(SUBSTITUTE($C312,Table467910111213[[#Headers],[19_1]],"")))/4)*$D312</f>
        <v>0</v>
      </c>
      <c r="X312" s="51">
        <f>((LEN($C312)-LEN(SUBSTITUTE($C312,Table467910111213[[#Headers],[20_0]],"")))/4)*$D312</f>
        <v>0</v>
      </c>
      <c r="Y312" s="51">
        <f>((LEN($C312)-LEN(SUBSTITUTE($C312,Table467910111213[[#Headers],[20_1]],"")))/4)*$D312</f>
        <v>0</v>
      </c>
      <c r="Z312" s="51">
        <f>((LEN($C312)-LEN(SUBSTITUTE($C312,Table467910111213[[#Headers],[20_2]],"")))/4)*$D312</f>
        <v>0</v>
      </c>
      <c r="AA312" s="51">
        <f>((LEN($C312)-LEN(SUBSTITUTE($C312,Table467910111213[[#Headers],[20_3]],"")))/4)*$D312</f>
        <v>0</v>
      </c>
      <c r="AB312" s="51">
        <f>((LEN($C312)-LEN(SUBSTITUTE($C312,Table467910111213[[#Headers],[20_4]],"")))/4)*$D312</f>
        <v>0</v>
      </c>
      <c r="AC312" s="51">
        <f>((LEN($C312)-LEN(SUBSTITUTE($C312,Table467910111213[[#Headers],[20_5]],"")))/4)*$D312</f>
        <v>0</v>
      </c>
      <c r="AD312" s="51">
        <f>((LEN($C312)-LEN(SUBSTITUTE($C312,Table467910111213[[#Headers],[22_0]],"")))/4)*$D312</f>
        <v>0</v>
      </c>
      <c r="AE312" s="51">
        <f>((LEN($C312)-LEN(SUBSTITUTE($C312,Table467910111213[[#Headers],[22_5]],"")))/4)*$D312</f>
        <v>0</v>
      </c>
      <c r="AF312" s="51">
        <f>((LEN($C312)-LEN(SUBSTITUTE($C312,Table467910111213[[#Headers],[22_6]],"")))/4)*$D312</f>
        <v>0</v>
      </c>
      <c r="AG312" s="51">
        <f t="shared" si="82"/>
        <v>2.2358803013101521E-4</v>
      </c>
      <c r="AH312" s="51">
        <f t="shared" si="83"/>
        <v>0</v>
      </c>
      <c r="AI312" s="51">
        <f>Table467910111213[[#This Row],[Column29]]/$D$350*0.5</f>
        <v>2.902492610822783E-3</v>
      </c>
      <c r="AJ312" s="51">
        <f>Table467910111213[[#This Row],[Column29]]/$D$350*1.5</f>
        <v>8.7074778324683494E-3</v>
      </c>
    </row>
    <row r="313" spans="3:36">
      <c r="C313" s="51" t="s">
        <v>580</v>
      </c>
      <c r="D313" s="51">
        <v>1.3816336570427758E-4</v>
      </c>
      <c r="E313" s="51">
        <f>((LEN($C313)-LEN(SUBSTITUTE($C313,Table467910111213[[#Headers],[12_0]],"")))/4)*$D313</f>
        <v>0</v>
      </c>
      <c r="F313" s="51">
        <f>((LEN($C313)-LEN(SUBSTITUTE($C313,Table467910111213[[#Headers],[13_0]],"")))/4)*$D313</f>
        <v>0</v>
      </c>
      <c r="G313" s="51">
        <f>((LEN($C313)-LEN(SUBSTITUTE($C313,Table467910111213[[#Headers],[14_0]],"")))/4)*$D313</f>
        <v>1.3816336570427758E-4</v>
      </c>
      <c r="H313" s="51">
        <f>((LEN($C313)-LEN(SUBSTITUTE($C313,Table467910111213[[#Headers],[14_1]],"")))/4)*$D313</f>
        <v>0</v>
      </c>
      <c r="I313" s="51">
        <f>((LEN($C313)-LEN(SUBSTITUTE($C313,Table467910111213[[#Headers],[15_0]],"")))/4)*$D313</f>
        <v>0</v>
      </c>
      <c r="J313" s="51">
        <f>((LEN($C313)-LEN(SUBSTITUTE($C313,Table467910111213[[#Headers],[15_1]],"")))/4)*$D313</f>
        <v>0</v>
      </c>
      <c r="K313" s="51">
        <f>((LEN($C313)-LEN(SUBSTITUTE($C313,Table467910111213[[#Headers],[16_0]],"")))/4)*$D313</f>
        <v>0</v>
      </c>
      <c r="L313" s="51">
        <f>((LEN($C313)-LEN(SUBSTITUTE($C313,Table467910111213[[#Headers],[16_1]],"")))/4)*$D313</f>
        <v>0</v>
      </c>
      <c r="M313" s="51">
        <f>((LEN($C313)-LEN(SUBSTITUTE($C313,Table467910111213[[#Headers],[16_2]],"")))/4)*$D313</f>
        <v>0</v>
      </c>
      <c r="N313" s="51">
        <f>((LEN($C313)-LEN(SUBSTITUTE($C313,Table467910111213[[#Headers],[16_3]],"")))/4)*$D313</f>
        <v>0</v>
      </c>
      <c r="O313" s="51">
        <f>((LEN($C313)-LEN(SUBSTITUTE($C313,Table467910111213[[#Headers],[17_0]],"")))/4)*$D313</f>
        <v>0</v>
      </c>
      <c r="P313" s="51">
        <f>((LEN($C313)-LEN(SUBSTITUTE($C313,Table467910111213[[#Headers],[17_1]],"")))/4)*$D313</f>
        <v>0</v>
      </c>
      <c r="Q313" s="51">
        <f>((LEN($C313)-LEN(SUBSTITUTE($C313,Table467910111213[[#Headers],[18_0]],"")))/4)*$D313</f>
        <v>0</v>
      </c>
      <c r="R313" s="51">
        <f>((LEN($C313)-LEN(SUBSTITUTE($C313,Table467910111213[[#Headers],[18_1]],"")))/4)*$D313</f>
        <v>0</v>
      </c>
      <c r="S313" s="51">
        <f>((LEN($C313)-LEN(SUBSTITUTE($C313,Table467910111213[[#Headers],[18_2]],"")))/4)*$D313</f>
        <v>0</v>
      </c>
      <c r="T313" s="51">
        <f>((LEN($C313)-LEN(SUBSTITUTE($C313,Table467910111213[[#Headers],[18_3]],"")))/4)*$D313</f>
        <v>1.3816336570427758E-4</v>
      </c>
      <c r="U313" s="51">
        <f>((LEN($C313)-LEN(SUBSTITUTE($C313,Table467910111213[[#Headers],[18_4]],"")))/4)*$D313</f>
        <v>0</v>
      </c>
      <c r="V313" s="51">
        <f>((LEN($C313)-LEN(SUBSTITUTE($C313,Table467910111213[[#Headers],[18_5]],"")))/4)*$D313</f>
        <v>0</v>
      </c>
      <c r="W313" s="51">
        <f>((LEN($C313)-LEN(SUBSTITUTE($C313,Table467910111213[[#Headers],[19_1]],"")))/4)*$D313</f>
        <v>0</v>
      </c>
      <c r="X313" s="51">
        <f>((LEN($C313)-LEN(SUBSTITUTE($C313,Table467910111213[[#Headers],[20_0]],"")))/4)*$D313</f>
        <v>0</v>
      </c>
      <c r="Y313" s="51">
        <f>((LEN($C313)-LEN(SUBSTITUTE($C313,Table467910111213[[#Headers],[20_1]],"")))/4)*$D313</f>
        <v>0</v>
      </c>
      <c r="Z313" s="51">
        <f>((LEN($C313)-LEN(SUBSTITUTE($C313,Table467910111213[[#Headers],[20_2]],"")))/4)*$D313</f>
        <v>0</v>
      </c>
      <c r="AA313" s="51">
        <f>((LEN($C313)-LEN(SUBSTITUTE($C313,Table467910111213[[#Headers],[20_3]],"")))/4)*$D313</f>
        <v>0</v>
      </c>
      <c r="AB313" s="51">
        <f>((LEN($C313)-LEN(SUBSTITUTE($C313,Table467910111213[[#Headers],[20_4]],"")))/4)*$D313</f>
        <v>0</v>
      </c>
      <c r="AC313" s="51">
        <f>((LEN($C313)-LEN(SUBSTITUTE($C313,Table467910111213[[#Headers],[20_5]],"")))/4)*$D313</f>
        <v>0</v>
      </c>
      <c r="AD313" s="51">
        <f>((LEN($C313)-LEN(SUBSTITUTE($C313,Table467910111213[[#Headers],[22_0]],"")))/4)*$D313</f>
        <v>0</v>
      </c>
      <c r="AE313" s="51">
        <f>((LEN($C313)-LEN(SUBSTITUTE($C313,Table467910111213[[#Headers],[22_5]],"")))/4)*$D313</f>
        <v>0</v>
      </c>
      <c r="AF313" s="51">
        <f>((LEN($C313)-LEN(SUBSTITUTE($C313,Table467910111213[[#Headers],[22_6]],"")))/4)*$D313</f>
        <v>0</v>
      </c>
      <c r="AG313" s="51">
        <f t="shared" si="82"/>
        <v>1.3816336570427758E-4</v>
      </c>
      <c r="AH313" s="51">
        <f t="shared" si="83"/>
        <v>0</v>
      </c>
      <c r="AI313" s="51">
        <f>Table467910111213[[#This Row],[Column29]]/$D$350*0.5</f>
        <v>1.7935582142214331E-3</v>
      </c>
      <c r="AJ313" s="51">
        <f>Table467910111213[[#This Row],[Column29]]/$D$350*1.5</f>
        <v>5.3806746426642996E-3</v>
      </c>
    </row>
    <row r="314" spans="3:36">
      <c r="C314" s="51" t="s">
        <v>581</v>
      </c>
      <c r="D314" s="51">
        <v>4.5923634990779053E-4</v>
      </c>
      <c r="E314" s="51">
        <f>((LEN($C314)-LEN(SUBSTITUTE($C314,Table467910111213[[#Headers],[12_0]],"")))/4)*$D314</f>
        <v>0</v>
      </c>
      <c r="F314" s="51">
        <f>((LEN($C314)-LEN(SUBSTITUTE($C314,Table467910111213[[#Headers],[13_0]],"")))/4)*$D314</f>
        <v>0</v>
      </c>
      <c r="G314" s="51">
        <f>((LEN($C314)-LEN(SUBSTITUTE($C314,Table467910111213[[#Headers],[14_0]],"")))/4)*$D314</f>
        <v>4.5923634990779053E-4</v>
      </c>
      <c r="H314" s="51">
        <f>((LEN($C314)-LEN(SUBSTITUTE($C314,Table467910111213[[#Headers],[14_1]],"")))/4)*$D314</f>
        <v>0</v>
      </c>
      <c r="I314" s="51">
        <f>((LEN($C314)-LEN(SUBSTITUTE($C314,Table467910111213[[#Headers],[15_0]],"")))/4)*$D314</f>
        <v>0</v>
      </c>
      <c r="J314" s="51">
        <f>((LEN($C314)-LEN(SUBSTITUTE($C314,Table467910111213[[#Headers],[15_1]],"")))/4)*$D314</f>
        <v>0</v>
      </c>
      <c r="K314" s="51">
        <f>((LEN($C314)-LEN(SUBSTITUTE($C314,Table467910111213[[#Headers],[16_0]],"")))/4)*$D314</f>
        <v>0</v>
      </c>
      <c r="L314" s="51">
        <f>((LEN($C314)-LEN(SUBSTITUTE($C314,Table467910111213[[#Headers],[16_1]],"")))/4)*$D314</f>
        <v>0</v>
      </c>
      <c r="M314" s="51">
        <f>((LEN($C314)-LEN(SUBSTITUTE($C314,Table467910111213[[#Headers],[16_2]],"")))/4)*$D314</f>
        <v>0</v>
      </c>
      <c r="N314" s="51">
        <f>((LEN($C314)-LEN(SUBSTITUTE($C314,Table467910111213[[#Headers],[16_3]],"")))/4)*$D314</f>
        <v>0</v>
      </c>
      <c r="O314" s="51">
        <f>((LEN($C314)-LEN(SUBSTITUTE($C314,Table467910111213[[#Headers],[17_0]],"")))/4)*$D314</f>
        <v>0</v>
      </c>
      <c r="P314" s="51">
        <f>((LEN($C314)-LEN(SUBSTITUTE($C314,Table467910111213[[#Headers],[17_1]],"")))/4)*$D314</f>
        <v>0</v>
      </c>
      <c r="Q314" s="51">
        <f>((LEN($C314)-LEN(SUBSTITUTE($C314,Table467910111213[[#Headers],[18_0]],"")))/4)*$D314</f>
        <v>0</v>
      </c>
      <c r="R314" s="51">
        <f>((LEN($C314)-LEN(SUBSTITUTE($C314,Table467910111213[[#Headers],[18_1]],"")))/4)*$D314</f>
        <v>0</v>
      </c>
      <c r="S314" s="51">
        <f>((LEN($C314)-LEN(SUBSTITUTE($C314,Table467910111213[[#Headers],[18_2]],"")))/4)*$D314</f>
        <v>0</v>
      </c>
      <c r="T314" s="51">
        <f>((LEN($C314)-LEN(SUBSTITUTE($C314,Table467910111213[[#Headers],[18_3]],"")))/4)*$D314</f>
        <v>0</v>
      </c>
      <c r="U314" s="51">
        <f>((LEN($C314)-LEN(SUBSTITUTE($C314,Table467910111213[[#Headers],[18_4]],"")))/4)*$D314</f>
        <v>4.5923634990779053E-4</v>
      </c>
      <c r="V314" s="51">
        <f>((LEN($C314)-LEN(SUBSTITUTE($C314,Table467910111213[[#Headers],[18_5]],"")))/4)*$D314</f>
        <v>0</v>
      </c>
      <c r="W314" s="51">
        <f>((LEN($C314)-LEN(SUBSTITUTE($C314,Table467910111213[[#Headers],[19_1]],"")))/4)*$D314</f>
        <v>0</v>
      </c>
      <c r="X314" s="51">
        <f>((LEN($C314)-LEN(SUBSTITUTE($C314,Table467910111213[[#Headers],[20_0]],"")))/4)*$D314</f>
        <v>0</v>
      </c>
      <c r="Y314" s="51">
        <f>((LEN($C314)-LEN(SUBSTITUTE($C314,Table467910111213[[#Headers],[20_1]],"")))/4)*$D314</f>
        <v>0</v>
      </c>
      <c r="Z314" s="51">
        <f>((LEN($C314)-LEN(SUBSTITUTE($C314,Table467910111213[[#Headers],[20_2]],"")))/4)*$D314</f>
        <v>0</v>
      </c>
      <c r="AA314" s="51">
        <f>((LEN($C314)-LEN(SUBSTITUTE($C314,Table467910111213[[#Headers],[20_3]],"")))/4)*$D314</f>
        <v>0</v>
      </c>
      <c r="AB314" s="51">
        <f>((LEN($C314)-LEN(SUBSTITUTE($C314,Table467910111213[[#Headers],[20_4]],"")))/4)*$D314</f>
        <v>0</v>
      </c>
      <c r="AC314" s="51">
        <f>((LEN($C314)-LEN(SUBSTITUTE($C314,Table467910111213[[#Headers],[20_5]],"")))/4)*$D314</f>
        <v>0</v>
      </c>
      <c r="AD314" s="51">
        <f>((LEN($C314)-LEN(SUBSTITUTE($C314,Table467910111213[[#Headers],[22_0]],"")))/4)*$D314</f>
        <v>0</v>
      </c>
      <c r="AE314" s="51">
        <f>((LEN($C314)-LEN(SUBSTITUTE($C314,Table467910111213[[#Headers],[22_5]],"")))/4)*$D314</f>
        <v>0</v>
      </c>
      <c r="AF314" s="51">
        <f>((LEN($C314)-LEN(SUBSTITUTE($C314,Table467910111213[[#Headers],[22_6]],"")))/4)*$D314</f>
        <v>0</v>
      </c>
      <c r="AG314" s="51">
        <f t="shared" si="82"/>
        <v>4.5923634990779053E-4</v>
      </c>
      <c r="AH314" s="51">
        <f t="shared" si="83"/>
        <v>0</v>
      </c>
      <c r="AI314" s="51">
        <f>Table467910111213[[#This Row],[Column29]]/$D$350*0.5</f>
        <v>5.9615450408840535E-3</v>
      </c>
      <c r="AJ314" s="51">
        <f>Table467910111213[[#This Row],[Column29]]/$D$350*1.5</f>
        <v>1.7884635122652162E-2</v>
      </c>
    </row>
    <row r="315" spans="3:36">
      <c r="C315" s="51" t="s">
        <v>582</v>
      </c>
      <c r="D315" s="51">
        <v>4.0602211226892131E-3</v>
      </c>
      <c r="E315" s="51">
        <f>((LEN($C315)-LEN(SUBSTITUTE($C315,Table467910111213[[#Headers],[12_0]],"")))/4)*$D315</f>
        <v>0</v>
      </c>
      <c r="F315" s="51">
        <f>((LEN($C315)-LEN(SUBSTITUTE($C315,Table467910111213[[#Headers],[13_0]],"")))/4)*$D315</f>
        <v>0</v>
      </c>
      <c r="G315" s="51">
        <f>((LEN($C315)-LEN(SUBSTITUTE($C315,Table467910111213[[#Headers],[14_0]],"")))/4)*$D315</f>
        <v>4.0602211226892131E-3</v>
      </c>
      <c r="H315" s="51">
        <f>((LEN($C315)-LEN(SUBSTITUTE($C315,Table467910111213[[#Headers],[14_1]],"")))/4)*$D315</f>
        <v>0</v>
      </c>
      <c r="I315" s="51">
        <f>((LEN($C315)-LEN(SUBSTITUTE($C315,Table467910111213[[#Headers],[15_0]],"")))/4)*$D315</f>
        <v>0</v>
      </c>
      <c r="J315" s="51">
        <f>((LEN($C315)-LEN(SUBSTITUTE($C315,Table467910111213[[#Headers],[15_1]],"")))/4)*$D315</f>
        <v>0</v>
      </c>
      <c r="K315" s="51">
        <f>((LEN($C315)-LEN(SUBSTITUTE($C315,Table467910111213[[#Headers],[16_0]],"")))/4)*$D315</f>
        <v>0</v>
      </c>
      <c r="L315" s="51">
        <f>((LEN($C315)-LEN(SUBSTITUTE($C315,Table467910111213[[#Headers],[16_1]],"")))/4)*$D315</f>
        <v>0</v>
      </c>
      <c r="M315" s="51">
        <f>((LEN($C315)-LEN(SUBSTITUTE($C315,Table467910111213[[#Headers],[16_2]],"")))/4)*$D315</f>
        <v>0</v>
      </c>
      <c r="N315" s="51">
        <f>((LEN($C315)-LEN(SUBSTITUTE($C315,Table467910111213[[#Headers],[16_3]],"")))/4)*$D315</f>
        <v>0</v>
      </c>
      <c r="O315" s="51">
        <f>((LEN($C315)-LEN(SUBSTITUTE($C315,Table467910111213[[#Headers],[17_0]],"")))/4)*$D315</f>
        <v>0</v>
      </c>
      <c r="P315" s="51">
        <f>((LEN($C315)-LEN(SUBSTITUTE($C315,Table467910111213[[#Headers],[17_1]],"")))/4)*$D315</f>
        <v>0</v>
      </c>
      <c r="Q315" s="51">
        <f>((LEN($C315)-LEN(SUBSTITUTE($C315,Table467910111213[[#Headers],[18_0]],"")))/4)*$D315</f>
        <v>0</v>
      </c>
      <c r="R315" s="51">
        <f>((LEN($C315)-LEN(SUBSTITUTE($C315,Table467910111213[[#Headers],[18_1]],"")))/4)*$D315</f>
        <v>0</v>
      </c>
      <c r="S315" s="51">
        <f>((LEN($C315)-LEN(SUBSTITUTE($C315,Table467910111213[[#Headers],[18_2]],"")))/4)*$D315</f>
        <v>0</v>
      </c>
      <c r="T315" s="51">
        <f>((LEN($C315)-LEN(SUBSTITUTE($C315,Table467910111213[[#Headers],[18_3]],"")))/4)*$D315</f>
        <v>0</v>
      </c>
      <c r="U315" s="51">
        <f>((LEN($C315)-LEN(SUBSTITUTE($C315,Table467910111213[[#Headers],[18_4]],"")))/4)*$D315</f>
        <v>0</v>
      </c>
      <c r="V315" s="51">
        <f>((LEN($C315)-LEN(SUBSTITUTE($C315,Table467910111213[[#Headers],[18_5]],"")))/4)*$D315</f>
        <v>0</v>
      </c>
      <c r="W315" s="51">
        <f>((LEN($C315)-LEN(SUBSTITUTE($C315,Table467910111213[[#Headers],[19_1]],"")))/4)*$D315</f>
        <v>0</v>
      </c>
      <c r="X315" s="51">
        <f>((LEN($C315)-LEN(SUBSTITUTE($C315,Table467910111213[[#Headers],[20_0]],"")))/4)*$D315</f>
        <v>0</v>
      </c>
      <c r="Y315" s="51">
        <f>((LEN($C315)-LEN(SUBSTITUTE($C315,Table467910111213[[#Headers],[20_1]],"")))/4)*$D315</f>
        <v>0</v>
      </c>
      <c r="Z315" s="51">
        <f>((LEN($C315)-LEN(SUBSTITUTE($C315,Table467910111213[[#Headers],[20_2]],"")))/4)*$D315</f>
        <v>0</v>
      </c>
      <c r="AA315" s="51">
        <f>((LEN($C315)-LEN(SUBSTITUTE($C315,Table467910111213[[#Headers],[20_3]],"")))/4)*$D315</f>
        <v>0</v>
      </c>
      <c r="AB315" s="51">
        <f>((LEN($C315)-LEN(SUBSTITUTE($C315,Table467910111213[[#Headers],[20_4]],"")))/4)*$D315</f>
        <v>0</v>
      </c>
      <c r="AC315" s="51">
        <f>((LEN($C315)-LEN(SUBSTITUTE($C315,Table467910111213[[#Headers],[20_5]],"")))/4)*$D315</f>
        <v>4.0602211226892131E-3</v>
      </c>
      <c r="AD315" s="51">
        <f>((LEN($C315)-LEN(SUBSTITUTE($C315,Table467910111213[[#Headers],[22_0]],"")))/4)*$D315</f>
        <v>0</v>
      </c>
      <c r="AE315" s="51">
        <f>((LEN($C315)-LEN(SUBSTITUTE($C315,Table467910111213[[#Headers],[22_5]],"")))/4)*$D315</f>
        <v>0</v>
      </c>
      <c r="AF315" s="51">
        <f>((LEN($C315)-LEN(SUBSTITUTE($C315,Table467910111213[[#Headers],[22_6]],"")))/4)*$D315</f>
        <v>0</v>
      </c>
      <c r="AG315" s="51">
        <f t="shared" si="82"/>
        <v>4.0602211226892131E-3</v>
      </c>
      <c r="AH315" s="51">
        <f t="shared" si="83"/>
        <v>0</v>
      </c>
      <c r="AI315" s="51">
        <f>Table467910111213[[#This Row],[Column29]]/$D$350*0.5</f>
        <v>5.2707480807476788E-2</v>
      </c>
      <c r="AJ315" s="51">
        <f>Table467910111213[[#This Row],[Column29]]/$D$350*1.5</f>
        <v>0.15812244242243037</v>
      </c>
    </row>
    <row r="316" spans="3:36">
      <c r="C316" s="51" t="s">
        <v>583</v>
      </c>
      <c r="D316" s="51">
        <v>9.1079536578930146E-4</v>
      </c>
      <c r="E316" s="51">
        <f>((LEN($C316)-LEN(SUBSTITUTE($C316,Table467910111213[[#Headers],[12_0]],"")))/4)*$D316</f>
        <v>0</v>
      </c>
      <c r="F316" s="51">
        <f>((LEN($C316)-LEN(SUBSTITUTE($C316,Table467910111213[[#Headers],[13_0]],"")))/4)*$D316</f>
        <v>0</v>
      </c>
      <c r="G316" s="51">
        <f>((LEN($C316)-LEN(SUBSTITUTE($C316,Table467910111213[[#Headers],[14_0]],"")))/4)*$D316</f>
        <v>9.1079536578930146E-4</v>
      </c>
      <c r="H316" s="51">
        <f>((LEN($C316)-LEN(SUBSTITUTE($C316,Table467910111213[[#Headers],[14_1]],"")))/4)*$D316</f>
        <v>0</v>
      </c>
      <c r="I316" s="51">
        <f>((LEN($C316)-LEN(SUBSTITUTE($C316,Table467910111213[[#Headers],[15_0]],"")))/4)*$D316</f>
        <v>0</v>
      </c>
      <c r="J316" s="51">
        <f>((LEN($C316)-LEN(SUBSTITUTE($C316,Table467910111213[[#Headers],[15_1]],"")))/4)*$D316</f>
        <v>0</v>
      </c>
      <c r="K316" s="51">
        <f>((LEN($C316)-LEN(SUBSTITUTE($C316,Table467910111213[[#Headers],[16_0]],"")))/4)*$D316</f>
        <v>0</v>
      </c>
      <c r="L316" s="51">
        <f>((LEN($C316)-LEN(SUBSTITUTE($C316,Table467910111213[[#Headers],[16_1]],"")))/4)*$D316</f>
        <v>0</v>
      </c>
      <c r="M316" s="51">
        <f>((LEN($C316)-LEN(SUBSTITUTE($C316,Table467910111213[[#Headers],[16_2]],"")))/4)*$D316</f>
        <v>0</v>
      </c>
      <c r="N316" s="51">
        <f>((LEN($C316)-LEN(SUBSTITUTE($C316,Table467910111213[[#Headers],[16_3]],"")))/4)*$D316</f>
        <v>0</v>
      </c>
      <c r="O316" s="51">
        <f>((LEN($C316)-LEN(SUBSTITUTE($C316,Table467910111213[[#Headers],[17_0]],"")))/4)*$D316</f>
        <v>0</v>
      </c>
      <c r="P316" s="51">
        <f>((LEN($C316)-LEN(SUBSTITUTE($C316,Table467910111213[[#Headers],[17_1]],"")))/4)*$D316</f>
        <v>0</v>
      </c>
      <c r="Q316" s="51">
        <f>((LEN($C316)-LEN(SUBSTITUTE($C316,Table467910111213[[#Headers],[18_0]],"")))/4)*$D316</f>
        <v>0</v>
      </c>
      <c r="R316" s="51">
        <f>((LEN($C316)-LEN(SUBSTITUTE($C316,Table467910111213[[#Headers],[18_1]],"")))/4)*$D316</f>
        <v>0</v>
      </c>
      <c r="S316" s="51">
        <f>((LEN($C316)-LEN(SUBSTITUTE($C316,Table467910111213[[#Headers],[18_2]],"")))/4)*$D316</f>
        <v>0</v>
      </c>
      <c r="T316" s="51">
        <f>((LEN($C316)-LEN(SUBSTITUTE($C316,Table467910111213[[#Headers],[18_3]],"")))/4)*$D316</f>
        <v>0</v>
      </c>
      <c r="U316" s="51">
        <f>((LEN($C316)-LEN(SUBSTITUTE($C316,Table467910111213[[#Headers],[18_4]],"")))/4)*$D316</f>
        <v>0</v>
      </c>
      <c r="V316" s="51">
        <f>((LEN($C316)-LEN(SUBSTITUTE($C316,Table467910111213[[#Headers],[18_5]],"")))/4)*$D316</f>
        <v>0</v>
      </c>
      <c r="W316" s="51">
        <f>((LEN($C316)-LEN(SUBSTITUTE($C316,Table467910111213[[#Headers],[19_1]],"")))/4)*$D316</f>
        <v>0</v>
      </c>
      <c r="X316" s="51">
        <f>((LEN($C316)-LEN(SUBSTITUTE($C316,Table467910111213[[#Headers],[20_0]],"")))/4)*$D316</f>
        <v>0</v>
      </c>
      <c r="Y316" s="51">
        <f>((LEN($C316)-LEN(SUBSTITUTE($C316,Table467910111213[[#Headers],[20_1]],"")))/4)*$D316</f>
        <v>0</v>
      </c>
      <c r="Z316" s="51">
        <f>((LEN($C316)-LEN(SUBSTITUTE($C316,Table467910111213[[#Headers],[20_2]],"")))/4)*$D316</f>
        <v>0</v>
      </c>
      <c r="AA316" s="51">
        <f>((LEN($C316)-LEN(SUBSTITUTE($C316,Table467910111213[[#Headers],[20_3]],"")))/4)*$D316</f>
        <v>0</v>
      </c>
      <c r="AB316" s="51">
        <f>((LEN($C316)-LEN(SUBSTITUTE($C316,Table467910111213[[#Headers],[20_4]],"")))/4)*$D316</f>
        <v>0</v>
      </c>
      <c r="AC316" s="51">
        <f>((LEN($C316)-LEN(SUBSTITUTE($C316,Table467910111213[[#Headers],[20_5]],"")))/4)*$D316</f>
        <v>0</v>
      </c>
      <c r="AD316" s="51">
        <f>((LEN($C316)-LEN(SUBSTITUTE($C316,Table467910111213[[#Headers],[22_0]],"")))/4)*$D316</f>
        <v>0</v>
      </c>
      <c r="AE316" s="51">
        <f>((LEN($C316)-LEN(SUBSTITUTE($C316,Table467910111213[[#Headers],[22_5]],"")))/4)*$D316</f>
        <v>0</v>
      </c>
      <c r="AF316" s="51">
        <f>((LEN($C316)-LEN(SUBSTITUTE($C316,Table467910111213[[#Headers],[22_6]],"")))/4)*$D316</f>
        <v>9.1079536578930146E-4</v>
      </c>
      <c r="AG316" s="51">
        <f t="shared" si="82"/>
        <v>9.1079536578930146E-4</v>
      </c>
      <c r="AH316" s="51">
        <f t="shared" si="83"/>
        <v>0</v>
      </c>
      <c r="AI316" s="51">
        <f>Table467910111213[[#This Row],[Column29]]/$D$350*0.5</f>
        <v>1.182342729897496E-2</v>
      </c>
      <c r="AJ316" s="51">
        <f>Table467910111213[[#This Row],[Column29]]/$D$350*1.5</f>
        <v>3.5470281896924881E-2</v>
      </c>
    </row>
    <row r="317" spans="3:36">
      <c r="C317" s="51" t="s">
        <v>584</v>
      </c>
      <c r="D317" s="51">
        <v>1.2770729510878486E-4</v>
      </c>
      <c r="E317" s="51">
        <f>((LEN($C317)-LEN(SUBSTITUTE($C317,Table467910111213[[#Headers],[12_0]],"")))/4)*$D317</f>
        <v>0</v>
      </c>
      <c r="F317" s="51">
        <f>((LEN($C317)-LEN(SUBSTITUTE($C317,Table467910111213[[#Headers],[13_0]],"")))/4)*$D317</f>
        <v>0</v>
      </c>
      <c r="G317" s="51">
        <f>((LEN($C317)-LEN(SUBSTITUTE($C317,Table467910111213[[#Headers],[14_0]],"")))/4)*$D317</f>
        <v>0</v>
      </c>
      <c r="H317" s="51">
        <f>((LEN($C317)-LEN(SUBSTITUTE($C317,Table467910111213[[#Headers],[14_1]],"")))/4)*$D317</f>
        <v>0</v>
      </c>
      <c r="I317" s="51">
        <f>((LEN($C317)-LEN(SUBSTITUTE($C317,Table467910111213[[#Headers],[15_0]],"")))/4)*$D317</f>
        <v>0</v>
      </c>
      <c r="J317" s="51">
        <f>((LEN($C317)-LEN(SUBSTITUTE($C317,Table467910111213[[#Headers],[15_1]],"")))/4)*$D317</f>
        <v>0</v>
      </c>
      <c r="K317" s="51">
        <f>((LEN($C317)-LEN(SUBSTITUTE($C317,Table467910111213[[#Headers],[16_0]],"")))/4)*$D317</f>
        <v>2.5541459021756973E-4</v>
      </c>
      <c r="L317" s="51">
        <f>((LEN($C317)-LEN(SUBSTITUTE($C317,Table467910111213[[#Headers],[16_1]],"")))/4)*$D317</f>
        <v>0</v>
      </c>
      <c r="M317" s="51">
        <f>((LEN($C317)-LEN(SUBSTITUTE($C317,Table467910111213[[#Headers],[16_2]],"")))/4)*$D317</f>
        <v>0</v>
      </c>
      <c r="N317" s="51">
        <f>((LEN($C317)-LEN(SUBSTITUTE($C317,Table467910111213[[#Headers],[16_3]],"")))/4)*$D317</f>
        <v>0</v>
      </c>
      <c r="O317" s="51">
        <f>((LEN($C317)-LEN(SUBSTITUTE($C317,Table467910111213[[#Headers],[17_0]],"")))/4)*$D317</f>
        <v>0</v>
      </c>
      <c r="P317" s="51">
        <f>((LEN($C317)-LEN(SUBSTITUTE($C317,Table467910111213[[#Headers],[17_1]],"")))/4)*$D317</f>
        <v>0</v>
      </c>
      <c r="Q317" s="51">
        <f>((LEN($C317)-LEN(SUBSTITUTE($C317,Table467910111213[[#Headers],[18_0]],"")))/4)*$D317</f>
        <v>0</v>
      </c>
      <c r="R317" s="51">
        <f>((LEN($C317)-LEN(SUBSTITUTE($C317,Table467910111213[[#Headers],[18_1]],"")))/4)*$D317</f>
        <v>0</v>
      </c>
      <c r="S317" s="51">
        <f>((LEN($C317)-LEN(SUBSTITUTE($C317,Table467910111213[[#Headers],[18_2]],"")))/4)*$D317</f>
        <v>0</v>
      </c>
      <c r="T317" s="51">
        <f>((LEN($C317)-LEN(SUBSTITUTE($C317,Table467910111213[[#Headers],[18_3]],"")))/4)*$D317</f>
        <v>0</v>
      </c>
      <c r="U317" s="51">
        <f>((LEN($C317)-LEN(SUBSTITUTE($C317,Table467910111213[[#Headers],[18_4]],"")))/4)*$D317</f>
        <v>0</v>
      </c>
      <c r="V317" s="51">
        <f>((LEN($C317)-LEN(SUBSTITUTE($C317,Table467910111213[[#Headers],[18_5]],"")))/4)*$D317</f>
        <v>0</v>
      </c>
      <c r="W317" s="51">
        <f>((LEN($C317)-LEN(SUBSTITUTE($C317,Table467910111213[[#Headers],[19_1]],"")))/4)*$D317</f>
        <v>0</v>
      </c>
      <c r="X317" s="51">
        <f>((LEN($C317)-LEN(SUBSTITUTE($C317,Table467910111213[[#Headers],[20_0]],"")))/4)*$D317</f>
        <v>0</v>
      </c>
      <c r="Y317" s="51">
        <f>((LEN($C317)-LEN(SUBSTITUTE($C317,Table467910111213[[#Headers],[20_1]],"")))/4)*$D317</f>
        <v>0</v>
      </c>
      <c r="Z317" s="51">
        <f>((LEN($C317)-LEN(SUBSTITUTE($C317,Table467910111213[[#Headers],[20_2]],"")))/4)*$D317</f>
        <v>0</v>
      </c>
      <c r="AA317" s="51">
        <f>((LEN($C317)-LEN(SUBSTITUTE($C317,Table467910111213[[#Headers],[20_3]],"")))/4)*$D317</f>
        <v>0</v>
      </c>
      <c r="AB317" s="51">
        <f>((LEN($C317)-LEN(SUBSTITUTE($C317,Table467910111213[[#Headers],[20_4]],"")))/4)*$D317</f>
        <v>0</v>
      </c>
      <c r="AC317" s="51">
        <f>((LEN($C317)-LEN(SUBSTITUTE($C317,Table467910111213[[#Headers],[20_5]],"")))/4)*$D317</f>
        <v>0</v>
      </c>
      <c r="AD317" s="51">
        <f>((LEN($C317)-LEN(SUBSTITUTE($C317,Table467910111213[[#Headers],[22_0]],"")))/4)*$D317</f>
        <v>0</v>
      </c>
      <c r="AE317" s="51">
        <f>((LEN($C317)-LEN(SUBSTITUTE($C317,Table467910111213[[#Headers],[22_5]],"")))/4)*$D317</f>
        <v>0</v>
      </c>
      <c r="AF317" s="51">
        <f>((LEN($C317)-LEN(SUBSTITUTE($C317,Table467910111213[[#Headers],[22_6]],"")))/4)*$D317</f>
        <v>0</v>
      </c>
      <c r="AG317" s="51">
        <f t="shared" si="82"/>
        <v>1.2770729510878486E-4</v>
      </c>
      <c r="AH317" s="51">
        <f t="shared" si="83"/>
        <v>0</v>
      </c>
      <c r="AI317" s="51">
        <f>Table467910111213[[#This Row],[Column29]]/$D$350*0.5</f>
        <v>1.657823454074051E-3</v>
      </c>
      <c r="AJ317" s="51">
        <f>Table467910111213[[#This Row],[Column29]]/$D$350*1.5</f>
        <v>4.9734703622221531E-3</v>
      </c>
    </row>
    <row r="318" spans="3:36">
      <c r="C318" s="51" t="s">
        <v>585</v>
      </c>
      <c r="D318" s="51">
        <v>3.7845246201932638E-4</v>
      </c>
      <c r="E318" s="51">
        <f>((LEN($C318)-LEN(SUBSTITUTE($C318,Table467910111213[[#Headers],[12_0]],"")))/4)*$D318</f>
        <v>0</v>
      </c>
      <c r="F318" s="51">
        <f>((LEN($C318)-LEN(SUBSTITUTE($C318,Table467910111213[[#Headers],[13_0]],"")))/4)*$D318</f>
        <v>0</v>
      </c>
      <c r="G318" s="51">
        <f>((LEN($C318)-LEN(SUBSTITUTE($C318,Table467910111213[[#Headers],[14_0]],"")))/4)*$D318</f>
        <v>0</v>
      </c>
      <c r="H318" s="51">
        <f>((LEN($C318)-LEN(SUBSTITUTE($C318,Table467910111213[[#Headers],[14_1]],"")))/4)*$D318</f>
        <v>0</v>
      </c>
      <c r="I318" s="51">
        <f>((LEN($C318)-LEN(SUBSTITUTE($C318,Table467910111213[[#Headers],[15_0]],"")))/4)*$D318</f>
        <v>0</v>
      </c>
      <c r="J318" s="51">
        <f>((LEN($C318)-LEN(SUBSTITUTE($C318,Table467910111213[[#Headers],[15_1]],"")))/4)*$D318</f>
        <v>0</v>
      </c>
      <c r="K318" s="51">
        <f>((LEN($C318)-LEN(SUBSTITUTE($C318,Table467910111213[[#Headers],[16_0]],"")))/4)*$D318</f>
        <v>3.7845246201932638E-4</v>
      </c>
      <c r="L318" s="51">
        <f>((LEN($C318)-LEN(SUBSTITUTE($C318,Table467910111213[[#Headers],[16_1]],"")))/4)*$D318</f>
        <v>3.7845246201932638E-4</v>
      </c>
      <c r="M318" s="51">
        <f>((LEN($C318)-LEN(SUBSTITUTE($C318,Table467910111213[[#Headers],[16_2]],"")))/4)*$D318</f>
        <v>0</v>
      </c>
      <c r="N318" s="51">
        <f>((LEN($C318)-LEN(SUBSTITUTE($C318,Table467910111213[[#Headers],[16_3]],"")))/4)*$D318</f>
        <v>0</v>
      </c>
      <c r="O318" s="51">
        <f>((LEN($C318)-LEN(SUBSTITUTE($C318,Table467910111213[[#Headers],[17_0]],"")))/4)*$D318</f>
        <v>0</v>
      </c>
      <c r="P318" s="51">
        <f>((LEN($C318)-LEN(SUBSTITUTE($C318,Table467910111213[[#Headers],[17_1]],"")))/4)*$D318</f>
        <v>0</v>
      </c>
      <c r="Q318" s="51">
        <f>((LEN($C318)-LEN(SUBSTITUTE($C318,Table467910111213[[#Headers],[18_0]],"")))/4)*$D318</f>
        <v>0</v>
      </c>
      <c r="R318" s="51">
        <f>((LEN($C318)-LEN(SUBSTITUTE($C318,Table467910111213[[#Headers],[18_1]],"")))/4)*$D318</f>
        <v>0</v>
      </c>
      <c r="S318" s="51">
        <f>((LEN($C318)-LEN(SUBSTITUTE($C318,Table467910111213[[#Headers],[18_2]],"")))/4)*$D318</f>
        <v>0</v>
      </c>
      <c r="T318" s="51">
        <f>((LEN($C318)-LEN(SUBSTITUTE($C318,Table467910111213[[#Headers],[18_3]],"")))/4)*$D318</f>
        <v>0</v>
      </c>
      <c r="U318" s="51">
        <f>((LEN($C318)-LEN(SUBSTITUTE($C318,Table467910111213[[#Headers],[18_4]],"")))/4)*$D318</f>
        <v>0</v>
      </c>
      <c r="V318" s="51">
        <f>((LEN($C318)-LEN(SUBSTITUTE($C318,Table467910111213[[#Headers],[18_5]],"")))/4)*$D318</f>
        <v>0</v>
      </c>
      <c r="W318" s="51">
        <f>((LEN($C318)-LEN(SUBSTITUTE($C318,Table467910111213[[#Headers],[19_1]],"")))/4)*$D318</f>
        <v>0</v>
      </c>
      <c r="X318" s="51">
        <f>((LEN($C318)-LEN(SUBSTITUTE($C318,Table467910111213[[#Headers],[20_0]],"")))/4)*$D318</f>
        <v>0</v>
      </c>
      <c r="Y318" s="51">
        <f>((LEN($C318)-LEN(SUBSTITUTE($C318,Table467910111213[[#Headers],[20_1]],"")))/4)*$D318</f>
        <v>0</v>
      </c>
      <c r="Z318" s="51">
        <f>((LEN($C318)-LEN(SUBSTITUTE($C318,Table467910111213[[#Headers],[20_2]],"")))/4)*$D318</f>
        <v>0</v>
      </c>
      <c r="AA318" s="51">
        <f>((LEN($C318)-LEN(SUBSTITUTE($C318,Table467910111213[[#Headers],[20_3]],"")))/4)*$D318</f>
        <v>0</v>
      </c>
      <c r="AB318" s="51">
        <f>((LEN($C318)-LEN(SUBSTITUTE($C318,Table467910111213[[#Headers],[20_4]],"")))/4)*$D318</f>
        <v>0</v>
      </c>
      <c r="AC318" s="51">
        <f>((LEN($C318)-LEN(SUBSTITUTE($C318,Table467910111213[[#Headers],[20_5]],"")))/4)*$D318</f>
        <v>0</v>
      </c>
      <c r="AD318" s="51">
        <f>((LEN($C318)-LEN(SUBSTITUTE($C318,Table467910111213[[#Headers],[22_0]],"")))/4)*$D318</f>
        <v>0</v>
      </c>
      <c r="AE318" s="51">
        <f>((LEN($C318)-LEN(SUBSTITUTE($C318,Table467910111213[[#Headers],[22_5]],"")))/4)*$D318</f>
        <v>0</v>
      </c>
      <c r="AF318" s="51">
        <f>((LEN($C318)-LEN(SUBSTITUTE($C318,Table467910111213[[#Headers],[22_6]],"")))/4)*$D318</f>
        <v>0</v>
      </c>
      <c r="AG318" s="51">
        <f t="shared" si="82"/>
        <v>3.7845246201932638E-4</v>
      </c>
      <c r="AH318" s="51">
        <f t="shared" si="83"/>
        <v>0</v>
      </c>
      <c r="AI318" s="51">
        <f>Table467910111213[[#This Row],[Column29]]/$D$350*0.5</f>
        <v>4.9128545652248291E-3</v>
      </c>
      <c r="AJ318" s="51">
        <f>Table467910111213[[#This Row],[Column29]]/$D$350*1.5</f>
        <v>1.4738563695674486E-2</v>
      </c>
    </row>
    <row r="319" spans="3:36">
      <c r="C319" s="51" t="s">
        <v>586</v>
      </c>
      <c r="D319" s="51">
        <v>2.7271723854545353E-4</v>
      </c>
      <c r="E319" s="51">
        <f>((LEN($C319)-LEN(SUBSTITUTE($C319,Table467910111213[[#Headers],[12_0]],"")))/4)*$D319</f>
        <v>0</v>
      </c>
      <c r="F319" s="51">
        <f>((LEN($C319)-LEN(SUBSTITUTE($C319,Table467910111213[[#Headers],[13_0]],"")))/4)*$D319</f>
        <v>0</v>
      </c>
      <c r="G319" s="51">
        <f>((LEN($C319)-LEN(SUBSTITUTE($C319,Table467910111213[[#Headers],[14_0]],"")))/4)*$D319</f>
        <v>0</v>
      </c>
      <c r="H319" s="51">
        <f>((LEN($C319)-LEN(SUBSTITUTE($C319,Table467910111213[[#Headers],[14_1]],"")))/4)*$D319</f>
        <v>0</v>
      </c>
      <c r="I319" s="51">
        <f>((LEN($C319)-LEN(SUBSTITUTE($C319,Table467910111213[[#Headers],[15_0]],"")))/4)*$D319</f>
        <v>0</v>
      </c>
      <c r="J319" s="51">
        <f>((LEN($C319)-LEN(SUBSTITUTE($C319,Table467910111213[[#Headers],[15_1]],"")))/4)*$D319</f>
        <v>0</v>
      </c>
      <c r="K319" s="51">
        <f>((LEN($C319)-LEN(SUBSTITUTE($C319,Table467910111213[[#Headers],[16_0]],"")))/4)*$D319</f>
        <v>2.7271723854545353E-4</v>
      </c>
      <c r="L319" s="51">
        <f>((LEN($C319)-LEN(SUBSTITUTE($C319,Table467910111213[[#Headers],[16_1]],"")))/4)*$D319</f>
        <v>0</v>
      </c>
      <c r="M319" s="51">
        <f>((LEN($C319)-LEN(SUBSTITUTE($C319,Table467910111213[[#Headers],[16_2]],"")))/4)*$D319</f>
        <v>0</v>
      </c>
      <c r="N319" s="51">
        <f>((LEN($C319)-LEN(SUBSTITUTE($C319,Table467910111213[[#Headers],[16_3]],"")))/4)*$D319</f>
        <v>0</v>
      </c>
      <c r="O319" s="51">
        <f>((LEN($C319)-LEN(SUBSTITUTE($C319,Table467910111213[[#Headers],[17_0]],"")))/4)*$D319</f>
        <v>0</v>
      </c>
      <c r="P319" s="51">
        <f>((LEN($C319)-LEN(SUBSTITUTE($C319,Table467910111213[[#Headers],[17_1]],"")))/4)*$D319</f>
        <v>0</v>
      </c>
      <c r="Q319" s="51">
        <f>((LEN($C319)-LEN(SUBSTITUTE($C319,Table467910111213[[#Headers],[18_0]],"")))/4)*$D319</f>
        <v>0</v>
      </c>
      <c r="R319" s="51">
        <f>((LEN($C319)-LEN(SUBSTITUTE($C319,Table467910111213[[#Headers],[18_1]],"")))/4)*$D319</f>
        <v>2.7271723854545353E-4</v>
      </c>
      <c r="S319" s="51">
        <f>((LEN($C319)-LEN(SUBSTITUTE($C319,Table467910111213[[#Headers],[18_2]],"")))/4)*$D319</f>
        <v>0</v>
      </c>
      <c r="T319" s="51">
        <f>((LEN($C319)-LEN(SUBSTITUTE($C319,Table467910111213[[#Headers],[18_3]],"")))/4)*$D319</f>
        <v>0</v>
      </c>
      <c r="U319" s="51">
        <f>((LEN($C319)-LEN(SUBSTITUTE($C319,Table467910111213[[#Headers],[18_4]],"")))/4)*$D319</f>
        <v>0</v>
      </c>
      <c r="V319" s="51">
        <f>((LEN($C319)-LEN(SUBSTITUTE($C319,Table467910111213[[#Headers],[18_5]],"")))/4)*$D319</f>
        <v>0</v>
      </c>
      <c r="W319" s="51">
        <f>((LEN($C319)-LEN(SUBSTITUTE($C319,Table467910111213[[#Headers],[19_1]],"")))/4)*$D319</f>
        <v>0</v>
      </c>
      <c r="X319" s="51">
        <f>((LEN($C319)-LEN(SUBSTITUTE($C319,Table467910111213[[#Headers],[20_0]],"")))/4)*$D319</f>
        <v>0</v>
      </c>
      <c r="Y319" s="51">
        <f>((LEN($C319)-LEN(SUBSTITUTE($C319,Table467910111213[[#Headers],[20_1]],"")))/4)*$D319</f>
        <v>0</v>
      </c>
      <c r="Z319" s="51">
        <f>((LEN($C319)-LEN(SUBSTITUTE($C319,Table467910111213[[#Headers],[20_2]],"")))/4)*$D319</f>
        <v>0</v>
      </c>
      <c r="AA319" s="51">
        <f>((LEN($C319)-LEN(SUBSTITUTE($C319,Table467910111213[[#Headers],[20_3]],"")))/4)*$D319</f>
        <v>0</v>
      </c>
      <c r="AB319" s="51">
        <f>((LEN($C319)-LEN(SUBSTITUTE($C319,Table467910111213[[#Headers],[20_4]],"")))/4)*$D319</f>
        <v>0</v>
      </c>
      <c r="AC319" s="51">
        <f>((LEN($C319)-LEN(SUBSTITUTE($C319,Table467910111213[[#Headers],[20_5]],"")))/4)*$D319</f>
        <v>0</v>
      </c>
      <c r="AD319" s="51">
        <f>((LEN($C319)-LEN(SUBSTITUTE($C319,Table467910111213[[#Headers],[22_0]],"")))/4)*$D319</f>
        <v>0</v>
      </c>
      <c r="AE319" s="51">
        <f>((LEN($C319)-LEN(SUBSTITUTE($C319,Table467910111213[[#Headers],[22_5]],"")))/4)*$D319</f>
        <v>0</v>
      </c>
      <c r="AF319" s="51">
        <f>((LEN($C319)-LEN(SUBSTITUTE($C319,Table467910111213[[#Headers],[22_6]],"")))/4)*$D319</f>
        <v>0</v>
      </c>
      <c r="AG319" s="51">
        <f t="shared" si="82"/>
        <v>2.7271723854545353E-4</v>
      </c>
      <c r="AH319" s="51">
        <f t="shared" si="83"/>
        <v>0</v>
      </c>
      <c r="AI319" s="51">
        <f>Table467910111213[[#This Row],[Column29]]/$D$350*0.5</f>
        <v>3.540260045487879E-3</v>
      </c>
      <c r="AJ319" s="51">
        <f>Table467910111213[[#This Row],[Column29]]/$D$350*1.5</f>
        <v>1.0620780136463637E-2</v>
      </c>
    </row>
    <row r="320" spans="3:36">
      <c r="C320" s="51" t="s">
        <v>587</v>
      </c>
      <c r="D320" s="51">
        <v>5.0446959777157948E-5</v>
      </c>
      <c r="E320" s="51">
        <f>((LEN($C320)-LEN(SUBSTITUTE($C320,Table467910111213[[#Headers],[12_0]],"")))/4)*$D320</f>
        <v>0</v>
      </c>
      <c r="F320" s="51">
        <f>((LEN($C320)-LEN(SUBSTITUTE($C320,Table467910111213[[#Headers],[13_0]],"")))/4)*$D320</f>
        <v>0</v>
      </c>
      <c r="G320" s="51">
        <f>((LEN($C320)-LEN(SUBSTITUTE($C320,Table467910111213[[#Headers],[14_0]],"")))/4)*$D320</f>
        <v>0</v>
      </c>
      <c r="H320" s="51">
        <f>((LEN($C320)-LEN(SUBSTITUTE($C320,Table467910111213[[#Headers],[14_1]],"")))/4)*$D320</f>
        <v>0</v>
      </c>
      <c r="I320" s="51">
        <f>((LEN($C320)-LEN(SUBSTITUTE($C320,Table467910111213[[#Headers],[15_0]],"")))/4)*$D320</f>
        <v>0</v>
      </c>
      <c r="J320" s="51">
        <f>((LEN($C320)-LEN(SUBSTITUTE($C320,Table467910111213[[#Headers],[15_1]],"")))/4)*$D320</f>
        <v>0</v>
      </c>
      <c r="K320" s="51">
        <f>((LEN($C320)-LEN(SUBSTITUTE($C320,Table467910111213[[#Headers],[16_0]],"")))/4)*$D320</f>
        <v>5.0446959777157948E-5</v>
      </c>
      <c r="L320" s="51">
        <f>((LEN($C320)-LEN(SUBSTITUTE($C320,Table467910111213[[#Headers],[16_1]],"")))/4)*$D320</f>
        <v>0</v>
      </c>
      <c r="M320" s="51">
        <f>((LEN($C320)-LEN(SUBSTITUTE($C320,Table467910111213[[#Headers],[16_2]],"")))/4)*$D320</f>
        <v>0</v>
      </c>
      <c r="N320" s="51">
        <f>((LEN($C320)-LEN(SUBSTITUTE($C320,Table467910111213[[#Headers],[16_3]],"")))/4)*$D320</f>
        <v>0</v>
      </c>
      <c r="O320" s="51">
        <f>((LEN($C320)-LEN(SUBSTITUTE($C320,Table467910111213[[#Headers],[17_0]],"")))/4)*$D320</f>
        <v>0</v>
      </c>
      <c r="P320" s="51">
        <f>((LEN($C320)-LEN(SUBSTITUTE($C320,Table467910111213[[#Headers],[17_1]],"")))/4)*$D320</f>
        <v>0</v>
      </c>
      <c r="Q320" s="51">
        <f>((LEN($C320)-LEN(SUBSTITUTE($C320,Table467910111213[[#Headers],[18_0]],"")))/4)*$D320</f>
        <v>0</v>
      </c>
      <c r="R320" s="51">
        <f>((LEN($C320)-LEN(SUBSTITUTE($C320,Table467910111213[[#Headers],[18_1]],"")))/4)*$D320</f>
        <v>0</v>
      </c>
      <c r="S320" s="51">
        <f>((LEN($C320)-LEN(SUBSTITUTE($C320,Table467910111213[[#Headers],[18_2]],"")))/4)*$D320</f>
        <v>5.0446959777157948E-5</v>
      </c>
      <c r="T320" s="51">
        <f>((LEN($C320)-LEN(SUBSTITUTE($C320,Table467910111213[[#Headers],[18_3]],"")))/4)*$D320</f>
        <v>0</v>
      </c>
      <c r="U320" s="51">
        <f>((LEN($C320)-LEN(SUBSTITUTE($C320,Table467910111213[[#Headers],[18_4]],"")))/4)*$D320</f>
        <v>0</v>
      </c>
      <c r="V320" s="51">
        <f>((LEN($C320)-LEN(SUBSTITUTE($C320,Table467910111213[[#Headers],[18_5]],"")))/4)*$D320</f>
        <v>0</v>
      </c>
      <c r="W320" s="51">
        <f>((LEN($C320)-LEN(SUBSTITUTE($C320,Table467910111213[[#Headers],[19_1]],"")))/4)*$D320</f>
        <v>0</v>
      </c>
      <c r="X320" s="51">
        <f>((LEN($C320)-LEN(SUBSTITUTE($C320,Table467910111213[[#Headers],[20_0]],"")))/4)*$D320</f>
        <v>0</v>
      </c>
      <c r="Y320" s="51">
        <f>((LEN($C320)-LEN(SUBSTITUTE($C320,Table467910111213[[#Headers],[20_1]],"")))/4)*$D320</f>
        <v>0</v>
      </c>
      <c r="Z320" s="51">
        <f>((LEN($C320)-LEN(SUBSTITUTE($C320,Table467910111213[[#Headers],[20_2]],"")))/4)*$D320</f>
        <v>0</v>
      </c>
      <c r="AA320" s="51">
        <f>((LEN($C320)-LEN(SUBSTITUTE($C320,Table467910111213[[#Headers],[20_3]],"")))/4)*$D320</f>
        <v>0</v>
      </c>
      <c r="AB320" s="51">
        <f>((LEN($C320)-LEN(SUBSTITUTE($C320,Table467910111213[[#Headers],[20_4]],"")))/4)*$D320</f>
        <v>0</v>
      </c>
      <c r="AC320" s="51">
        <f>((LEN($C320)-LEN(SUBSTITUTE($C320,Table467910111213[[#Headers],[20_5]],"")))/4)*$D320</f>
        <v>0</v>
      </c>
      <c r="AD320" s="51">
        <f>((LEN($C320)-LEN(SUBSTITUTE($C320,Table467910111213[[#Headers],[22_0]],"")))/4)*$D320</f>
        <v>0</v>
      </c>
      <c r="AE320" s="51">
        <f>((LEN($C320)-LEN(SUBSTITUTE($C320,Table467910111213[[#Headers],[22_5]],"")))/4)*$D320</f>
        <v>0</v>
      </c>
      <c r="AF320" s="51">
        <f>((LEN($C320)-LEN(SUBSTITUTE($C320,Table467910111213[[#Headers],[22_6]],"")))/4)*$D320</f>
        <v>0</v>
      </c>
      <c r="AG320" s="51">
        <f t="shared" si="82"/>
        <v>5.0446959777157948E-5</v>
      </c>
      <c r="AH320" s="51">
        <f t="shared" si="83"/>
        <v>0</v>
      </c>
      <c r="AI320" s="51">
        <f>Table467910111213[[#This Row],[Column29]]/$D$350*0.5</f>
        <v>6.5487373320421798E-4</v>
      </c>
      <c r="AJ320" s="51">
        <f>Table467910111213[[#This Row],[Column29]]/$D$350*1.5</f>
        <v>1.9646211996126538E-3</v>
      </c>
    </row>
    <row r="321" spans="3:36">
      <c r="C321" s="51" t="s">
        <v>588</v>
      </c>
      <c r="D321" s="51">
        <v>1.4572611265553805E-4</v>
      </c>
      <c r="E321" s="51">
        <f>((LEN($C321)-LEN(SUBSTITUTE($C321,Table467910111213[[#Headers],[12_0]],"")))/4)*$D321</f>
        <v>0</v>
      </c>
      <c r="F321" s="51">
        <f>((LEN($C321)-LEN(SUBSTITUTE($C321,Table467910111213[[#Headers],[13_0]],"")))/4)*$D321</f>
        <v>0</v>
      </c>
      <c r="G321" s="51">
        <f>((LEN($C321)-LEN(SUBSTITUTE($C321,Table467910111213[[#Headers],[14_0]],"")))/4)*$D321</f>
        <v>0</v>
      </c>
      <c r="H321" s="51">
        <f>((LEN($C321)-LEN(SUBSTITUTE($C321,Table467910111213[[#Headers],[14_1]],"")))/4)*$D321</f>
        <v>0</v>
      </c>
      <c r="I321" s="51">
        <f>((LEN($C321)-LEN(SUBSTITUTE($C321,Table467910111213[[#Headers],[15_0]],"")))/4)*$D321</f>
        <v>0</v>
      </c>
      <c r="J321" s="51">
        <f>((LEN($C321)-LEN(SUBSTITUTE($C321,Table467910111213[[#Headers],[15_1]],"")))/4)*$D321</f>
        <v>0</v>
      </c>
      <c r="K321" s="51">
        <f>((LEN($C321)-LEN(SUBSTITUTE($C321,Table467910111213[[#Headers],[16_0]],"")))/4)*$D321</f>
        <v>1.4572611265553805E-4</v>
      </c>
      <c r="L321" s="51">
        <f>((LEN($C321)-LEN(SUBSTITUTE($C321,Table467910111213[[#Headers],[16_1]],"")))/4)*$D321</f>
        <v>0</v>
      </c>
      <c r="M321" s="51">
        <f>((LEN($C321)-LEN(SUBSTITUTE($C321,Table467910111213[[#Headers],[16_2]],"")))/4)*$D321</f>
        <v>0</v>
      </c>
      <c r="N321" s="51">
        <f>((LEN($C321)-LEN(SUBSTITUTE($C321,Table467910111213[[#Headers],[16_3]],"")))/4)*$D321</f>
        <v>0</v>
      </c>
      <c r="O321" s="51">
        <f>((LEN($C321)-LEN(SUBSTITUTE($C321,Table467910111213[[#Headers],[17_0]],"")))/4)*$D321</f>
        <v>0</v>
      </c>
      <c r="P321" s="51">
        <f>((LEN($C321)-LEN(SUBSTITUTE($C321,Table467910111213[[#Headers],[17_1]],"")))/4)*$D321</f>
        <v>0</v>
      </c>
      <c r="Q321" s="51">
        <f>((LEN($C321)-LEN(SUBSTITUTE($C321,Table467910111213[[#Headers],[18_0]],"")))/4)*$D321</f>
        <v>0</v>
      </c>
      <c r="R321" s="51">
        <f>((LEN($C321)-LEN(SUBSTITUTE($C321,Table467910111213[[#Headers],[18_1]],"")))/4)*$D321</f>
        <v>0</v>
      </c>
      <c r="S321" s="51">
        <f>((LEN($C321)-LEN(SUBSTITUTE($C321,Table467910111213[[#Headers],[18_2]],"")))/4)*$D321</f>
        <v>0</v>
      </c>
      <c r="T321" s="51">
        <f>((LEN($C321)-LEN(SUBSTITUTE($C321,Table467910111213[[#Headers],[18_3]],"")))/4)*$D321</f>
        <v>1.4572611265553805E-4</v>
      </c>
      <c r="U321" s="51">
        <f>((LEN($C321)-LEN(SUBSTITUTE($C321,Table467910111213[[#Headers],[18_4]],"")))/4)*$D321</f>
        <v>0</v>
      </c>
      <c r="V321" s="51">
        <f>((LEN($C321)-LEN(SUBSTITUTE($C321,Table467910111213[[#Headers],[18_5]],"")))/4)*$D321</f>
        <v>0</v>
      </c>
      <c r="W321" s="51">
        <f>((LEN($C321)-LEN(SUBSTITUTE($C321,Table467910111213[[#Headers],[19_1]],"")))/4)*$D321</f>
        <v>0</v>
      </c>
      <c r="X321" s="51">
        <f>((LEN($C321)-LEN(SUBSTITUTE($C321,Table467910111213[[#Headers],[20_0]],"")))/4)*$D321</f>
        <v>0</v>
      </c>
      <c r="Y321" s="51">
        <f>((LEN($C321)-LEN(SUBSTITUTE($C321,Table467910111213[[#Headers],[20_1]],"")))/4)*$D321</f>
        <v>0</v>
      </c>
      <c r="Z321" s="51">
        <f>((LEN($C321)-LEN(SUBSTITUTE($C321,Table467910111213[[#Headers],[20_2]],"")))/4)*$D321</f>
        <v>0</v>
      </c>
      <c r="AA321" s="51">
        <f>((LEN($C321)-LEN(SUBSTITUTE($C321,Table467910111213[[#Headers],[20_3]],"")))/4)*$D321</f>
        <v>0</v>
      </c>
      <c r="AB321" s="51">
        <f>((LEN($C321)-LEN(SUBSTITUTE($C321,Table467910111213[[#Headers],[20_4]],"")))/4)*$D321</f>
        <v>0</v>
      </c>
      <c r="AC321" s="51">
        <f>((LEN($C321)-LEN(SUBSTITUTE($C321,Table467910111213[[#Headers],[20_5]],"")))/4)*$D321</f>
        <v>0</v>
      </c>
      <c r="AD321" s="51">
        <f>((LEN($C321)-LEN(SUBSTITUTE($C321,Table467910111213[[#Headers],[22_0]],"")))/4)*$D321</f>
        <v>0</v>
      </c>
      <c r="AE321" s="51">
        <f>((LEN($C321)-LEN(SUBSTITUTE($C321,Table467910111213[[#Headers],[22_5]],"")))/4)*$D321</f>
        <v>0</v>
      </c>
      <c r="AF321" s="51">
        <f>((LEN($C321)-LEN(SUBSTITUTE($C321,Table467910111213[[#Headers],[22_6]],"")))/4)*$D321</f>
        <v>0</v>
      </c>
      <c r="AG321" s="51">
        <f t="shared" si="82"/>
        <v>1.4572611265553805E-4</v>
      </c>
      <c r="AH321" s="51">
        <f t="shared" si="83"/>
        <v>0</v>
      </c>
      <c r="AI321" s="51">
        <f>Table467910111213[[#This Row],[Column29]]/$D$350*0.5</f>
        <v>1.8917334927937859E-3</v>
      </c>
      <c r="AJ321" s="51">
        <f>Table467910111213[[#This Row],[Column29]]/$D$350*1.5</f>
        <v>5.6752004783813571E-3</v>
      </c>
    </row>
    <row r="322" spans="3:36">
      <c r="C322" s="51" t="s">
        <v>589</v>
      </c>
      <c r="D322" s="51">
        <v>4.3878255701688154E-4</v>
      </c>
      <c r="E322" s="51">
        <f>((LEN($C322)-LEN(SUBSTITUTE($C322,Table467910111213[[#Headers],[12_0]],"")))/4)*$D322</f>
        <v>0</v>
      </c>
      <c r="F322" s="51">
        <f>((LEN($C322)-LEN(SUBSTITUTE($C322,Table467910111213[[#Headers],[13_0]],"")))/4)*$D322</f>
        <v>0</v>
      </c>
      <c r="G322" s="51">
        <f>((LEN($C322)-LEN(SUBSTITUTE($C322,Table467910111213[[#Headers],[14_0]],"")))/4)*$D322</f>
        <v>0</v>
      </c>
      <c r="H322" s="51">
        <f>((LEN($C322)-LEN(SUBSTITUTE($C322,Table467910111213[[#Headers],[14_1]],"")))/4)*$D322</f>
        <v>0</v>
      </c>
      <c r="I322" s="51">
        <f>((LEN($C322)-LEN(SUBSTITUTE($C322,Table467910111213[[#Headers],[15_0]],"")))/4)*$D322</f>
        <v>0</v>
      </c>
      <c r="J322" s="51">
        <f>((LEN($C322)-LEN(SUBSTITUTE($C322,Table467910111213[[#Headers],[15_1]],"")))/4)*$D322</f>
        <v>0</v>
      </c>
      <c r="K322" s="51">
        <f>((LEN($C322)-LEN(SUBSTITUTE($C322,Table467910111213[[#Headers],[16_0]],"")))/4)*$D322</f>
        <v>4.3878255701688154E-4</v>
      </c>
      <c r="L322" s="51">
        <f>((LEN($C322)-LEN(SUBSTITUTE($C322,Table467910111213[[#Headers],[16_1]],"")))/4)*$D322</f>
        <v>0</v>
      </c>
      <c r="M322" s="51">
        <f>((LEN($C322)-LEN(SUBSTITUTE($C322,Table467910111213[[#Headers],[16_2]],"")))/4)*$D322</f>
        <v>0</v>
      </c>
      <c r="N322" s="51">
        <f>((LEN($C322)-LEN(SUBSTITUTE($C322,Table467910111213[[#Headers],[16_3]],"")))/4)*$D322</f>
        <v>0</v>
      </c>
      <c r="O322" s="51">
        <f>((LEN($C322)-LEN(SUBSTITUTE($C322,Table467910111213[[#Headers],[17_0]],"")))/4)*$D322</f>
        <v>0</v>
      </c>
      <c r="P322" s="51">
        <f>((LEN($C322)-LEN(SUBSTITUTE($C322,Table467910111213[[#Headers],[17_1]],"")))/4)*$D322</f>
        <v>0</v>
      </c>
      <c r="Q322" s="51">
        <f>((LEN($C322)-LEN(SUBSTITUTE($C322,Table467910111213[[#Headers],[18_0]],"")))/4)*$D322</f>
        <v>0</v>
      </c>
      <c r="R322" s="51">
        <f>((LEN($C322)-LEN(SUBSTITUTE($C322,Table467910111213[[#Headers],[18_1]],"")))/4)*$D322</f>
        <v>0</v>
      </c>
      <c r="S322" s="51">
        <f>((LEN($C322)-LEN(SUBSTITUTE($C322,Table467910111213[[#Headers],[18_2]],"")))/4)*$D322</f>
        <v>0</v>
      </c>
      <c r="T322" s="51">
        <f>((LEN($C322)-LEN(SUBSTITUTE($C322,Table467910111213[[#Headers],[18_3]],"")))/4)*$D322</f>
        <v>0</v>
      </c>
      <c r="U322" s="51">
        <f>((LEN($C322)-LEN(SUBSTITUTE($C322,Table467910111213[[#Headers],[18_4]],"")))/4)*$D322</f>
        <v>4.3878255701688154E-4</v>
      </c>
      <c r="V322" s="51">
        <f>((LEN($C322)-LEN(SUBSTITUTE($C322,Table467910111213[[#Headers],[18_5]],"")))/4)*$D322</f>
        <v>0</v>
      </c>
      <c r="W322" s="51">
        <f>((LEN($C322)-LEN(SUBSTITUTE($C322,Table467910111213[[#Headers],[19_1]],"")))/4)*$D322</f>
        <v>0</v>
      </c>
      <c r="X322" s="51">
        <f>((LEN($C322)-LEN(SUBSTITUTE($C322,Table467910111213[[#Headers],[20_0]],"")))/4)*$D322</f>
        <v>0</v>
      </c>
      <c r="Y322" s="51">
        <f>((LEN($C322)-LEN(SUBSTITUTE($C322,Table467910111213[[#Headers],[20_1]],"")))/4)*$D322</f>
        <v>0</v>
      </c>
      <c r="Z322" s="51">
        <f>((LEN($C322)-LEN(SUBSTITUTE($C322,Table467910111213[[#Headers],[20_2]],"")))/4)*$D322</f>
        <v>0</v>
      </c>
      <c r="AA322" s="51">
        <f>((LEN($C322)-LEN(SUBSTITUTE($C322,Table467910111213[[#Headers],[20_3]],"")))/4)*$D322</f>
        <v>0</v>
      </c>
      <c r="AB322" s="51">
        <f>((LEN($C322)-LEN(SUBSTITUTE($C322,Table467910111213[[#Headers],[20_4]],"")))/4)*$D322</f>
        <v>0</v>
      </c>
      <c r="AC322" s="51">
        <f>((LEN($C322)-LEN(SUBSTITUTE($C322,Table467910111213[[#Headers],[20_5]],"")))/4)*$D322</f>
        <v>0</v>
      </c>
      <c r="AD322" s="51">
        <f>((LEN($C322)-LEN(SUBSTITUTE($C322,Table467910111213[[#Headers],[22_0]],"")))/4)*$D322</f>
        <v>0</v>
      </c>
      <c r="AE322" s="51">
        <f>((LEN($C322)-LEN(SUBSTITUTE($C322,Table467910111213[[#Headers],[22_5]],"")))/4)*$D322</f>
        <v>0</v>
      </c>
      <c r="AF322" s="51">
        <f>((LEN($C322)-LEN(SUBSTITUTE($C322,Table467910111213[[#Headers],[22_6]],"")))/4)*$D322</f>
        <v>0</v>
      </c>
      <c r="AG322" s="51">
        <f t="shared" si="82"/>
        <v>4.3878255701688154E-4</v>
      </c>
      <c r="AH322" s="51">
        <f t="shared" si="83"/>
        <v>0</v>
      </c>
      <c r="AI322" s="51">
        <f>Table467910111213[[#This Row],[Column29]]/$D$350*0.5</f>
        <v>5.6960255374724636E-3</v>
      </c>
      <c r="AJ322" s="51">
        <f>Table467910111213[[#This Row],[Column29]]/$D$350*1.5</f>
        <v>1.7088076612417392E-2</v>
      </c>
    </row>
    <row r="323" spans="3:36">
      <c r="C323" s="51" t="s">
        <v>590</v>
      </c>
      <c r="D323" s="51">
        <v>3.1634626735897514E-4</v>
      </c>
      <c r="E323" s="51">
        <f>((LEN($C323)-LEN(SUBSTITUTE($C323,Table467910111213[[#Headers],[12_0]],"")))/4)*$D323</f>
        <v>0</v>
      </c>
      <c r="F323" s="51">
        <f>((LEN($C323)-LEN(SUBSTITUTE($C323,Table467910111213[[#Headers],[13_0]],"")))/4)*$D323</f>
        <v>0</v>
      </c>
      <c r="G323" s="51">
        <f>((LEN($C323)-LEN(SUBSTITUTE($C323,Table467910111213[[#Headers],[14_0]],"")))/4)*$D323</f>
        <v>0</v>
      </c>
      <c r="H323" s="51">
        <f>((LEN($C323)-LEN(SUBSTITUTE($C323,Table467910111213[[#Headers],[14_1]],"")))/4)*$D323</f>
        <v>0</v>
      </c>
      <c r="I323" s="51">
        <f>((LEN($C323)-LEN(SUBSTITUTE($C323,Table467910111213[[#Headers],[15_0]],"")))/4)*$D323</f>
        <v>0</v>
      </c>
      <c r="J323" s="51">
        <f>((LEN($C323)-LEN(SUBSTITUTE($C323,Table467910111213[[#Headers],[15_1]],"")))/4)*$D323</f>
        <v>0</v>
      </c>
      <c r="K323" s="51">
        <f>((LEN($C323)-LEN(SUBSTITUTE($C323,Table467910111213[[#Headers],[16_0]],"")))/4)*$D323</f>
        <v>3.1634626735897514E-4</v>
      </c>
      <c r="L323" s="51">
        <f>((LEN($C323)-LEN(SUBSTITUTE($C323,Table467910111213[[#Headers],[16_1]],"")))/4)*$D323</f>
        <v>0</v>
      </c>
      <c r="M323" s="51">
        <f>((LEN($C323)-LEN(SUBSTITUTE($C323,Table467910111213[[#Headers],[16_2]],"")))/4)*$D323</f>
        <v>0</v>
      </c>
      <c r="N323" s="51">
        <f>((LEN($C323)-LEN(SUBSTITUTE($C323,Table467910111213[[#Headers],[16_3]],"")))/4)*$D323</f>
        <v>0</v>
      </c>
      <c r="O323" s="51">
        <f>((LEN($C323)-LEN(SUBSTITUTE($C323,Table467910111213[[#Headers],[17_0]],"")))/4)*$D323</f>
        <v>0</v>
      </c>
      <c r="P323" s="51">
        <f>((LEN($C323)-LEN(SUBSTITUTE($C323,Table467910111213[[#Headers],[17_1]],"")))/4)*$D323</f>
        <v>0</v>
      </c>
      <c r="Q323" s="51">
        <f>((LEN($C323)-LEN(SUBSTITUTE($C323,Table467910111213[[#Headers],[18_0]],"")))/4)*$D323</f>
        <v>0</v>
      </c>
      <c r="R323" s="51">
        <f>((LEN($C323)-LEN(SUBSTITUTE($C323,Table467910111213[[#Headers],[18_1]],"")))/4)*$D323</f>
        <v>0</v>
      </c>
      <c r="S323" s="51">
        <f>((LEN($C323)-LEN(SUBSTITUTE($C323,Table467910111213[[#Headers],[18_2]],"")))/4)*$D323</f>
        <v>0</v>
      </c>
      <c r="T323" s="51">
        <f>((LEN($C323)-LEN(SUBSTITUTE($C323,Table467910111213[[#Headers],[18_3]],"")))/4)*$D323</f>
        <v>0</v>
      </c>
      <c r="U323" s="51">
        <f>((LEN($C323)-LEN(SUBSTITUTE($C323,Table467910111213[[#Headers],[18_4]],"")))/4)*$D323</f>
        <v>0</v>
      </c>
      <c r="V323" s="51">
        <f>((LEN($C323)-LEN(SUBSTITUTE($C323,Table467910111213[[#Headers],[18_5]],"")))/4)*$D323</f>
        <v>0</v>
      </c>
      <c r="W323" s="51">
        <f>((LEN($C323)-LEN(SUBSTITUTE($C323,Table467910111213[[#Headers],[19_1]],"")))/4)*$D323</f>
        <v>0</v>
      </c>
      <c r="X323" s="51">
        <f>((LEN($C323)-LEN(SUBSTITUTE($C323,Table467910111213[[#Headers],[20_0]],"")))/4)*$D323</f>
        <v>0</v>
      </c>
      <c r="Y323" s="51">
        <f>((LEN($C323)-LEN(SUBSTITUTE($C323,Table467910111213[[#Headers],[20_1]],"")))/4)*$D323</f>
        <v>0</v>
      </c>
      <c r="Z323" s="51">
        <f>((LEN($C323)-LEN(SUBSTITUTE($C323,Table467910111213[[#Headers],[20_2]],"")))/4)*$D323</f>
        <v>0</v>
      </c>
      <c r="AA323" s="51">
        <f>((LEN($C323)-LEN(SUBSTITUTE($C323,Table467910111213[[#Headers],[20_3]],"")))/4)*$D323</f>
        <v>0</v>
      </c>
      <c r="AB323" s="51">
        <f>((LEN($C323)-LEN(SUBSTITUTE($C323,Table467910111213[[#Headers],[20_4]],"")))/4)*$D323</f>
        <v>3.1634626735897514E-4</v>
      </c>
      <c r="AC323" s="51">
        <f>((LEN($C323)-LEN(SUBSTITUTE($C323,Table467910111213[[#Headers],[20_5]],"")))/4)*$D323</f>
        <v>0</v>
      </c>
      <c r="AD323" s="51">
        <f>((LEN($C323)-LEN(SUBSTITUTE($C323,Table467910111213[[#Headers],[22_0]],"")))/4)*$D323</f>
        <v>0</v>
      </c>
      <c r="AE323" s="51">
        <f>((LEN($C323)-LEN(SUBSTITUTE($C323,Table467910111213[[#Headers],[22_5]],"")))/4)*$D323</f>
        <v>0</v>
      </c>
      <c r="AF323" s="51">
        <f>((LEN($C323)-LEN(SUBSTITUTE($C323,Table467910111213[[#Headers],[22_6]],"")))/4)*$D323</f>
        <v>0</v>
      </c>
      <c r="AG323" s="51">
        <f t="shared" si="82"/>
        <v>3.1634626735897514E-4</v>
      </c>
      <c r="AH323" s="51">
        <f t="shared" si="83"/>
        <v>0</v>
      </c>
      <c r="AI323" s="51">
        <f>Table467910111213[[#This Row],[Column29]]/$D$350*0.5</f>
        <v>4.1066272775548999E-3</v>
      </c>
      <c r="AJ323" s="51">
        <f>Table467910111213[[#This Row],[Column29]]/$D$350*1.5</f>
        <v>1.2319881832664699E-2</v>
      </c>
    </row>
    <row r="324" spans="3:36">
      <c r="C324" s="51" t="s">
        <v>591</v>
      </c>
      <c r="D324" s="51">
        <v>8.8228610152454989E-3</v>
      </c>
      <c r="E324" s="51">
        <f>((LEN($C324)-LEN(SUBSTITUTE($C324,Table467910111213[[#Headers],[12_0]],"")))/4)*$D324</f>
        <v>0</v>
      </c>
      <c r="F324" s="51">
        <f>((LEN($C324)-LEN(SUBSTITUTE($C324,Table467910111213[[#Headers],[13_0]],"")))/4)*$D324</f>
        <v>0</v>
      </c>
      <c r="G324" s="51">
        <f>((LEN($C324)-LEN(SUBSTITUTE($C324,Table467910111213[[#Headers],[14_0]],"")))/4)*$D324</f>
        <v>0</v>
      </c>
      <c r="H324" s="51">
        <f>((LEN($C324)-LEN(SUBSTITUTE($C324,Table467910111213[[#Headers],[14_1]],"")))/4)*$D324</f>
        <v>0</v>
      </c>
      <c r="I324" s="51">
        <f>((LEN($C324)-LEN(SUBSTITUTE($C324,Table467910111213[[#Headers],[15_0]],"")))/4)*$D324</f>
        <v>0</v>
      </c>
      <c r="J324" s="51">
        <f>((LEN($C324)-LEN(SUBSTITUTE($C324,Table467910111213[[#Headers],[15_1]],"")))/4)*$D324</f>
        <v>0</v>
      </c>
      <c r="K324" s="51">
        <f>((LEN($C324)-LEN(SUBSTITUTE($C324,Table467910111213[[#Headers],[16_0]],"")))/4)*$D324</f>
        <v>8.8228610152454989E-3</v>
      </c>
      <c r="L324" s="51">
        <f>((LEN($C324)-LEN(SUBSTITUTE($C324,Table467910111213[[#Headers],[16_1]],"")))/4)*$D324</f>
        <v>0</v>
      </c>
      <c r="M324" s="51">
        <f>((LEN($C324)-LEN(SUBSTITUTE($C324,Table467910111213[[#Headers],[16_2]],"")))/4)*$D324</f>
        <v>0</v>
      </c>
      <c r="N324" s="51">
        <f>((LEN($C324)-LEN(SUBSTITUTE($C324,Table467910111213[[#Headers],[16_3]],"")))/4)*$D324</f>
        <v>0</v>
      </c>
      <c r="O324" s="51">
        <f>((LEN($C324)-LEN(SUBSTITUTE($C324,Table467910111213[[#Headers],[17_0]],"")))/4)*$D324</f>
        <v>0</v>
      </c>
      <c r="P324" s="51">
        <f>((LEN($C324)-LEN(SUBSTITUTE($C324,Table467910111213[[#Headers],[17_1]],"")))/4)*$D324</f>
        <v>0</v>
      </c>
      <c r="Q324" s="51">
        <f>((LEN($C324)-LEN(SUBSTITUTE($C324,Table467910111213[[#Headers],[18_0]],"")))/4)*$D324</f>
        <v>0</v>
      </c>
      <c r="R324" s="51">
        <f>((LEN($C324)-LEN(SUBSTITUTE($C324,Table467910111213[[#Headers],[18_1]],"")))/4)*$D324</f>
        <v>0</v>
      </c>
      <c r="S324" s="51">
        <f>((LEN($C324)-LEN(SUBSTITUTE($C324,Table467910111213[[#Headers],[18_2]],"")))/4)*$D324</f>
        <v>0</v>
      </c>
      <c r="T324" s="51">
        <f>((LEN($C324)-LEN(SUBSTITUTE($C324,Table467910111213[[#Headers],[18_3]],"")))/4)*$D324</f>
        <v>0</v>
      </c>
      <c r="U324" s="51">
        <f>((LEN($C324)-LEN(SUBSTITUTE($C324,Table467910111213[[#Headers],[18_4]],"")))/4)*$D324</f>
        <v>0</v>
      </c>
      <c r="V324" s="51">
        <f>((LEN($C324)-LEN(SUBSTITUTE($C324,Table467910111213[[#Headers],[18_5]],"")))/4)*$D324</f>
        <v>0</v>
      </c>
      <c r="W324" s="51">
        <f>((LEN($C324)-LEN(SUBSTITUTE($C324,Table467910111213[[#Headers],[19_1]],"")))/4)*$D324</f>
        <v>0</v>
      </c>
      <c r="X324" s="51">
        <f>((LEN($C324)-LEN(SUBSTITUTE($C324,Table467910111213[[#Headers],[20_0]],"")))/4)*$D324</f>
        <v>0</v>
      </c>
      <c r="Y324" s="51">
        <f>((LEN($C324)-LEN(SUBSTITUTE($C324,Table467910111213[[#Headers],[20_1]],"")))/4)*$D324</f>
        <v>0</v>
      </c>
      <c r="Z324" s="51">
        <f>((LEN($C324)-LEN(SUBSTITUTE($C324,Table467910111213[[#Headers],[20_2]],"")))/4)*$D324</f>
        <v>0</v>
      </c>
      <c r="AA324" s="51">
        <f>((LEN($C324)-LEN(SUBSTITUTE($C324,Table467910111213[[#Headers],[20_3]],"")))/4)*$D324</f>
        <v>0</v>
      </c>
      <c r="AB324" s="51">
        <f>((LEN($C324)-LEN(SUBSTITUTE($C324,Table467910111213[[#Headers],[20_4]],"")))/4)*$D324</f>
        <v>0</v>
      </c>
      <c r="AC324" s="51">
        <f>((LEN($C324)-LEN(SUBSTITUTE($C324,Table467910111213[[#Headers],[20_5]],"")))/4)*$D324</f>
        <v>8.8228610152454989E-3</v>
      </c>
      <c r="AD324" s="51">
        <f>((LEN($C324)-LEN(SUBSTITUTE($C324,Table467910111213[[#Headers],[22_0]],"")))/4)*$D324</f>
        <v>0</v>
      </c>
      <c r="AE324" s="51">
        <f>((LEN($C324)-LEN(SUBSTITUTE($C324,Table467910111213[[#Headers],[22_5]],"")))/4)*$D324</f>
        <v>0</v>
      </c>
      <c r="AF324" s="51">
        <f>((LEN($C324)-LEN(SUBSTITUTE($C324,Table467910111213[[#Headers],[22_6]],"")))/4)*$D324</f>
        <v>0</v>
      </c>
      <c r="AG324" s="51">
        <f t="shared" si="82"/>
        <v>8.8228610152454989E-3</v>
      </c>
      <c r="AH324" s="51">
        <f t="shared" si="83"/>
        <v>0</v>
      </c>
      <c r="AI324" s="51">
        <f>Table467910111213[[#This Row],[Column29]]/$D$350*0.5</f>
        <v>0.11453336248841607</v>
      </c>
      <c r="AJ324" s="51">
        <f>Table467910111213[[#This Row],[Column29]]/$D$350*1.5</f>
        <v>0.34360008746524823</v>
      </c>
    </row>
    <row r="325" spans="3:36">
      <c r="C325" s="51" t="s">
        <v>592</v>
      </c>
      <c r="D325" s="51">
        <v>1.0440601340365124E-3</v>
      </c>
      <c r="E325" s="51">
        <f>((LEN($C325)-LEN(SUBSTITUTE($C325,Table467910111213[[#Headers],[12_0]],"")))/4)*$D325</f>
        <v>0</v>
      </c>
      <c r="F325" s="51">
        <f>((LEN($C325)-LEN(SUBSTITUTE($C325,Table467910111213[[#Headers],[13_0]],"")))/4)*$D325</f>
        <v>0</v>
      </c>
      <c r="G325" s="51">
        <f>((LEN($C325)-LEN(SUBSTITUTE($C325,Table467910111213[[#Headers],[14_0]],"")))/4)*$D325</f>
        <v>0</v>
      </c>
      <c r="H325" s="51">
        <f>((LEN($C325)-LEN(SUBSTITUTE($C325,Table467910111213[[#Headers],[14_1]],"")))/4)*$D325</f>
        <v>0</v>
      </c>
      <c r="I325" s="51">
        <f>((LEN($C325)-LEN(SUBSTITUTE($C325,Table467910111213[[#Headers],[15_0]],"")))/4)*$D325</f>
        <v>0</v>
      </c>
      <c r="J325" s="51">
        <f>((LEN($C325)-LEN(SUBSTITUTE($C325,Table467910111213[[#Headers],[15_1]],"")))/4)*$D325</f>
        <v>0</v>
      </c>
      <c r="K325" s="51">
        <f>((LEN($C325)-LEN(SUBSTITUTE($C325,Table467910111213[[#Headers],[16_0]],"")))/4)*$D325</f>
        <v>1.0440601340365124E-3</v>
      </c>
      <c r="L325" s="51">
        <f>((LEN($C325)-LEN(SUBSTITUTE($C325,Table467910111213[[#Headers],[16_1]],"")))/4)*$D325</f>
        <v>0</v>
      </c>
      <c r="M325" s="51">
        <f>((LEN($C325)-LEN(SUBSTITUTE($C325,Table467910111213[[#Headers],[16_2]],"")))/4)*$D325</f>
        <v>0</v>
      </c>
      <c r="N325" s="51">
        <f>((LEN($C325)-LEN(SUBSTITUTE($C325,Table467910111213[[#Headers],[16_3]],"")))/4)*$D325</f>
        <v>0</v>
      </c>
      <c r="O325" s="51">
        <f>((LEN($C325)-LEN(SUBSTITUTE($C325,Table467910111213[[#Headers],[17_0]],"")))/4)*$D325</f>
        <v>0</v>
      </c>
      <c r="P325" s="51">
        <f>((LEN($C325)-LEN(SUBSTITUTE($C325,Table467910111213[[#Headers],[17_1]],"")))/4)*$D325</f>
        <v>0</v>
      </c>
      <c r="Q325" s="51">
        <f>((LEN($C325)-LEN(SUBSTITUTE($C325,Table467910111213[[#Headers],[18_0]],"")))/4)*$D325</f>
        <v>0</v>
      </c>
      <c r="R325" s="51">
        <f>((LEN($C325)-LEN(SUBSTITUTE($C325,Table467910111213[[#Headers],[18_1]],"")))/4)*$D325</f>
        <v>0</v>
      </c>
      <c r="S325" s="51">
        <f>((LEN($C325)-LEN(SUBSTITUTE($C325,Table467910111213[[#Headers],[18_2]],"")))/4)*$D325</f>
        <v>0</v>
      </c>
      <c r="T325" s="51">
        <f>((LEN($C325)-LEN(SUBSTITUTE($C325,Table467910111213[[#Headers],[18_3]],"")))/4)*$D325</f>
        <v>0</v>
      </c>
      <c r="U325" s="51">
        <f>((LEN($C325)-LEN(SUBSTITUTE($C325,Table467910111213[[#Headers],[18_4]],"")))/4)*$D325</f>
        <v>0</v>
      </c>
      <c r="V325" s="51">
        <f>((LEN($C325)-LEN(SUBSTITUTE($C325,Table467910111213[[#Headers],[18_5]],"")))/4)*$D325</f>
        <v>0</v>
      </c>
      <c r="W325" s="51">
        <f>((LEN($C325)-LEN(SUBSTITUTE($C325,Table467910111213[[#Headers],[19_1]],"")))/4)*$D325</f>
        <v>0</v>
      </c>
      <c r="X325" s="51">
        <f>((LEN($C325)-LEN(SUBSTITUTE($C325,Table467910111213[[#Headers],[20_0]],"")))/4)*$D325</f>
        <v>0</v>
      </c>
      <c r="Y325" s="51">
        <f>((LEN($C325)-LEN(SUBSTITUTE($C325,Table467910111213[[#Headers],[20_1]],"")))/4)*$D325</f>
        <v>0</v>
      </c>
      <c r="Z325" s="51">
        <f>((LEN($C325)-LEN(SUBSTITUTE($C325,Table467910111213[[#Headers],[20_2]],"")))/4)*$D325</f>
        <v>0</v>
      </c>
      <c r="AA325" s="51">
        <f>((LEN($C325)-LEN(SUBSTITUTE($C325,Table467910111213[[#Headers],[20_3]],"")))/4)*$D325</f>
        <v>0</v>
      </c>
      <c r="AB325" s="51">
        <f>((LEN($C325)-LEN(SUBSTITUTE($C325,Table467910111213[[#Headers],[20_4]],"")))/4)*$D325</f>
        <v>0</v>
      </c>
      <c r="AC325" s="51">
        <f>((LEN($C325)-LEN(SUBSTITUTE($C325,Table467910111213[[#Headers],[20_5]],"")))/4)*$D325</f>
        <v>0</v>
      </c>
      <c r="AD325" s="51">
        <f>((LEN($C325)-LEN(SUBSTITUTE($C325,Table467910111213[[#Headers],[22_0]],"")))/4)*$D325</f>
        <v>0</v>
      </c>
      <c r="AE325" s="51">
        <f>((LEN($C325)-LEN(SUBSTITUTE($C325,Table467910111213[[#Headers],[22_5]],"")))/4)*$D325</f>
        <v>0</v>
      </c>
      <c r="AF325" s="51">
        <f>((LEN($C325)-LEN(SUBSTITUTE($C325,Table467910111213[[#Headers],[22_6]],"")))/4)*$D325</f>
        <v>1.0440601340365124E-3</v>
      </c>
      <c r="AG325" s="51">
        <f t="shared" si="82"/>
        <v>1.0440601340365124E-3</v>
      </c>
      <c r="AH325" s="51">
        <f t="shared" si="83"/>
        <v>0</v>
      </c>
      <c r="AI325" s="51">
        <f>Table467910111213[[#This Row],[Column29]]/$D$350*0.5</f>
        <v>1.3553394707757481E-2</v>
      </c>
      <c r="AJ325" s="51">
        <f>Table467910111213[[#This Row],[Column29]]/$D$350*1.5</f>
        <v>4.0660184123272443E-2</v>
      </c>
    </row>
    <row r="326" spans="3:36">
      <c r="C326" s="51" t="s">
        <v>593</v>
      </c>
      <c r="D326" s="51">
        <v>1.2392592163315463E-4</v>
      </c>
      <c r="E326" s="51">
        <f>((LEN($C326)-LEN(SUBSTITUTE($C326,Table467910111213[[#Headers],[12_0]],"")))/4)*$D326</f>
        <v>0</v>
      </c>
      <c r="F326" s="51">
        <f>((LEN($C326)-LEN(SUBSTITUTE($C326,Table467910111213[[#Headers],[13_0]],"")))/4)*$D326</f>
        <v>0</v>
      </c>
      <c r="G326" s="51">
        <f>((LEN($C326)-LEN(SUBSTITUTE($C326,Table467910111213[[#Headers],[14_0]],"")))/4)*$D326</f>
        <v>0</v>
      </c>
      <c r="H326" s="51">
        <f>((LEN($C326)-LEN(SUBSTITUTE($C326,Table467910111213[[#Headers],[14_1]],"")))/4)*$D326</f>
        <v>0</v>
      </c>
      <c r="I326" s="51">
        <f>((LEN($C326)-LEN(SUBSTITUTE($C326,Table467910111213[[#Headers],[15_0]],"")))/4)*$D326</f>
        <v>0</v>
      </c>
      <c r="J326" s="51">
        <f>((LEN($C326)-LEN(SUBSTITUTE($C326,Table467910111213[[#Headers],[15_1]],"")))/4)*$D326</f>
        <v>0</v>
      </c>
      <c r="K326" s="51">
        <f>((LEN($C326)-LEN(SUBSTITUTE($C326,Table467910111213[[#Headers],[16_0]],"")))/4)*$D326</f>
        <v>0</v>
      </c>
      <c r="L326" s="51">
        <f>((LEN($C326)-LEN(SUBSTITUTE($C326,Table467910111213[[#Headers],[16_1]],"")))/4)*$D326</f>
        <v>2.4785184326630926E-4</v>
      </c>
      <c r="M326" s="51">
        <f>((LEN($C326)-LEN(SUBSTITUTE($C326,Table467910111213[[#Headers],[16_2]],"")))/4)*$D326</f>
        <v>0</v>
      </c>
      <c r="N326" s="51">
        <f>((LEN($C326)-LEN(SUBSTITUTE($C326,Table467910111213[[#Headers],[16_3]],"")))/4)*$D326</f>
        <v>0</v>
      </c>
      <c r="O326" s="51">
        <f>((LEN($C326)-LEN(SUBSTITUTE($C326,Table467910111213[[#Headers],[17_0]],"")))/4)*$D326</f>
        <v>0</v>
      </c>
      <c r="P326" s="51">
        <f>((LEN($C326)-LEN(SUBSTITUTE($C326,Table467910111213[[#Headers],[17_1]],"")))/4)*$D326</f>
        <v>0</v>
      </c>
      <c r="Q326" s="51">
        <f>((LEN($C326)-LEN(SUBSTITUTE($C326,Table467910111213[[#Headers],[18_0]],"")))/4)*$D326</f>
        <v>0</v>
      </c>
      <c r="R326" s="51">
        <f>((LEN($C326)-LEN(SUBSTITUTE($C326,Table467910111213[[#Headers],[18_1]],"")))/4)*$D326</f>
        <v>0</v>
      </c>
      <c r="S326" s="51">
        <f>((LEN($C326)-LEN(SUBSTITUTE($C326,Table467910111213[[#Headers],[18_2]],"")))/4)*$D326</f>
        <v>0</v>
      </c>
      <c r="T326" s="51">
        <f>((LEN($C326)-LEN(SUBSTITUTE($C326,Table467910111213[[#Headers],[18_3]],"")))/4)*$D326</f>
        <v>0</v>
      </c>
      <c r="U326" s="51">
        <f>((LEN($C326)-LEN(SUBSTITUTE($C326,Table467910111213[[#Headers],[18_4]],"")))/4)*$D326</f>
        <v>0</v>
      </c>
      <c r="V326" s="51">
        <f>((LEN($C326)-LEN(SUBSTITUTE($C326,Table467910111213[[#Headers],[18_5]],"")))/4)*$D326</f>
        <v>0</v>
      </c>
      <c r="W326" s="51">
        <f>((LEN($C326)-LEN(SUBSTITUTE($C326,Table467910111213[[#Headers],[19_1]],"")))/4)*$D326</f>
        <v>0</v>
      </c>
      <c r="X326" s="51">
        <f>((LEN($C326)-LEN(SUBSTITUTE($C326,Table467910111213[[#Headers],[20_0]],"")))/4)*$D326</f>
        <v>0</v>
      </c>
      <c r="Y326" s="51">
        <f>((LEN($C326)-LEN(SUBSTITUTE($C326,Table467910111213[[#Headers],[20_1]],"")))/4)*$D326</f>
        <v>0</v>
      </c>
      <c r="Z326" s="51">
        <f>((LEN($C326)-LEN(SUBSTITUTE($C326,Table467910111213[[#Headers],[20_2]],"")))/4)*$D326</f>
        <v>0</v>
      </c>
      <c r="AA326" s="51">
        <f>((LEN($C326)-LEN(SUBSTITUTE($C326,Table467910111213[[#Headers],[20_3]],"")))/4)*$D326</f>
        <v>0</v>
      </c>
      <c r="AB326" s="51">
        <f>((LEN($C326)-LEN(SUBSTITUTE($C326,Table467910111213[[#Headers],[20_4]],"")))/4)*$D326</f>
        <v>0</v>
      </c>
      <c r="AC326" s="51">
        <f>((LEN($C326)-LEN(SUBSTITUTE($C326,Table467910111213[[#Headers],[20_5]],"")))/4)*$D326</f>
        <v>0</v>
      </c>
      <c r="AD326" s="51">
        <f>((LEN($C326)-LEN(SUBSTITUTE($C326,Table467910111213[[#Headers],[22_0]],"")))/4)*$D326</f>
        <v>0</v>
      </c>
      <c r="AE326" s="51">
        <f>((LEN($C326)-LEN(SUBSTITUTE($C326,Table467910111213[[#Headers],[22_5]],"")))/4)*$D326</f>
        <v>0</v>
      </c>
      <c r="AF326" s="51">
        <f>((LEN($C326)-LEN(SUBSTITUTE($C326,Table467910111213[[#Headers],[22_6]],"")))/4)*$D326</f>
        <v>0</v>
      </c>
      <c r="AG326" s="51">
        <f t="shared" si="82"/>
        <v>1.2392592163315463E-4</v>
      </c>
      <c r="AH326" s="51">
        <f t="shared" si="83"/>
        <v>0</v>
      </c>
      <c r="AI326" s="51">
        <f>Table467910111213[[#This Row],[Column29]]/$D$350*0.5</f>
        <v>1.6087358147878746E-3</v>
      </c>
      <c r="AJ326" s="51">
        <f>Table467910111213[[#This Row],[Column29]]/$D$350*1.5</f>
        <v>4.8262074443636239E-3</v>
      </c>
    </row>
    <row r="327" spans="3:36">
      <c r="C327" s="51" t="s">
        <v>594</v>
      </c>
      <c r="D327" s="51">
        <v>1.3974466733954112E-3</v>
      </c>
      <c r="E327" s="51">
        <f>((LEN($C327)-LEN(SUBSTITUTE($C327,Table467910111213[[#Headers],[12_0]],"")))/4)*$D327</f>
        <v>0</v>
      </c>
      <c r="F327" s="51">
        <f>((LEN($C327)-LEN(SUBSTITUTE($C327,Table467910111213[[#Headers],[13_0]],"")))/4)*$D327</f>
        <v>0</v>
      </c>
      <c r="G327" s="51">
        <f>((LEN($C327)-LEN(SUBSTITUTE($C327,Table467910111213[[#Headers],[14_0]],"")))/4)*$D327</f>
        <v>0</v>
      </c>
      <c r="H327" s="51">
        <f>((LEN($C327)-LEN(SUBSTITUTE($C327,Table467910111213[[#Headers],[14_1]],"")))/4)*$D327</f>
        <v>0</v>
      </c>
      <c r="I327" s="51">
        <f>((LEN($C327)-LEN(SUBSTITUTE($C327,Table467910111213[[#Headers],[15_0]],"")))/4)*$D327</f>
        <v>0</v>
      </c>
      <c r="J327" s="51">
        <f>((LEN($C327)-LEN(SUBSTITUTE($C327,Table467910111213[[#Headers],[15_1]],"")))/4)*$D327</f>
        <v>0</v>
      </c>
      <c r="K327" s="51">
        <f>((LEN($C327)-LEN(SUBSTITUTE($C327,Table467910111213[[#Headers],[16_0]],"")))/4)*$D327</f>
        <v>0</v>
      </c>
      <c r="L327" s="51">
        <f>((LEN($C327)-LEN(SUBSTITUTE($C327,Table467910111213[[#Headers],[16_1]],"")))/4)*$D327</f>
        <v>1.3974466733954112E-3</v>
      </c>
      <c r="M327" s="51">
        <f>((LEN($C327)-LEN(SUBSTITUTE($C327,Table467910111213[[#Headers],[16_2]],"")))/4)*$D327</f>
        <v>0</v>
      </c>
      <c r="N327" s="51">
        <f>((LEN($C327)-LEN(SUBSTITUTE($C327,Table467910111213[[#Headers],[16_3]],"")))/4)*$D327</f>
        <v>0</v>
      </c>
      <c r="O327" s="51">
        <f>((LEN($C327)-LEN(SUBSTITUTE($C327,Table467910111213[[#Headers],[17_0]],"")))/4)*$D327</f>
        <v>0</v>
      </c>
      <c r="P327" s="51">
        <f>((LEN($C327)-LEN(SUBSTITUTE($C327,Table467910111213[[#Headers],[17_1]],"")))/4)*$D327</f>
        <v>0</v>
      </c>
      <c r="Q327" s="51">
        <f>((LEN($C327)-LEN(SUBSTITUTE($C327,Table467910111213[[#Headers],[18_0]],"")))/4)*$D327</f>
        <v>0</v>
      </c>
      <c r="R327" s="51">
        <f>((LEN($C327)-LEN(SUBSTITUTE($C327,Table467910111213[[#Headers],[18_1]],"")))/4)*$D327</f>
        <v>0</v>
      </c>
      <c r="S327" s="51">
        <f>((LEN($C327)-LEN(SUBSTITUTE($C327,Table467910111213[[#Headers],[18_2]],"")))/4)*$D327</f>
        <v>0</v>
      </c>
      <c r="T327" s="51">
        <f>((LEN($C327)-LEN(SUBSTITUTE($C327,Table467910111213[[#Headers],[18_3]],"")))/4)*$D327</f>
        <v>0</v>
      </c>
      <c r="U327" s="51">
        <f>((LEN($C327)-LEN(SUBSTITUTE($C327,Table467910111213[[#Headers],[18_4]],"")))/4)*$D327</f>
        <v>0</v>
      </c>
      <c r="V327" s="51">
        <f>((LEN($C327)-LEN(SUBSTITUTE($C327,Table467910111213[[#Headers],[18_5]],"")))/4)*$D327</f>
        <v>0</v>
      </c>
      <c r="W327" s="51">
        <f>((LEN($C327)-LEN(SUBSTITUTE($C327,Table467910111213[[#Headers],[19_1]],"")))/4)*$D327</f>
        <v>0</v>
      </c>
      <c r="X327" s="51">
        <f>((LEN($C327)-LEN(SUBSTITUTE($C327,Table467910111213[[#Headers],[20_0]],"")))/4)*$D327</f>
        <v>0</v>
      </c>
      <c r="Y327" s="51">
        <f>((LEN($C327)-LEN(SUBSTITUTE($C327,Table467910111213[[#Headers],[20_1]],"")))/4)*$D327</f>
        <v>0</v>
      </c>
      <c r="Z327" s="51">
        <f>((LEN($C327)-LEN(SUBSTITUTE($C327,Table467910111213[[#Headers],[20_2]],"")))/4)*$D327</f>
        <v>0</v>
      </c>
      <c r="AA327" s="51">
        <f>((LEN($C327)-LEN(SUBSTITUTE($C327,Table467910111213[[#Headers],[20_3]],"")))/4)*$D327</f>
        <v>0</v>
      </c>
      <c r="AB327" s="51">
        <f>((LEN($C327)-LEN(SUBSTITUTE($C327,Table467910111213[[#Headers],[20_4]],"")))/4)*$D327</f>
        <v>0</v>
      </c>
      <c r="AC327" s="51">
        <f>((LEN($C327)-LEN(SUBSTITUTE($C327,Table467910111213[[#Headers],[20_5]],"")))/4)*$D327</f>
        <v>1.3974466733954112E-3</v>
      </c>
      <c r="AD327" s="51">
        <f>((LEN($C327)-LEN(SUBSTITUTE($C327,Table467910111213[[#Headers],[22_0]],"")))/4)*$D327</f>
        <v>0</v>
      </c>
      <c r="AE327" s="51">
        <f>((LEN($C327)-LEN(SUBSTITUTE($C327,Table467910111213[[#Headers],[22_5]],"")))/4)*$D327</f>
        <v>0</v>
      </c>
      <c r="AF327" s="51">
        <f>((LEN($C327)-LEN(SUBSTITUTE($C327,Table467910111213[[#Headers],[22_6]],"")))/4)*$D327</f>
        <v>0</v>
      </c>
      <c r="AG327" s="51">
        <f t="shared" si="82"/>
        <v>1.3974466733954112E-3</v>
      </c>
      <c r="AH327" s="51">
        <f t="shared" si="83"/>
        <v>0</v>
      </c>
      <c r="AI327" s="51">
        <f>Table467910111213[[#This Row],[Column29]]/$D$350*0.5</f>
        <v>1.8140857724683792E-2</v>
      </c>
      <c r="AJ327" s="51">
        <f>Table467910111213[[#This Row],[Column29]]/$D$350*1.5</f>
        <v>5.4422573174051372E-2</v>
      </c>
    </row>
    <row r="328" spans="3:36">
      <c r="C328" s="51" t="s">
        <v>595</v>
      </c>
      <c r="D328" s="51">
        <v>2.1602528317975474E-4</v>
      </c>
      <c r="E328" s="51">
        <f>((LEN($C328)-LEN(SUBSTITUTE($C328,Table467910111213[[#Headers],[12_0]],"")))/4)*$D328</f>
        <v>0</v>
      </c>
      <c r="F328" s="51">
        <f>((LEN($C328)-LEN(SUBSTITUTE($C328,Table467910111213[[#Headers],[13_0]],"")))/4)*$D328</f>
        <v>0</v>
      </c>
      <c r="G328" s="51">
        <f>((LEN($C328)-LEN(SUBSTITUTE($C328,Table467910111213[[#Headers],[14_0]],"")))/4)*$D328</f>
        <v>0</v>
      </c>
      <c r="H328" s="51">
        <f>((LEN($C328)-LEN(SUBSTITUTE($C328,Table467910111213[[#Headers],[14_1]],"")))/4)*$D328</f>
        <v>0</v>
      </c>
      <c r="I328" s="51">
        <f>((LEN($C328)-LEN(SUBSTITUTE($C328,Table467910111213[[#Headers],[15_0]],"")))/4)*$D328</f>
        <v>0</v>
      </c>
      <c r="J328" s="51">
        <f>((LEN($C328)-LEN(SUBSTITUTE($C328,Table467910111213[[#Headers],[15_1]],"")))/4)*$D328</f>
        <v>0</v>
      </c>
      <c r="K328" s="51">
        <f>((LEN($C328)-LEN(SUBSTITUTE($C328,Table467910111213[[#Headers],[16_0]],"")))/4)*$D328</f>
        <v>0</v>
      </c>
      <c r="L328" s="51">
        <f>((LEN($C328)-LEN(SUBSTITUTE($C328,Table467910111213[[#Headers],[16_1]],"")))/4)*$D328</f>
        <v>2.1602528317975474E-4</v>
      </c>
      <c r="M328" s="51">
        <f>((LEN($C328)-LEN(SUBSTITUTE($C328,Table467910111213[[#Headers],[16_2]],"")))/4)*$D328</f>
        <v>0</v>
      </c>
      <c r="N328" s="51">
        <f>((LEN($C328)-LEN(SUBSTITUTE($C328,Table467910111213[[#Headers],[16_3]],"")))/4)*$D328</f>
        <v>0</v>
      </c>
      <c r="O328" s="51">
        <f>((LEN($C328)-LEN(SUBSTITUTE($C328,Table467910111213[[#Headers],[17_0]],"")))/4)*$D328</f>
        <v>0</v>
      </c>
      <c r="P328" s="51">
        <f>((LEN($C328)-LEN(SUBSTITUTE($C328,Table467910111213[[#Headers],[17_1]],"")))/4)*$D328</f>
        <v>0</v>
      </c>
      <c r="Q328" s="51">
        <f>((LEN($C328)-LEN(SUBSTITUTE($C328,Table467910111213[[#Headers],[18_0]],"")))/4)*$D328</f>
        <v>0</v>
      </c>
      <c r="R328" s="51">
        <f>((LEN($C328)-LEN(SUBSTITUTE($C328,Table467910111213[[#Headers],[18_1]],"")))/4)*$D328</f>
        <v>0</v>
      </c>
      <c r="S328" s="51">
        <f>((LEN($C328)-LEN(SUBSTITUTE($C328,Table467910111213[[#Headers],[18_2]],"")))/4)*$D328</f>
        <v>0</v>
      </c>
      <c r="T328" s="51">
        <f>((LEN($C328)-LEN(SUBSTITUTE($C328,Table467910111213[[#Headers],[18_3]],"")))/4)*$D328</f>
        <v>0</v>
      </c>
      <c r="U328" s="51">
        <f>((LEN($C328)-LEN(SUBSTITUTE($C328,Table467910111213[[#Headers],[18_4]],"")))/4)*$D328</f>
        <v>0</v>
      </c>
      <c r="V328" s="51">
        <f>((LEN($C328)-LEN(SUBSTITUTE($C328,Table467910111213[[#Headers],[18_5]],"")))/4)*$D328</f>
        <v>0</v>
      </c>
      <c r="W328" s="51">
        <f>((LEN($C328)-LEN(SUBSTITUTE($C328,Table467910111213[[#Headers],[19_1]],"")))/4)*$D328</f>
        <v>0</v>
      </c>
      <c r="X328" s="51">
        <f>((LEN($C328)-LEN(SUBSTITUTE($C328,Table467910111213[[#Headers],[20_0]],"")))/4)*$D328</f>
        <v>0</v>
      </c>
      <c r="Y328" s="51">
        <f>((LEN($C328)-LEN(SUBSTITUTE($C328,Table467910111213[[#Headers],[20_1]],"")))/4)*$D328</f>
        <v>0</v>
      </c>
      <c r="Z328" s="51">
        <f>((LEN($C328)-LEN(SUBSTITUTE($C328,Table467910111213[[#Headers],[20_2]],"")))/4)*$D328</f>
        <v>0</v>
      </c>
      <c r="AA328" s="51">
        <f>((LEN($C328)-LEN(SUBSTITUTE($C328,Table467910111213[[#Headers],[20_3]],"")))/4)*$D328</f>
        <v>0</v>
      </c>
      <c r="AB328" s="51">
        <f>((LEN($C328)-LEN(SUBSTITUTE($C328,Table467910111213[[#Headers],[20_4]],"")))/4)*$D328</f>
        <v>0</v>
      </c>
      <c r="AC328" s="51">
        <f>((LEN($C328)-LEN(SUBSTITUTE($C328,Table467910111213[[#Headers],[20_5]],"")))/4)*$D328</f>
        <v>0</v>
      </c>
      <c r="AD328" s="51">
        <f>((LEN($C328)-LEN(SUBSTITUTE($C328,Table467910111213[[#Headers],[22_0]],"")))/4)*$D328</f>
        <v>0</v>
      </c>
      <c r="AE328" s="51">
        <f>((LEN($C328)-LEN(SUBSTITUTE($C328,Table467910111213[[#Headers],[22_5]],"")))/4)*$D328</f>
        <v>0</v>
      </c>
      <c r="AF328" s="51">
        <f>((LEN($C328)-LEN(SUBSTITUTE($C328,Table467910111213[[#Headers],[22_6]],"")))/4)*$D328</f>
        <v>2.1602528317975474E-4</v>
      </c>
      <c r="AG328" s="51">
        <f t="shared" si="82"/>
        <v>2.1602528317975474E-4</v>
      </c>
      <c r="AH328" s="51">
        <f t="shared" si="83"/>
        <v>0</v>
      </c>
      <c r="AI328" s="51">
        <f>Table467910111213[[#This Row],[Column29]]/$D$350*0.5</f>
        <v>2.8043173322504305E-3</v>
      </c>
      <c r="AJ328" s="51">
        <f>Table467910111213[[#This Row],[Column29]]/$D$350*1.5</f>
        <v>8.412951996751291E-3</v>
      </c>
    </row>
    <row r="329" spans="3:36">
      <c r="C329" s="51" t="s">
        <v>596</v>
      </c>
      <c r="D329" s="51">
        <v>4.3322508387845526E-4</v>
      </c>
      <c r="E329" s="51">
        <f>((LEN($C329)-LEN(SUBSTITUTE($C329,Table467910111213[[#Headers],[12_0]],"")))/4)*$D329</f>
        <v>0</v>
      </c>
      <c r="F329" s="51">
        <f>((LEN($C329)-LEN(SUBSTITUTE($C329,Table467910111213[[#Headers],[13_0]],"")))/4)*$D329</f>
        <v>0</v>
      </c>
      <c r="G329" s="51">
        <f>((LEN($C329)-LEN(SUBSTITUTE($C329,Table467910111213[[#Headers],[14_0]],"")))/4)*$D329</f>
        <v>0</v>
      </c>
      <c r="H329" s="51">
        <f>((LEN($C329)-LEN(SUBSTITUTE($C329,Table467910111213[[#Headers],[14_1]],"")))/4)*$D329</f>
        <v>0</v>
      </c>
      <c r="I329" s="51">
        <f>((LEN($C329)-LEN(SUBSTITUTE($C329,Table467910111213[[#Headers],[15_0]],"")))/4)*$D329</f>
        <v>0</v>
      </c>
      <c r="J329" s="51">
        <f>((LEN($C329)-LEN(SUBSTITUTE($C329,Table467910111213[[#Headers],[15_1]],"")))/4)*$D329</f>
        <v>0</v>
      </c>
      <c r="K329" s="51">
        <f>((LEN($C329)-LEN(SUBSTITUTE($C329,Table467910111213[[#Headers],[16_0]],"")))/4)*$D329</f>
        <v>0</v>
      </c>
      <c r="L329" s="51">
        <f>((LEN($C329)-LEN(SUBSTITUTE($C329,Table467910111213[[#Headers],[16_1]],"")))/4)*$D329</f>
        <v>0</v>
      </c>
      <c r="M329" s="51">
        <f>((LEN($C329)-LEN(SUBSTITUTE($C329,Table467910111213[[#Headers],[16_2]],"")))/4)*$D329</f>
        <v>4.3322508387845526E-4</v>
      </c>
      <c r="N329" s="51">
        <f>((LEN($C329)-LEN(SUBSTITUTE($C329,Table467910111213[[#Headers],[16_3]],"")))/4)*$D329</f>
        <v>0</v>
      </c>
      <c r="O329" s="51">
        <f>((LEN($C329)-LEN(SUBSTITUTE($C329,Table467910111213[[#Headers],[17_0]],"")))/4)*$D329</f>
        <v>0</v>
      </c>
      <c r="P329" s="51">
        <f>((LEN($C329)-LEN(SUBSTITUTE($C329,Table467910111213[[#Headers],[17_1]],"")))/4)*$D329</f>
        <v>0</v>
      </c>
      <c r="Q329" s="51">
        <f>((LEN($C329)-LEN(SUBSTITUTE($C329,Table467910111213[[#Headers],[18_0]],"")))/4)*$D329</f>
        <v>0</v>
      </c>
      <c r="R329" s="51">
        <f>((LEN($C329)-LEN(SUBSTITUTE($C329,Table467910111213[[#Headers],[18_1]],"")))/4)*$D329</f>
        <v>0</v>
      </c>
      <c r="S329" s="51">
        <f>((LEN($C329)-LEN(SUBSTITUTE($C329,Table467910111213[[#Headers],[18_2]],"")))/4)*$D329</f>
        <v>0</v>
      </c>
      <c r="T329" s="51">
        <f>((LEN($C329)-LEN(SUBSTITUTE($C329,Table467910111213[[#Headers],[18_3]],"")))/4)*$D329</f>
        <v>0</v>
      </c>
      <c r="U329" s="51">
        <f>((LEN($C329)-LEN(SUBSTITUTE($C329,Table467910111213[[#Headers],[18_4]],"")))/4)*$D329</f>
        <v>0</v>
      </c>
      <c r="V329" s="51">
        <f>((LEN($C329)-LEN(SUBSTITUTE($C329,Table467910111213[[#Headers],[18_5]],"")))/4)*$D329</f>
        <v>0</v>
      </c>
      <c r="W329" s="51">
        <f>((LEN($C329)-LEN(SUBSTITUTE($C329,Table467910111213[[#Headers],[19_1]],"")))/4)*$D329</f>
        <v>0</v>
      </c>
      <c r="X329" s="51">
        <f>((LEN($C329)-LEN(SUBSTITUTE($C329,Table467910111213[[#Headers],[20_0]],"")))/4)*$D329</f>
        <v>0</v>
      </c>
      <c r="Y329" s="51">
        <f>((LEN($C329)-LEN(SUBSTITUTE($C329,Table467910111213[[#Headers],[20_1]],"")))/4)*$D329</f>
        <v>0</v>
      </c>
      <c r="Z329" s="51">
        <f>((LEN($C329)-LEN(SUBSTITUTE($C329,Table467910111213[[#Headers],[20_2]],"")))/4)*$D329</f>
        <v>0</v>
      </c>
      <c r="AA329" s="51">
        <f>((LEN($C329)-LEN(SUBSTITUTE($C329,Table467910111213[[#Headers],[20_3]],"")))/4)*$D329</f>
        <v>0</v>
      </c>
      <c r="AB329" s="51">
        <f>((LEN($C329)-LEN(SUBSTITUTE($C329,Table467910111213[[#Headers],[20_4]],"")))/4)*$D329</f>
        <v>0</v>
      </c>
      <c r="AC329" s="51">
        <f>((LEN($C329)-LEN(SUBSTITUTE($C329,Table467910111213[[#Headers],[20_5]],"")))/4)*$D329</f>
        <v>4.3322508387845526E-4</v>
      </c>
      <c r="AD329" s="51">
        <f>((LEN($C329)-LEN(SUBSTITUTE($C329,Table467910111213[[#Headers],[22_0]],"")))/4)*$D329</f>
        <v>0</v>
      </c>
      <c r="AE329" s="51">
        <f>((LEN($C329)-LEN(SUBSTITUTE($C329,Table467910111213[[#Headers],[22_5]],"")))/4)*$D329</f>
        <v>0</v>
      </c>
      <c r="AF329" s="51">
        <f>((LEN($C329)-LEN(SUBSTITUTE($C329,Table467910111213[[#Headers],[22_6]],"")))/4)*$D329</f>
        <v>0</v>
      </c>
      <c r="AG329" s="51">
        <f t="shared" si="82"/>
        <v>4.3322508387845526E-4</v>
      </c>
      <c r="AH329" s="51">
        <f t="shared" si="83"/>
        <v>0</v>
      </c>
      <c r="AI329" s="51">
        <f>Table467910111213[[#This Row],[Column29]]/$D$350*0.5</f>
        <v>5.6238815827639914E-3</v>
      </c>
      <c r="AJ329" s="51">
        <f>Table467910111213[[#This Row],[Column29]]/$D$350*1.5</f>
        <v>1.6871644748291975E-2</v>
      </c>
    </row>
    <row r="330" spans="3:36">
      <c r="C330" s="51" t="s">
        <v>597</v>
      </c>
      <c r="D330" s="51">
        <v>2.1098345187891442E-4</v>
      </c>
      <c r="E330" s="51">
        <f>((LEN($C330)-LEN(SUBSTITUTE($C330,Table467910111213[[#Headers],[12_0]],"")))/4)*$D330</f>
        <v>0</v>
      </c>
      <c r="F330" s="51">
        <f>((LEN($C330)-LEN(SUBSTITUTE($C330,Table467910111213[[#Headers],[13_0]],"")))/4)*$D330</f>
        <v>0</v>
      </c>
      <c r="G330" s="51">
        <f>((LEN($C330)-LEN(SUBSTITUTE($C330,Table467910111213[[#Headers],[14_0]],"")))/4)*$D330</f>
        <v>0</v>
      </c>
      <c r="H330" s="51">
        <f>((LEN($C330)-LEN(SUBSTITUTE($C330,Table467910111213[[#Headers],[14_1]],"")))/4)*$D330</f>
        <v>0</v>
      </c>
      <c r="I330" s="51">
        <f>((LEN($C330)-LEN(SUBSTITUTE($C330,Table467910111213[[#Headers],[15_0]],"")))/4)*$D330</f>
        <v>0</v>
      </c>
      <c r="J330" s="51">
        <f>((LEN($C330)-LEN(SUBSTITUTE($C330,Table467910111213[[#Headers],[15_1]],"")))/4)*$D330</f>
        <v>0</v>
      </c>
      <c r="K330" s="51">
        <f>((LEN($C330)-LEN(SUBSTITUTE($C330,Table467910111213[[#Headers],[16_0]],"")))/4)*$D330</f>
        <v>0</v>
      </c>
      <c r="L330" s="51">
        <f>((LEN($C330)-LEN(SUBSTITUTE($C330,Table467910111213[[#Headers],[16_1]],"")))/4)*$D330</f>
        <v>0</v>
      </c>
      <c r="M330" s="51">
        <f>((LEN($C330)-LEN(SUBSTITUTE($C330,Table467910111213[[#Headers],[16_2]],"")))/4)*$D330</f>
        <v>0</v>
      </c>
      <c r="N330" s="51">
        <f>((LEN($C330)-LEN(SUBSTITUTE($C330,Table467910111213[[#Headers],[16_3]],"")))/4)*$D330</f>
        <v>0</v>
      </c>
      <c r="O330" s="51">
        <f>((LEN($C330)-LEN(SUBSTITUTE($C330,Table467910111213[[#Headers],[17_0]],"")))/4)*$D330</f>
        <v>0</v>
      </c>
      <c r="P330" s="51">
        <f>((LEN($C330)-LEN(SUBSTITUTE($C330,Table467910111213[[#Headers],[17_1]],"")))/4)*$D330</f>
        <v>0</v>
      </c>
      <c r="Q330" s="51">
        <f>((LEN($C330)-LEN(SUBSTITUTE($C330,Table467910111213[[#Headers],[18_0]],"")))/4)*$D330</f>
        <v>2.1098345187891442E-4</v>
      </c>
      <c r="R330" s="51">
        <f>((LEN($C330)-LEN(SUBSTITUTE($C330,Table467910111213[[#Headers],[18_1]],"")))/4)*$D330</f>
        <v>0</v>
      </c>
      <c r="S330" s="51">
        <f>((LEN($C330)-LEN(SUBSTITUTE($C330,Table467910111213[[#Headers],[18_2]],"")))/4)*$D330</f>
        <v>0</v>
      </c>
      <c r="T330" s="51">
        <f>((LEN($C330)-LEN(SUBSTITUTE($C330,Table467910111213[[#Headers],[18_3]],"")))/4)*$D330</f>
        <v>0</v>
      </c>
      <c r="U330" s="51">
        <f>((LEN($C330)-LEN(SUBSTITUTE($C330,Table467910111213[[#Headers],[18_4]],"")))/4)*$D330</f>
        <v>0</v>
      </c>
      <c r="V330" s="51">
        <f>((LEN($C330)-LEN(SUBSTITUTE($C330,Table467910111213[[#Headers],[18_5]],"")))/4)*$D330</f>
        <v>0</v>
      </c>
      <c r="W330" s="51">
        <f>((LEN($C330)-LEN(SUBSTITUTE($C330,Table467910111213[[#Headers],[19_1]],"")))/4)*$D330</f>
        <v>0</v>
      </c>
      <c r="X330" s="51">
        <f>((LEN($C330)-LEN(SUBSTITUTE($C330,Table467910111213[[#Headers],[20_0]],"")))/4)*$D330</f>
        <v>0</v>
      </c>
      <c r="Y330" s="51">
        <f>((LEN($C330)-LEN(SUBSTITUTE($C330,Table467910111213[[#Headers],[20_1]],"")))/4)*$D330</f>
        <v>0</v>
      </c>
      <c r="Z330" s="51">
        <f>((LEN($C330)-LEN(SUBSTITUTE($C330,Table467910111213[[#Headers],[20_2]],"")))/4)*$D330</f>
        <v>0</v>
      </c>
      <c r="AA330" s="51">
        <f>((LEN($C330)-LEN(SUBSTITUTE($C330,Table467910111213[[#Headers],[20_3]],"")))/4)*$D330</f>
        <v>0</v>
      </c>
      <c r="AB330" s="51">
        <f>((LEN($C330)-LEN(SUBSTITUTE($C330,Table467910111213[[#Headers],[20_4]],"")))/4)*$D330</f>
        <v>0</v>
      </c>
      <c r="AC330" s="51">
        <f>((LEN($C330)-LEN(SUBSTITUTE($C330,Table467910111213[[#Headers],[20_5]],"")))/4)*$D330</f>
        <v>2.1098345187891442E-4</v>
      </c>
      <c r="AD330" s="51">
        <f>((LEN($C330)-LEN(SUBSTITUTE($C330,Table467910111213[[#Headers],[22_0]],"")))/4)*$D330</f>
        <v>0</v>
      </c>
      <c r="AE330" s="51">
        <f>((LEN($C330)-LEN(SUBSTITUTE($C330,Table467910111213[[#Headers],[22_5]],"")))/4)*$D330</f>
        <v>0</v>
      </c>
      <c r="AF330" s="51">
        <f>((LEN($C330)-LEN(SUBSTITUTE($C330,Table467910111213[[#Headers],[22_6]],"")))/4)*$D330</f>
        <v>0</v>
      </c>
      <c r="AG330" s="51">
        <f t="shared" si="82"/>
        <v>2.1098345187891442E-4</v>
      </c>
      <c r="AH330" s="51">
        <f t="shared" si="83"/>
        <v>0</v>
      </c>
      <c r="AI330" s="51">
        <f>Table467910111213[[#This Row],[Column29]]/$D$350*0.5</f>
        <v>2.7388671465355284E-3</v>
      </c>
      <c r="AJ330" s="51">
        <f>Table467910111213[[#This Row],[Column29]]/$D$350*1.5</f>
        <v>8.2166014396065842E-3</v>
      </c>
    </row>
    <row r="331" spans="3:36">
      <c r="C331" s="51" t="s">
        <v>598</v>
      </c>
      <c r="D331" s="51">
        <v>5.0613111035935636E-4</v>
      </c>
      <c r="E331" s="51">
        <f>((LEN($C331)-LEN(SUBSTITUTE($C331,Table467910111213[[#Headers],[12_0]],"")))/4)*$D331</f>
        <v>0</v>
      </c>
      <c r="F331" s="51">
        <f>((LEN($C331)-LEN(SUBSTITUTE($C331,Table467910111213[[#Headers],[13_0]],"")))/4)*$D331</f>
        <v>0</v>
      </c>
      <c r="G331" s="51">
        <f>((LEN($C331)-LEN(SUBSTITUTE($C331,Table467910111213[[#Headers],[14_0]],"")))/4)*$D331</f>
        <v>0</v>
      </c>
      <c r="H331" s="51">
        <f>((LEN($C331)-LEN(SUBSTITUTE($C331,Table467910111213[[#Headers],[14_1]],"")))/4)*$D331</f>
        <v>0</v>
      </c>
      <c r="I331" s="51">
        <f>((LEN($C331)-LEN(SUBSTITUTE($C331,Table467910111213[[#Headers],[15_0]],"")))/4)*$D331</f>
        <v>0</v>
      </c>
      <c r="J331" s="51">
        <f>((LEN($C331)-LEN(SUBSTITUTE($C331,Table467910111213[[#Headers],[15_1]],"")))/4)*$D331</f>
        <v>0</v>
      </c>
      <c r="K331" s="51">
        <f>((LEN($C331)-LEN(SUBSTITUTE($C331,Table467910111213[[#Headers],[16_0]],"")))/4)*$D331</f>
        <v>0</v>
      </c>
      <c r="L331" s="51">
        <f>((LEN($C331)-LEN(SUBSTITUTE($C331,Table467910111213[[#Headers],[16_1]],"")))/4)*$D331</f>
        <v>0</v>
      </c>
      <c r="M331" s="51">
        <f>((LEN($C331)-LEN(SUBSTITUTE($C331,Table467910111213[[#Headers],[16_2]],"")))/4)*$D331</f>
        <v>0</v>
      </c>
      <c r="N331" s="51">
        <f>((LEN($C331)-LEN(SUBSTITUTE($C331,Table467910111213[[#Headers],[16_3]],"")))/4)*$D331</f>
        <v>0</v>
      </c>
      <c r="O331" s="51">
        <f>((LEN($C331)-LEN(SUBSTITUTE($C331,Table467910111213[[#Headers],[17_0]],"")))/4)*$D331</f>
        <v>0</v>
      </c>
      <c r="P331" s="51">
        <f>((LEN($C331)-LEN(SUBSTITUTE($C331,Table467910111213[[#Headers],[17_1]],"")))/4)*$D331</f>
        <v>0</v>
      </c>
      <c r="Q331" s="51">
        <f>((LEN($C331)-LEN(SUBSTITUTE($C331,Table467910111213[[#Headers],[18_0]],"")))/4)*$D331</f>
        <v>0</v>
      </c>
      <c r="R331" s="51">
        <f>((LEN($C331)-LEN(SUBSTITUTE($C331,Table467910111213[[#Headers],[18_1]],"")))/4)*$D331</f>
        <v>1.0122622207187127E-3</v>
      </c>
      <c r="S331" s="51">
        <f>((LEN($C331)-LEN(SUBSTITUTE($C331,Table467910111213[[#Headers],[18_2]],"")))/4)*$D331</f>
        <v>0</v>
      </c>
      <c r="T331" s="51">
        <f>((LEN($C331)-LEN(SUBSTITUTE($C331,Table467910111213[[#Headers],[18_3]],"")))/4)*$D331</f>
        <v>0</v>
      </c>
      <c r="U331" s="51">
        <f>((LEN($C331)-LEN(SUBSTITUTE($C331,Table467910111213[[#Headers],[18_4]],"")))/4)*$D331</f>
        <v>0</v>
      </c>
      <c r="V331" s="51">
        <f>((LEN($C331)-LEN(SUBSTITUTE($C331,Table467910111213[[#Headers],[18_5]],"")))/4)*$D331</f>
        <v>0</v>
      </c>
      <c r="W331" s="51">
        <f>((LEN($C331)-LEN(SUBSTITUTE($C331,Table467910111213[[#Headers],[19_1]],"")))/4)*$D331</f>
        <v>0</v>
      </c>
      <c r="X331" s="51">
        <f>((LEN($C331)-LEN(SUBSTITUTE($C331,Table467910111213[[#Headers],[20_0]],"")))/4)*$D331</f>
        <v>0</v>
      </c>
      <c r="Y331" s="51">
        <f>((LEN($C331)-LEN(SUBSTITUTE($C331,Table467910111213[[#Headers],[20_1]],"")))/4)*$D331</f>
        <v>0</v>
      </c>
      <c r="Z331" s="51">
        <f>((LEN($C331)-LEN(SUBSTITUTE($C331,Table467910111213[[#Headers],[20_2]],"")))/4)*$D331</f>
        <v>0</v>
      </c>
      <c r="AA331" s="51">
        <f>((LEN($C331)-LEN(SUBSTITUTE($C331,Table467910111213[[#Headers],[20_3]],"")))/4)*$D331</f>
        <v>0</v>
      </c>
      <c r="AB331" s="51">
        <f>((LEN($C331)-LEN(SUBSTITUTE($C331,Table467910111213[[#Headers],[20_4]],"")))/4)*$D331</f>
        <v>0</v>
      </c>
      <c r="AC331" s="51">
        <f>((LEN($C331)-LEN(SUBSTITUTE($C331,Table467910111213[[#Headers],[20_5]],"")))/4)*$D331</f>
        <v>0</v>
      </c>
      <c r="AD331" s="51">
        <f>((LEN($C331)-LEN(SUBSTITUTE($C331,Table467910111213[[#Headers],[22_0]],"")))/4)*$D331</f>
        <v>0</v>
      </c>
      <c r="AE331" s="51">
        <f>((LEN($C331)-LEN(SUBSTITUTE($C331,Table467910111213[[#Headers],[22_5]],"")))/4)*$D331</f>
        <v>0</v>
      </c>
      <c r="AF331" s="51">
        <f>((LEN($C331)-LEN(SUBSTITUTE($C331,Table467910111213[[#Headers],[22_6]],"")))/4)*$D331</f>
        <v>0</v>
      </c>
      <c r="AG331" s="51">
        <f t="shared" si="82"/>
        <v>5.0613111035935636E-4</v>
      </c>
      <c r="AH331" s="51">
        <f t="shared" si="83"/>
        <v>0</v>
      </c>
      <c r="AI331" s="51">
        <f>Table467910111213[[#This Row],[Column29]]/$D$350*0.5</f>
        <v>6.5703061432436805E-3</v>
      </c>
      <c r="AJ331" s="51">
        <f>Table467910111213[[#This Row],[Column29]]/$D$350*1.5</f>
        <v>1.9710918429731043E-2</v>
      </c>
    </row>
    <row r="332" spans="3:36">
      <c r="C332" s="51" t="s">
        <v>599</v>
      </c>
      <c r="D332" s="51">
        <v>3.3869074698769929E-4</v>
      </c>
      <c r="E332" s="51">
        <f>((LEN($C332)-LEN(SUBSTITUTE($C332,Table467910111213[[#Headers],[12_0]],"")))/4)*$D332</f>
        <v>0</v>
      </c>
      <c r="F332" s="51">
        <f>((LEN($C332)-LEN(SUBSTITUTE($C332,Table467910111213[[#Headers],[13_0]],"")))/4)*$D332</f>
        <v>0</v>
      </c>
      <c r="G332" s="51">
        <f>((LEN($C332)-LEN(SUBSTITUTE($C332,Table467910111213[[#Headers],[14_0]],"")))/4)*$D332</f>
        <v>0</v>
      </c>
      <c r="H332" s="51">
        <f>((LEN($C332)-LEN(SUBSTITUTE($C332,Table467910111213[[#Headers],[14_1]],"")))/4)*$D332</f>
        <v>0</v>
      </c>
      <c r="I332" s="51">
        <f>((LEN($C332)-LEN(SUBSTITUTE($C332,Table467910111213[[#Headers],[15_0]],"")))/4)*$D332</f>
        <v>0</v>
      </c>
      <c r="J332" s="51">
        <f>((LEN($C332)-LEN(SUBSTITUTE($C332,Table467910111213[[#Headers],[15_1]],"")))/4)*$D332</f>
        <v>0</v>
      </c>
      <c r="K332" s="51">
        <f>((LEN($C332)-LEN(SUBSTITUTE($C332,Table467910111213[[#Headers],[16_0]],"")))/4)*$D332</f>
        <v>0</v>
      </c>
      <c r="L332" s="51">
        <f>((LEN($C332)-LEN(SUBSTITUTE($C332,Table467910111213[[#Headers],[16_1]],"")))/4)*$D332</f>
        <v>0</v>
      </c>
      <c r="M332" s="51">
        <f>((LEN($C332)-LEN(SUBSTITUTE($C332,Table467910111213[[#Headers],[16_2]],"")))/4)*$D332</f>
        <v>0</v>
      </c>
      <c r="N332" s="51">
        <f>((LEN($C332)-LEN(SUBSTITUTE($C332,Table467910111213[[#Headers],[16_3]],"")))/4)*$D332</f>
        <v>0</v>
      </c>
      <c r="O332" s="51">
        <f>((LEN($C332)-LEN(SUBSTITUTE($C332,Table467910111213[[#Headers],[17_0]],"")))/4)*$D332</f>
        <v>0</v>
      </c>
      <c r="P332" s="51">
        <f>((LEN($C332)-LEN(SUBSTITUTE($C332,Table467910111213[[#Headers],[17_1]],"")))/4)*$D332</f>
        <v>0</v>
      </c>
      <c r="Q332" s="51">
        <f>((LEN($C332)-LEN(SUBSTITUTE($C332,Table467910111213[[#Headers],[18_0]],"")))/4)*$D332</f>
        <v>0</v>
      </c>
      <c r="R332" s="51">
        <f>((LEN($C332)-LEN(SUBSTITUTE($C332,Table467910111213[[#Headers],[18_1]],"")))/4)*$D332</f>
        <v>3.3869074698769929E-4</v>
      </c>
      <c r="S332" s="51">
        <f>((LEN($C332)-LEN(SUBSTITUTE($C332,Table467910111213[[#Headers],[18_2]],"")))/4)*$D332</f>
        <v>0</v>
      </c>
      <c r="T332" s="51">
        <f>((LEN($C332)-LEN(SUBSTITUTE($C332,Table467910111213[[#Headers],[18_3]],"")))/4)*$D332</f>
        <v>0</v>
      </c>
      <c r="U332" s="51">
        <f>((LEN($C332)-LEN(SUBSTITUTE($C332,Table467910111213[[#Headers],[18_4]],"")))/4)*$D332</f>
        <v>0</v>
      </c>
      <c r="V332" s="51">
        <f>((LEN($C332)-LEN(SUBSTITUTE($C332,Table467910111213[[#Headers],[18_5]],"")))/4)*$D332</f>
        <v>0</v>
      </c>
      <c r="W332" s="51">
        <f>((LEN($C332)-LEN(SUBSTITUTE($C332,Table467910111213[[#Headers],[19_1]],"")))/4)*$D332</f>
        <v>0</v>
      </c>
      <c r="X332" s="51">
        <f>((LEN($C332)-LEN(SUBSTITUTE($C332,Table467910111213[[#Headers],[20_0]],"")))/4)*$D332</f>
        <v>0</v>
      </c>
      <c r="Y332" s="51">
        <f>((LEN($C332)-LEN(SUBSTITUTE($C332,Table467910111213[[#Headers],[20_1]],"")))/4)*$D332</f>
        <v>0</v>
      </c>
      <c r="Z332" s="51">
        <f>((LEN($C332)-LEN(SUBSTITUTE($C332,Table467910111213[[#Headers],[20_2]],"")))/4)*$D332</f>
        <v>0</v>
      </c>
      <c r="AA332" s="51">
        <f>((LEN($C332)-LEN(SUBSTITUTE($C332,Table467910111213[[#Headers],[20_3]],"")))/4)*$D332</f>
        <v>0</v>
      </c>
      <c r="AB332" s="51">
        <f>((LEN($C332)-LEN(SUBSTITUTE($C332,Table467910111213[[#Headers],[20_4]],"")))/4)*$D332</f>
        <v>0</v>
      </c>
      <c r="AC332" s="51">
        <f>((LEN($C332)-LEN(SUBSTITUTE($C332,Table467910111213[[#Headers],[20_5]],"")))/4)*$D332</f>
        <v>3.3869074698769929E-4</v>
      </c>
      <c r="AD332" s="51">
        <f>((LEN($C332)-LEN(SUBSTITUTE($C332,Table467910111213[[#Headers],[22_0]],"")))/4)*$D332</f>
        <v>0</v>
      </c>
      <c r="AE332" s="51">
        <f>((LEN($C332)-LEN(SUBSTITUTE($C332,Table467910111213[[#Headers],[22_5]],"")))/4)*$D332</f>
        <v>0</v>
      </c>
      <c r="AF332" s="51">
        <f>((LEN($C332)-LEN(SUBSTITUTE($C332,Table467910111213[[#Headers],[22_6]],"")))/4)*$D332</f>
        <v>0</v>
      </c>
      <c r="AG332" s="51">
        <f t="shared" si="82"/>
        <v>3.3869074698769929E-4</v>
      </c>
      <c r="AH332" s="51">
        <f t="shared" si="83"/>
        <v>0</v>
      </c>
      <c r="AI332" s="51">
        <f>Table467910111213[[#This Row],[Column29]]/$D$350*0.5</f>
        <v>4.3966906006095794E-3</v>
      </c>
      <c r="AJ332" s="51">
        <f>Table467910111213[[#This Row],[Column29]]/$D$350*1.5</f>
        <v>1.3190071801828738E-2</v>
      </c>
    </row>
    <row r="333" spans="3:36">
      <c r="C333" s="51" t="s">
        <v>600</v>
      </c>
      <c r="D333" s="51">
        <v>1.1475895563162677E-4</v>
      </c>
      <c r="E333" s="51">
        <f>((LEN($C333)-LEN(SUBSTITUTE($C333,Table467910111213[[#Headers],[12_0]],"")))/4)*$D333</f>
        <v>0</v>
      </c>
      <c r="F333" s="51">
        <f>((LEN($C333)-LEN(SUBSTITUTE($C333,Table467910111213[[#Headers],[13_0]],"")))/4)*$D333</f>
        <v>0</v>
      </c>
      <c r="G333" s="51">
        <f>((LEN($C333)-LEN(SUBSTITUTE($C333,Table467910111213[[#Headers],[14_0]],"")))/4)*$D333</f>
        <v>0</v>
      </c>
      <c r="H333" s="51">
        <f>((LEN($C333)-LEN(SUBSTITUTE($C333,Table467910111213[[#Headers],[14_1]],"")))/4)*$D333</f>
        <v>0</v>
      </c>
      <c r="I333" s="51">
        <f>((LEN($C333)-LEN(SUBSTITUTE($C333,Table467910111213[[#Headers],[15_0]],"")))/4)*$D333</f>
        <v>0</v>
      </c>
      <c r="J333" s="51">
        <f>((LEN($C333)-LEN(SUBSTITUTE($C333,Table467910111213[[#Headers],[15_1]],"")))/4)*$D333</f>
        <v>0</v>
      </c>
      <c r="K333" s="51">
        <f>((LEN($C333)-LEN(SUBSTITUTE($C333,Table467910111213[[#Headers],[16_0]],"")))/4)*$D333</f>
        <v>0</v>
      </c>
      <c r="L333" s="51">
        <f>((LEN($C333)-LEN(SUBSTITUTE($C333,Table467910111213[[#Headers],[16_1]],"")))/4)*$D333</f>
        <v>0</v>
      </c>
      <c r="M333" s="51">
        <f>((LEN($C333)-LEN(SUBSTITUTE($C333,Table467910111213[[#Headers],[16_2]],"")))/4)*$D333</f>
        <v>0</v>
      </c>
      <c r="N333" s="51">
        <f>((LEN($C333)-LEN(SUBSTITUTE($C333,Table467910111213[[#Headers],[16_3]],"")))/4)*$D333</f>
        <v>0</v>
      </c>
      <c r="O333" s="51">
        <f>((LEN($C333)-LEN(SUBSTITUTE($C333,Table467910111213[[#Headers],[17_0]],"")))/4)*$D333</f>
        <v>0</v>
      </c>
      <c r="P333" s="51">
        <f>((LEN($C333)-LEN(SUBSTITUTE($C333,Table467910111213[[#Headers],[17_1]],"")))/4)*$D333</f>
        <v>0</v>
      </c>
      <c r="Q333" s="51">
        <f>((LEN($C333)-LEN(SUBSTITUTE($C333,Table467910111213[[#Headers],[18_0]],"")))/4)*$D333</f>
        <v>0</v>
      </c>
      <c r="R333" s="51">
        <f>((LEN($C333)-LEN(SUBSTITUTE($C333,Table467910111213[[#Headers],[18_1]],"")))/4)*$D333</f>
        <v>1.1475895563162677E-4</v>
      </c>
      <c r="S333" s="51">
        <f>((LEN($C333)-LEN(SUBSTITUTE($C333,Table467910111213[[#Headers],[18_2]],"")))/4)*$D333</f>
        <v>0</v>
      </c>
      <c r="T333" s="51">
        <f>((LEN($C333)-LEN(SUBSTITUTE($C333,Table467910111213[[#Headers],[18_3]],"")))/4)*$D333</f>
        <v>0</v>
      </c>
      <c r="U333" s="51">
        <f>((LEN($C333)-LEN(SUBSTITUTE($C333,Table467910111213[[#Headers],[18_4]],"")))/4)*$D333</f>
        <v>0</v>
      </c>
      <c r="V333" s="51">
        <f>((LEN($C333)-LEN(SUBSTITUTE($C333,Table467910111213[[#Headers],[18_5]],"")))/4)*$D333</f>
        <v>0</v>
      </c>
      <c r="W333" s="51">
        <f>((LEN($C333)-LEN(SUBSTITUTE($C333,Table467910111213[[#Headers],[19_1]],"")))/4)*$D333</f>
        <v>0</v>
      </c>
      <c r="X333" s="51">
        <f>((LEN($C333)-LEN(SUBSTITUTE($C333,Table467910111213[[#Headers],[20_0]],"")))/4)*$D333</f>
        <v>0</v>
      </c>
      <c r="Y333" s="51">
        <f>((LEN($C333)-LEN(SUBSTITUTE($C333,Table467910111213[[#Headers],[20_1]],"")))/4)*$D333</f>
        <v>0</v>
      </c>
      <c r="Z333" s="51">
        <f>((LEN($C333)-LEN(SUBSTITUTE($C333,Table467910111213[[#Headers],[20_2]],"")))/4)*$D333</f>
        <v>0</v>
      </c>
      <c r="AA333" s="51">
        <f>((LEN($C333)-LEN(SUBSTITUTE($C333,Table467910111213[[#Headers],[20_3]],"")))/4)*$D333</f>
        <v>0</v>
      </c>
      <c r="AB333" s="51">
        <f>((LEN($C333)-LEN(SUBSTITUTE($C333,Table467910111213[[#Headers],[20_4]],"")))/4)*$D333</f>
        <v>0</v>
      </c>
      <c r="AC333" s="51">
        <f>((LEN($C333)-LEN(SUBSTITUTE($C333,Table467910111213[[#Headers],[20_5]],"")))/4)*$D333</f>
        <v>0</v>
      </c>
      <c r="AD333" s="51">
        <f>((LEN($C333)-LEN(SUBSTITUTE($C333,Table467910111213[[#Headers],[22_0]],"")))/4)*$D333</f>
        <v>0</v>
      </c>
      <c r="AE333" s="51">
        <f>((LEN($C333)-LEN(SUBSTITUTE($C333,Table467910111213[[#Headers],[22_5]],"")))/4)*$D333</f>
        <v>0</v>
      </c>
      <c r="AF333" s="51">
        <f>((LEN($C333)-LEN(SUBSTITUTE($C333,Table467910111213[[#Headers],[22_6]],"")))/4)*$D333</f>
        <v>1.1475895563162677E-4</v>
      </c>
      <c r="AG333" s="51">
        <f t="shared" si="82"/>
        <v>1.1475895563162677E-4</v>
      </c>
      <c r="AH333" s="51">
        <f t="shared" si="83"/>
        <v>0</v>
      </c>
      <c r="AI333" s="51">
        <f>Table467910111213[[#This Row],[Column29]]/$D$350*0.5</f>
        <v>1.4897354771244164E-3</v>
      </c>
      <c r="AJ333" s="51">
        <f>Table467910111213[[#This Row],[Column29]]/$D$350*1.5</f>
        <v>4.4692064313732495E-3</v>
      </c>
    </row>
    <row r="334" spans="3:36">
      <c r="C334" s="51" t="s">
        <v>601</v>
      </c>
      <c r="D334" s="51">
        <v>2.3344251858265768E-4</v>
      </c>
      <c r="E334" s="51">
        <f>((LEN($C334)-LEN(SUBSTITUTE($C334,Table467910111213[[#Headers],[12_0]],"")))/4)*$D334</f>
        <v>0</v>
      </c>
      <c r="F334" s="51">
        <f>((LEN($C334)-LEN(SUBSTITUTE($C334,Table467910111213[[#Headers],[13_0]],"")))/4)*$D334</f>
        <v>0</v>
      </c>
      <c r="G334" s="51">
        <f>((LEN($C334)-LEN(SUBSTITUTE($C334,Table467910111213[[#Headers],[14_0]],"")))/4)*$D334</f>
        <v>0</v>
      </c>
      <c r="H334" s="51">
        <f>((LEN($C334)-LEN(SUBSTITUTE($C334,Table467910111213[[#Headers],[14_1]],"")))/4)*$D334</f>
        <v>0</v>
      </c>
      <c r="I334" s="51">
        <f>((LEN($C334)-LEN(SUBSTITUTE($C334,Table467910111213[[#Headers],[15_0]],"")))/4)*$D334</f>
        <v>0</v>
      </c>
      <c r="J334" s="51">
        <f>((LEN($C334)-LEN(SUBSTITUTE($C334,Table467910111213[[#Headers],[15_1]],"")))/4)*$D334</f>
        <v>0</v>
      </c>
      <c r="K334" s="51">
        <f>((LEN($C334)-LEN(SUBSTITUTE($C334,Table467910111213[[#Headers],[16_0]],"")))/4)*$D334</f>
        <v>0</v>
      </c>
      <c r="L334" s="51">
        <f>((LEN($C334)-LEN(SUBSTITUTE($C334,Table467910111213[[#Headers],[16_1]],"")))/4)*$D334</f>
        <v>0</v>
      </c>
      <c r="M334" s="51">
        <f>((LEN($C334)-LEN(SUBSTITUTE($C334,Table467910111213[[#Headers],[16_2]],"")))/4)*$D334</f>
        <v>0</v>
      </c>
      <c r="N334" s="51">
        <f>((LEN($C334)-LEN(SUBSTITUTE($C334,Table467910111213[[#Headers],[16_3]],"")))/4)*$D334</f>
        <v>0</v>
      </c>
      <c r="O334" s="51">
        <f>((LEN($C334)-LEN(SUBSTITUTE($C334,Table467910111213[[#Headers],[17_0]],"")))/4)*$D334</f>
        <v>0</v>
      </c>
      <c r="P334" s="51">
        <f>((LEN($C334)-LEN(SUBSTITUTE($C334,Table467910111213[[#Headers],[17_1]],"")))/4)*$D334</f>
        <v>0</v>
      </c>
      <c r="Q334" s="51">
        <f>((LEN($C334)-LEN(SUBSTITUTE($C334,Table467910111213[[#Headers],[18_0]],"")))/4)*$D334</f>
        <v>0</v>
      </c>
      <c r="R334" s="51">
        <f>((LEN($C334)-LEN(SUBSTITUTE($C334,Table467910111213[[#Headers],[18_1]],"")))/4)*$D334</f>
        <v>0</v>
      </c>
      <c r="S334" s="51">
        <f>((LEN($C334)-LEN(SUBSTITUTE($C334,Table467910111213[[#Headers],[18_2]],"")))/4)*$D334</f>
        <v>2.3344251858265768E-4</v>
      </c>
      <c r="T334" s="51">
        <f>((LEN($C334)-LEN(SUBSTITUTE($C334,Table467910111213[[#Headers],[18_3]],"")))/4)*$D334</f>
        <v>0</v>
      </c>
      <c r="U334" s="51">
        <f>((LEN($C334)-LEN(SUBSTITUTE($C334,Table467910111213[[#Headers],[18_4]],"")))/4)*$D334</f>
        <v>0</v>
      </c>
      <c r="V334" s="51">
        <f>((LEN($C334)-LEN(SUBSTITUTE($C334,Table467910111213[[#Headers],[18_5]],"")))/4)*$D334</f>
        <v>0</v>
      </c>
      <c r="W334" s="51">
        <f>((LEN($C334)-LEN(SUBSTITUTE($C334,Table467910111213[[#Headers],[19_1]],"")))/4)*$D334</f>
        <v>0</v>
      </c>
      <c r="X334" s="51">
        <f>((LEN($C334)-LEN(SUBSTITUTE($C334,Table467910111213[[#Headers],[20_0]],"")))/4)*$D334</f>
        <v>0</v>
      </c>
      <c r="Y334" s="51">
        <f>((LEN($C334)-LEN(SUBSTITUTE($C334,Table467910111213[[#Headers],[20_1]],"")))/4)*$D334</f>
        <v>0</v>
      </c>
      <c r="Z334" s="51">
        <f>((LEN($C334)-LEN(SUBSTITUTE($C334,Table467910111213[[#Headers],[20_2]],"")))/4)*$D334</f>
        <v>0</v>
      </c>
      <c r="AA334" s="51">
        <f>((LEN($C334)-LEN(SUBSTITUTE($C334,Table467910111213[[#Headers],[20_3]],"")))/4)*$D334</f>
        <v>0</v>
      </c>
      <c r="AB334" s="51">
        <f>((LEN($C334)-LEN(SUBSTITUTE($C334,Table467910111213[[#Headers],[20_4]],"")))/4)*$D334</f>
        <v>0</v>
      </c>
      <c r="AC334" s="51">
        <f>((LEN($C334)-LEN(SUBSTITUTE($C334,Table467910111213[[#Headers],[20_5]],"")))/4)*$D334</f>
        <v>2.3344251858265768E-4</v>
      </c>
      <c r="AD334" s="51">
        <f>((LEN($C334)-LEN(SUBSTITUTE($C334,Table467910111213[[#Headers],[22_0]],"")))/4)*$D334</f>
        <v>0</v>
      </c>
      <c r="AE334" s="51">
        <f>((LEN($C334)-LEN(SUBSTITUTE($C334,Table467910111213[[#Headers],[22_5]],"")))/4)*$D334</f>
        <v>0</v>
      </c>
      <c r="AF334" s="51">
        <f>((LEN($C334)-LEN(SUBSTITUTE($C334,Table467910111213[[#Headers],[22_6]],"")))/4)*$D334</f>
        <v>0</v>
      </c>
      <c r="AG334" s="51">
        <f t="shared" si="82"/>
        <v>2.3344251858265768E-4</v>
      </c>
      <c r="AH334" s="51">
        <f t="shared" si="83"/>
        <v>0</v>
      </c>
      <c r="AI334" s="51">
        <f>Table467910111213[[#This Row],[Column29]]/$D$350*0.5</f>
        <v>3.0304179738110011E-3</v>
      </c>
      <c r="AJ334" s="51">
        <f>Table467910111213[[#This Row],[Column29]]/$D$350*1.5</f>
        <v>9.0912539214330033E-3</v>
      </c>
    </row>
    <row r="335" spans="3:36">
      <c r="C335" s="51" t="s">
        <v>602</v>
      </c>
      <c r="D335" s="51">
        <v>4.7387484874148031E-4</v>
      </c>
      <c r="E335" s="51">
        <f>((LEN($C335)-LEN(SUBSTITUTE($C335,Table467910111213[[#Headers],[12_0]],"")))/4)*$D335</f>
        <v>0</v>
      </c>
      <c r="F335" s="51">
        <f>((LEN($C335)-LEN(SUBSTITUTE($C335,Table467910111213[[#Headers],[13_0]],"")))/4)*$D335</f>
        <v>0</v>
      </c>
      <c r="G335" s="51">
        <f>((LEN($C335)-LEN(SUBSTITUTE($C335,Table467910111213[[#Headers],[14_0]],"")))/4)*$D335</f>
        <v>0</v>
      </c>
      <c r="H335" s="51">
        <f>((LEN($C335)-LEN(SUBSTITUTE($C335,Table467910111213[[#Headers],[14_1]],"")))/4)*$D335</f>
        <v>0</v>
      </c>
      <c r="I335" s="51">
        <f>((LEN($C335)-LEN(SUBSTITUTE($C335,Table467910111213[[#Headers],[15_0]],"")))/4)*$D335</f>
        <v>0</v>
      </c>
      <c r="J335" s="51">
        <f>((LEN($C335)-LEN(SUBSTITUTE($C335,Table467910111213[[#Headers],[15_1]],"")))/4)*$D335</f>
        <v>0</v>
      </c>
      <c r="K335" s="51">
        <f>((LEN($C335)-LEN(SUBSTITUTE($C335,Table467910111213[[#Headers],[16_0]],"")))/4)*$D335</f>
        <v>0</v>
      </c>
      <c r="L335" s="51">
        <f>((LEN($C335)-LEN(SUBSTITUTE($C335,Table467910111213[[#Headers],[16_1]],"")))/4)*$D335</f>
        <v>0</v>
      </c>
      <c r="M335" s="51">
        <f>((LEN($C335)-LEN(SUBSTITUTE($C335,Table467910111213[[#Headers],[16_2]],"")))/4)*$D335</f>
        <v>0</v>
      </c>
      <c r="N335" s="51">
        <f>((LEN($C335)-LEN(SUBSTITUTE($C335,Table467910111213[[#Headers],[16_3]],"")))/4)*$D335</f>
        <v>0</v>
      </c>
      <c r="O335" s="51">
        <f>((LEN($C335)-LEN(SUBSTITUTE($C335,Table467910111213[[#Headers],[17_0]],"")))/4)*$D335</f>
        <v>0</v>
      </c>
      <c r="P335" s="51">
        <f>((LEN($C335)-LEN(SUBSTITUTE($C335,Table467910111213[[#Headers],[17_1]],"")))/4)*$D335</f>
        <v>0</v>
      </c>
      <c r="Q335" s="51">
        <f>((LEN($C335)-LEN(SUBSTITUTE($C335,Table467910111213[[#Headers],[18_0]],"")))/4)*$D335</f>
        <v>0</v>
      </c>
      <c r="R335" s="51">
        <f>((LEN($C335)-LEN(SUBSTITUTE($C335,Table467910111213[[#Headers],[18_1]],"")))/4)*$D335</f>
        <v>0</v>
      </c>
      <c r="S335" s="51">
        <f>((LEN($C335)-LEN(SUBSTITUTE($C335,Table467910111213[[#Headers],[18_2]],"")))/4)*$D335</f>
        <v>0</v>
      </c>
      <c r="T335" s="51">
        <f>((LEN($C335)-LEN(SUBSTITUTE($C335,Table467910111213[[#Headers],[18_3]],"")))/4)*$D335</f>
        <v>4.7387484874148031E-4</v>
      </c>
      <c r="U335" s="51">
        <f>((LEN($C335)-LEN(SUBSTITUTE($C335,Table467910111213[[#Headers],[18_4]],"")))/4)*$D335</f>
        <v>0</v>
      </c>
      <c r="V335" s="51">
        <f>((LEN($C335)-LEN(SUBSTITUTE($C335,Table467910111213[[#Headers],[18_5]],"")))/4)*$D335</f>
        <v>0</v>
      </c>
      <c r="W335" s="51">
        <f>((LEN($C335)-LEN(SUBSTITUTE($C335,Table467910111213[[#Headers],[19_1]],"")))/4)*$D335</f>
        <v>0</v>
      </c>
      <c r="X335" s="51">
        <f>((LEN($C335)-LEN(SUBSTITUTE($C335,Table467910111213[[#Headers],[20_0]],"")))/4)*$D335</f>
        <v>0</v>
      </c>
      <c r="Y335" s="51">
        <f>((LEN($C335)-LEN(SUBSTITUTE($C335,Table467910111213[[#Headers],[20_1]],"")))/4)*$D335</f>
        <v>0</v>
      </c>
      <c r="Z335" s="51">
        <f>((LEN($C335)-LEN(SUBSTITUTE($C335,Table467910111213[[#Headers],[20_2]],"")))/4)*$D335</f>
        <v>0</v>
      </c>
      <c r="AA335" s="51">
        <f>((LEN($C335)-LEN(SUBSTITUTE($C335,Table467910111213[[#Headers],[20_3]],"")))/4)*$D335</f>
        <v>0</v>
      </c>
      <c r="AB335" s="51">
        <f>((LEN($C335)-LEN(SUBSTITUTE($C335,Table467910111213[[#Headers],[20_4]],"")))/4)*$D335</f>
        <v>0</v>
      </c>
      <c r="AC335" s="51">
        <f>((LEN($C335)-LEN(SUBSTITUTE($C335,Table467910111213[[#Headers],[20_5]],"")))/4)*$D335</f>
        <v>4.7387484874148031E-4</v>
      </c>
      <c r="AD335" s="51">
        <f>((LEN($C335)-LEN(SUBSTITUTE($C335,Table467910111213[[#Headers],[22_0]],"")))/4)*$D335</f>
        <v>0</v>
      </c>
      <c r="AE335" s="51">
        <f>((LEN($C335)-LEN(SUBSTITUTE($C335,Table467910111213[[#Headers],[22_5]],"")))/4)*$D335</f>
        <v>0</v>
      </c>
      <c r="AF335" s="51">
        <f>((LEN($C335)-LEN(SUBSTITUTE($C335,Table467910111213[[#Headers],[22_6]],"")))/4)*$D335</f>
        <v>0</v>
      </c>
      <c r="AG335" s="51">
        <f t="shared" si="82"/>
        <v>4.7387484874148031E-4</v>
      </c>
      <c r="AH335" s="51">
        <f t="shared" si="83"/>
        <v>0</v>
      </c>
      <c r="AI335" s="51">
        <f>Table467910111213[[#This Row],[Column29]]/$D$350*0.5</f>
        <v>6.1515737050903884E-3</v>
      </c>
      <c r="AJ335" s="51">
        <f>Table467910111213[[#This Row],[Column29]]/$D$350*1.5</f>
        <v>1.8454721115271164E-2</v>
      </c>
    </row>
    <row r="336" spans="3:36">
      <c r="C336" s="51" t="s">
        <v>603</v>
      </c>
      <c r="D336" s="51">
        <v>1.1212345290618753E-4</v>
      </c>
      <c r="E336" s="51">
        <f>((LEN($C336)-LEN(SUBSTITUTE($C336,Table467910111213[[#Headers],[12_0]],"")))/4)*$D336</f>
        <v>0</v>
      </c>
      <c r="F336" s="51">
        <f>((LEN($C336)-LEN(SUBSTITUTE($C336,Table467910111213[[#Headers],[13_0]],"")))/4)*$D336</f>
        <v>0</v>
      </c>
      <c r="G336" s="51">
        <f>((LEN($C336)-LEN(SUBSTITUTE($C336,Table467910111213[[#Headers],[14_0]],"")))/4)*$D336</f>
        <v>0</v>
      </c>
      <c r="H336" s="51">
        <f>((LEN($C336)-LEN(SUBSTITUTE($C336,Table467910111213[[#Headers],[14_1]],"")))/4)*$D336</f>
        <v>0</v>
      </c>
      <c r="I336" s="51">
        <f>((LEN($C336)-LEN(SUBSTITUTE($C336,Table467910111213[[#Headers],[15_0]],"")))/4)*$D336</f>
        <v>0</v>
      </c>
      <c r="J336" s="51">
        <f>((LEN($C336)-LEN(SUBSTITUTE($C336,Table467910111213[[#Headers],[15_1]],"")))/4)*$D336</f>
        <v>0</v>
      </c>
      <c r="K336" s="51">
        <f>((LEN($C336)-LEN(SUBSTITUTE($C336,Table467910111213[[#Headers],[16_0]],"")))/4)*$D336</f>
        <v>0</v>
      </c>
      <c r="L336" s="51">
        <f>((LEN($C336)-LEN(SUBSTITUTE($C336,Table467910111213[[#Headers],[16_1]],"")))/4)*$D336</f>
        <v>0</v>
      </c>
      <c r="M336" s="51">
        <f>((LEN($C336)-LEN(SUBSTITUTE($C336,Table467910111213[[#Headers],[16_2]],"")))/4)*$D336</f>
        <v>0</v>
      </c>
      <c r="N336" s="51">
        <f>((LEN($C336)-LEN(SUBSTITUTE($C336,Table467910111213[[#Headers],[16_3]],"")))/4)*$D336</f>
        <v>0</v>
      </c>
      <c r="O336" s="51">
        <f>((LEN($C336)-LEN(SUBSTITUTE($C336,Table467910111213[[#Headers],[17_0]],"")))/4)*$D336</f>
        <v>0</v>
      </c>
      <c r="P336" s="51">
        <f>((LEN($C336)-LEN(SUBSTITUTE($C336,Table467910111213[[#Headers],[17_1]],"")))/4)*$D336</f>
        <v>0</v>
      </c>
      <c r="Q336" s="51">
        <f>((LEN($C336)-LEN(SUBSTITUTE($C336,Table467910111213[[#Headers],[18_0]],"")))/4)*$D336</f>
        <v>0</v>
      </c>
      <c r="R336" s="51">
        <f>((LEN($C336)-LEN(SUBSTITUTE($C336,Table467910111213[[#Headers],[18_1]],"")))/4)*$D336</f>
        <v>0</v>
      </c>
      <c r="S336" s="51">
        <f>((LEN($C336)-LEN(SUBSTITUTE($C336,Table467910111213[[#Headers],[18_2]],"")))/4)*$D336</f>
        <v>0</v>
      </c>
      <c r="T336" s="51">
        <f>((LEN($C336)-LEN(SUBSTITUTE($C336,Table467910111213[[#Headers],[18_3]],"")))/4)*$D336</f>
        <v>0</v>
      </c>
      <c r="U336" s="51">
        <f>((LEN($C336)-LEN(SUBSTITUTE($C336,Table467910111213[[#Headers],[18_4]],"")))/4)*$D336</f>
        <v>2.2424690581237505E-4</v>
      </c>
      <c r="V336" s="51">
        <f>((LEN($C336)-LEN(SUBSTITUTE($C336,Table467910111213[[#Headers],[18_5]],"")))/4)*$D336</f>
        <v>0</v>
      </c>
      <c r="W336" s="51">
        <f>((LEN($C336)-LEN(SUBSTITUTE($C336,Table467910111213[[#Headers],[19_1]],"")))/4)*$D336</f>
        <v>0</v>
      </c>
      <c r="X336" s="51">
        <f>((LEN($C336)-LEN(SUBSTITUTE($C336,Table467910111213[[#Headers],[20_0]],"")))/4)*$D336</f>
        <v>0</v>
      </c>
      <c r="Y336" s="51">
        <f>((LEN($C336)-LEN(SUBSTITUTE($C336,Table467910111213[[#Headers],[20_1]],"")))/4)*$D336</f>
        <v>0</v>
      </c>
      <c r="Z336" s="51">
        <f>((LEN($C336)-LEN(SUBSTITUTE($C336,Table467910111213[[#Headers],[20_2]],"")))/4)*$D336</f>
        <v>0</v>
      </c>
      <c r="AA336" s="51">
        <f>((LEN($C336)-LEN(SUBSTITUTE($C336,Table467910111213[[#Headers],[20_3]],"")))/4)*$D336</f>
        <v>0</v>
      </c>
      <c r="AB336" s="51">
        <f>((LEN($C336)-LEN(SUBSTITUTE($C336,Table467910111213[[#Headers],[20_4]],"")))/4)*$D336</f>
        <v>0</v>
      </c>
      <c r="AC336" s="51">
        <f>((LEN($C336)-LEN(SUBSTITUTE($C336,Table467910111213[[#Headers],[20_5]],"")))/4)*$D336</f>
        <v>0</v>
      </c>
      <c r="AD336" s="51">
        <f>((LEN($C336)-LEN(SUBSTITUTE($C336,Table467910111213[[#Headers],[22_0]],"")))/4)*$D336</f>
        <v>0</v>
      </c>
      <c r="AE336" s="51">
        <f>((LEN($C336)-LEN(SUBSTITUTE($C336,Table467910111213[[#Headers],[22_5]],"")))/4)*$D336</f>
        <v>0</v>
      </c>
      <c r="AF336" s="51">
        <f>((LEN($C336)-LEN(SUBSTITUTE($C336,Table467910111213[[#Headers],[22_6]],"")))/4)*$D336</f>
        <v>0</v>
      </c>
      <c r="AG336" s="51">
        <f t="shared" si="82"/>
        <v>1.1212345290618753E-4</v>
      </c>
      <c r="AH336" s="51">
        <f t="shared" si="83"/>
        <v>0</v>
      </c>
      <c r="AI336" s="51">
        <f>Table467910111213[[#This Row],[Column29]]/$D$350*0.5</f>
        <v>1.4555228800461723E-3</v>
      </c>
      <c r="AJ336" s="51">
        <f>Table467910111213[[#This Row],[Column29]]/$D$350*1.5</f>
        <v>4.3665686401385172E-3</v>
      </c>
    </row>
    <row r="337" spans="3:36">
      <c r="C337" s="51" t="s">
        <v>604</v>
      </c>
      <c r="D337" s="51">
        <v>9.5557026535301407E-4</v>
      </c>
      <c r="E337" s="51">
        <f>((LEN($C337)-LEN(SUBSTITUTE($C337,Table467910111213[[#Headers],[12_0]],"")))/4)*$D337</f>
        <v>0</v>
      </c>
      <c r="F337" s="51">
        <f>((LEN($C337)-LEN(SUBSTITUTE($C337,Table467910111213[[#Headers],[13_0]],"")))/4)*$D337</f>
        <v>0</v>
      </c>
      <c r="G337" s="51">
        <f>((LEN($C337)-LEN(SUBSTITUTE($C337,Table467910111213[[#Headers],[14_0]],"")))/4)*$D337</f>
        <v>0</v>
      </c>
      <c r="H337" s="51">
        <f>((LEN($C337)-LEN(SUBSTITUTE($C337,Table467910111213[[#Headers],[14_1]],"")))/4)*$D337</f>
        <v>0</v>
      </c>
      <c r="I337" s="51">
        <f>((LEN($C337)-LEN(SUBSTITUTE($C337,Table467910111213[[#Headers],[15_0]],"")))/4)*$D337</f>
        <v>0</v>
      </c>
      <c r="J337" s="51">
        <f>((LEN($C337)-LEN(SUBSTITUTE($C337,Table467910111213[[#Headers],[15_1]],"")))/4)*$D337</f>
        <v>0</v>
      </c>
      <c r="K337" s="51">
        <f>((LEN($C337)-LEN(SUBSTITUTE($C337,Table467910111213[[#Headers],[16_0]],"")))/4)*$D337</f>
        <v>0</v>
      </c>
      <c r="L337" s="51">
        <f>((LEN($C337)-LEN(SUBSTITUTE($C337,Table467910111213[[#Headers],[16_1]],"")))/4)*$D337</f>
        <v>0</v>
      </c>
      <c r="M337" s="51">
        <f>((LEN($C337)-LEN(SUBSTITUTE($C337,Table467910111213[[#Headers],[16_2]],"")))/4)*$D337</f>
        <v>0</v>
      </c>
      <c r="N337" s="51">
        <f>((LEN($C337)-LEN(SUBSTITUTE($C337,Table467910111213[[#Headers],[16_3]],"")))/4)*$D337</f>
        <v>0</v>
      </c>
      <c r="O337" s="51">
        <f>((LEN($C337)-LEN(SUBSTITUTE($C337,Table467910111213[[#Headers],[17_0]],"")))/4)*$D337</f>
        <v>0</v>
      </c>
      <c r="P337" s="51">
        <f>((LEN($C337)-LEN(SUBSTITUTE($C337,Table467910111213[[#Headers],[17_1]],"")))/4)*$D337</f>
        <v>0</v>
      </c>
      <c r="Q337" s="51">
        <f>((LEN($C337)-LEN(SUBSTITUTE($C337,Table467910111213[[#Headers],[18_0]],"")))/4)*$D337</f>
        <v>0</v>
      </c>
      <c r="R337" s="51">
        <f>((LEN($C337)-LEN(SUBSTITUTE($C337,Table467910111213[[#Headers],[18_1]],"")))/4)*$D337</f>
        <v>0</v>
      </c>
      <c r="S337" s="51">
        <f>((LEN($C337)-LEN(SUBSTITUTE($C337,Table467910111213[[#Headers],[18_2]],"")))/4)*$D337</f>
        <v>0</v>
      </c>
      <c r="T337" s="51">
        <f>((LEN($C337)-LEN(SUBSTITUTE($C337,Table467910111213[[#Headers],[18_3]],"")))/4)*$D337</f>
        <v>0</v>
      </c>
      <c r="U337" s="51">
        <f>((LEN($C337)-LEN(SUBSTITUTE($C337,Table467910111213[[#Headers],[18_4]],"")))/4)*$D337</f>
        <v>9.5557026535301407E-4</v>
      </c>
      <c r="V337" s="51">
        <f>((LEN($C337)-LEN(SUBSTITUTE($C337,Table467910111213[[#Headers],[18_5]],"")))/4)*$D337</f>
        <v>0</v>
      </c>
      <c r="W337" s="51">
        <f>((LEN($C337)-LEN(SUBSTITUTE($C337,Table467910111213[[#Headers],[19_1]],"")))/4)*$D337</f>
        <v>0</v>
      </c>
      <c r="X337" s="51">
        <f>((LEN($C337)-LEN(SUBSTITUTE($C337,Table467910111213[[#Headers],[20_0]],"")))/4)*$D337</f>
        <v>0</v>
      </c>
      <c r="Y337" s="51">
        <f>((LEN($C337)-LEN(SUBSTITUTE($C337,Table467910111213[[#Headers],[20_1]],"")))/4)*$D337</f>
        <v>0</v>
      </c>
      <c r="Z337" s="51">
        <f>((LEN($C337)-LEN(SUBSTITUTE($C337,Table467910111213[[#Headers],[20_2]],"")))/4)*$D337</f>
        <v>0</v>
      </c>
      <c r="AA337" s="51">
        <f>((LEN($C337)-LEN(SUBSTITUTE($C337,Table467910111213[[#Headers],[20_3]],"")))/4)*$D337</f>
        <v>0</v>
      </c>
      <c r="AB337" s="51">
        <f>((LEN($C337)-LEN(SUBSTITUTE($C337,Table467910111213[[#Headers],[20_4]],"")))/4)*$D337</f>
        <v>0</v>
      </c>
      <c r="AC337" s="51">
        <f>((LEN($C337)-LEN(SUBSTITUTE($C337,Table467910111213[[#Headers],[20_5]],"")))/4)*$D337</f>
        <v>9.5557026535301407E-4</v>
      </c>
      <c r="AD337" s="51">
        <f>((LEN($C337)-LEN(SUBSTITUTE($C337,Table467910111213[[#Headers],[22_0]],"")))/4)*$D337</f>
        <v>0</v>
      </c>
      <c r="AE337" s="51">
        <f>((LEN($C337)-LEN(SUBSTITUTE($C337,Table467910111213[[#Headers],[22_5]],"")))/4)*$D337</f>
        <v>0</v>
      </c>
      <c r="AF337" s="51">
        <f>((LEN($C337)-LEN(SUBSTITUTE($C337,Table467910111213[[#Headers],[22_6]],"")))/4)*$D337</f>
        <v>0</v>
      </c>
      <c r="AG337" s="51">
        <f t="shared" si="82"/>
        <v>9.5557026535301407E-4</v>
      </c>
      <c r="AH337" s="51">
        <f t="shared" si="83"/>
        <v>0</v>
      </c>
      <c r="AI337" s="51">
        <f>Table467910111213[[#This Row],[Column29]]/$D$350*0.5</f>
        <v>1.2404669573249915E-2</v>
      </c>
      <c r="AJ337" s="51">
        <f>Table467910111213[[#This Row],[Column29]]/$D$350*1.5</f>
        <v>3.7214008719749746E-2</v>
      </c>
    </row>
    <row r="338" spans="3:36">
      <c r="C338" s="51" t="s">
        <v>605</v>
      </c>
      <c r="D338" s="51">
        <v>4.2236795852039575E-4</v>
      </c>
      <c r="E338" s="51">
        <f>((LEN($C338)-LEN(SUBSTITUTE($C338,Table467910111213[[#Headers],[12_0]],"")))/4)*$D338</f>
        <v>0</v>
      </c>
      <c r="F338" s="51">
        <f>((LEN($C338)-LEN(SUBSTITUTE($C338,Table467910111213[[#Headers],[13_0]],"")))/4)*$D338</f>
        <v>0</v>
      </c>
      <c r="G338" s="51">
        <f>((LEN($C338)-LEN(SUBSTITUTE($C338,Table467910111213[[#Headers],[14_0]],"")))/4)*$D338</f>
        <v>0</v>
      </c>
      <c r="H338" s="51">
        <f>((LEN($C338)-LEN(SUBSTITUTE($C338,Table467910111213[[#Headers],[14_1]],"")))/4)*$D338</f>
        <v>0</v>
      </c>
      <c r="I338" s="51">
        <f>((LEN($C338)-LEN(SUBSTITUTE($C338,Table467910111213[[#Headers],[15_0]],"")))/4)*$D338</f>
        <v>0</v>
      </c>
      <c r="J338" s="51">
        <f>((LEN($C338)-LEN(SUBSTITUTE($C338,Table467910111213[[#Headers],[15_1]],"")))/4)*$D338</f>
        <v>0</v>
      </c>
      <c r="K338" s="51">
        <f>((LEN($C338)-LEN(SUBSTITUTE($C338,Table467910111213[[#Headers],[16_0]],"")))/4)*$D338</f>
        <v>0</v>
      </c>
      <c r="L338" s="51">
        <f>((LEN($C338)-LEN(SUBSTITUTE($C338,Table467910111213[[#Headers],[16_1]],"")))/4)*$D338</f>
        <v>0</v>
      </c>
      <c r="M338" s="51">
        <f>((LEN($C338)-LEN(SUBSTITUTE($C338,Table467910111213[[#Headers],[16_2]],"")))/4)*$D338</f>
        <v>0</v>
      </c>
      <c r="N338" s="51">
        <f>((LEN($C338)-LEN(SUBSTITUTE($C338,Table467910111213[[#Headers],[16_3]],"")))/4)*$D338</f>
        <v>0</v>
      </c>
      <c r="O338" s="51">
        <f>((LEN($C338)-LEN(SUBSTITUTE($C338,Table467910111213[[#Headers],[17_0]],"")))/4)*$D338</f>
        <v>0</v>
      </c>
      <c r="P338" s="51">
        <f>((LEN($C338)-LEN(SUBSTITUTE($C338,Table467910111213[[#Headers],[17_1]],"")))/4)*$D338</f>
        <v>0</v>
      </c>
      <c r="Q338" s="51">
        <f>((LEN($C338)-LEN(SUBSTITUTE($C338,Table467910111213[[#Headers],[18_0]],"")))/4)*$D338</f>
        <v>0</v>
      </c>
      <c r="R338" s="51">
        <f>((LEN($C338)-LEN(SUBSTITUTE($C338,Table467910111213[[#Headers],[18_1]],"")))/4)*$D338</f>
        <v>0</v>
      </c>
      <c r="S338" s="51">
        <f>((LEN($C338)-LEN(SUBSTITUTE($C338,Table467910111213[[#Headers],[18_2]],"")))/4)*$D338</f>
        <v>0</v>
      </c>
      <c r="T338" s="51">
        <f>((LEN($C338)-LEN(SUBSTITUTE($C338,Table467910111213[[#Headers],[18_3]],"")))/4)*$D338</f>
        <v>0</v>
      </c>
      <c r="U338" s="51">
        <f>((LEN($C338)-LEN(SUBSTITUTE($C338,Table467910111213[[#Headers],[18_4]],"")))/4)*$D338</f>
        <v>4.2236795852039575E-4</v>
      </c>
      <c r="V338" s="51">
        <f>((LEN($C338)-LEN(SUBSTITUTE($C338,Table467910111213[[#Headers],[18_5]],"")))/4)*$D338</f>
        <v>0</v>
      </c>
      <c r="W338" s="51">
        <f>((LEN($C338)-LEN(SUBSTITUTE($C338,Table467910111213[[#Headers],[19_1]],"")))/4)*$D338</f>
        <v>0</v>
      </c>
      <c r="X338" s="51">
        <f>((LEN($C338)-LEN(SUBSTITUTE($C338,Table467910111213[[#Headers],[20_0]],"")))/4)*$D338</f>
        <v>0</v>
      </c>
      <c r="Y338" s="51">
        <f>((LEN($C338)-LEN(SUBSTITUTE($C338,Table467910111213[[#Headers],[20_1]],"")))/4)*$D338</f>
        <v>0</v>
      </c>
      <c r="Z338" s="51">
        <f>((LEN($C338)-LEN(SUBSTITUTE($C338,Table467910111213[[#Headers],[20_2]],"")))/4)*$D338</f>
        <v>0</v>
      </c>
      <c r="AA338" s="51">
        <f>((LEN($C338)-LEN(SUBSTITUTE($C338,Table467910111213[[#Headers],[20_3]],"")))/4)*$D338</f>
        <v>0</v>
      </c>
      <c r="AB338" s="51">
        <f>((LEN($C338)-LEN(SUBSTITUTE($C338,Table467910111213[[#Headers],[20_4]],"")))/4)*$D338</f>
        <v>0</v>
      </c>
      <c r="AC338" s="51">
        <f>((LEN($C338)-LEN(SUBSTITUTE($C338,Table467910111213[[#Headers],[20_5]],"")))/4)*$D338</f>
        <v>0</v>
      </c>
      <c r="AD338" s="51">
        <f>((LEN($C338)-LEN(SUBSTITUTE($C338,Table467910111213[[#Headers],[22_0]],"")))/4)*$D338</f>
        <v>0</v>
      </c>
      <c r="AE338" s="51">
        <f>((LEN($C338)-LEN(SUBSTITUTE($C338,Table467910111213[[#Headers],[22_5]],"")))/4)*$D338</f>
        <v>4.2236795852039575E-4</v>
      </c>
      <c r="AF338" s="51">
        <f>((LEN($C338)-LEN(SUBSTITUTE($C338,Table467910111213[[#Headers],[22_6]],"")))/4)*$D338</f>
        <v>0</v>
      </c>
      <c r="AG338" s="51">
        <f t="shared" si="82"/>
        <v>4.2236795852039575E-4</v>
      </c>
      <c r="AH338" s="51">
        <f t="shared" si="83"/>
        <v>0</v>
      </c>
      <c r="AI338" s="51">
        <f>Table467910111213[[#This Row],[Column29]]/$D$350*0.5</f>
        <v>5.482940557843834E-3</v>
      </c>
      <c r="AJ338" s="51">
        <f>Table467910111213[[#This Row],[Column29]]/$D$350*1.5</f>
        <v>1.6448821673531504E-2</v>
      </c>
    </row>
    <row r="339" spans="3:36">
      <c r="C339" s="51" t="s">
        <v>606</v>
      </c>
      <c r="D339" s="51">
        <v>5.4404510880630055E-3</v>
      </c>
      <c r="E339" s="51">
        <f>((LEN($C339)-LEN(SUBSTITUTE($C339,Table467910111213[[#Headers],[12_0]],"")))/4)*$D339</f>
        <v>0</v>
      </c>
      <c r="F339" s="51">
        <f>((LEN($C339)-LEN(SUBSTITUTE($C339,Table467910111213[[#Headers],[13_0]],"")))/4)*$D339</f>
        <v>0</v>
      </c>
      <c r="G339" s="51">
        <f>((LEN($C339)-LEN(SUBSTITUTE($C339,Table467910111213[[#Headers],[14_0]],"")))/4)*$D339</f>
        <v>0</v>
      </c>
      <c r="H339" s="51">
        <f>((LEN($C339)-LEN(SUBSTITUTE($C339,Table467910111213[[#Headers],[14_1]],"")))/4)*$D339</f>
        <v>0</v>
      </c>
      <c r="I339" s="51">
        <f>((LEN($C339)-LEN(SUBSTITUTE($C339,Table467910111213[[#Headers],[15_0]],"")))/4)*$D339</f>
        <v>0</v>
      </c>
      <c r="J339" s="51">
        <f>((LEN($C339)-LEN(SUBSTITUTE($C339,Table467910111213[[#Headers],[15_1]],"")))/4)*$D339</f>
        <v>0</v>
      </c>
      <c r="K339" s="51">
        <f>((LEN($C339)-LEN(SUBSTITUTE($C339,Table467910111213[[#Headers],[16_0]],"")))/4)*$D339</f>
        <v>0</v>
      </c>
      <c r="L339" s="51">
        <f>((LEN($C339)-LEN(SUBSTITUTE($C339,Table467910111213[[#Headers],[16_1]],"")))/4)*$D339</f>
        <v>0</v>
      </c>
      <c r="M339" s="51">
        <f>((LEN($C339)-LEN(SUBSTITUTE($C339,Table467910111213[[#Headers],[16_2]],"")))/4)*$D339</f>
        <v>0</v>
      </c>
      <c r="N339" s="51">
        <f>((LEN($C339)-LEN(SUBSTITUTE($C339,Table467910111213[[#Headers],[16_3]],"")))/4)*$D339</f>
        <v>0</v>
      </c>
      <c r="O339" s="51">
        <f>((LEN($C339)-LEN(SUBSTITUTE($C339,Table467910111213[[#Headers],[17_0]],"")))/4)*$D339</f>
        <v>0</v>
      </c>
      <c r="P339" s="51">
        <f>((LEN($C339)-LEN(SUBSTITUTE($C339,Table467910111213[[#Headers],[17_1]],"")))/4)*$D339</f>
        <v>0</v>
      </c>
      <c r="Q339" s="51">
        <f>((LEN($C339)-LEN(SUBSTITUTE($C339,Table467910111213[[#Headers],[18_0]],"")))/4)*$D339</f>
        <v>0</v>
      </c>
      <c r="R339" s="51">
        <f>((LEN($C339)-LEN(SUBSTITUTE($C339,Table467910111213[[#Headers],[18_1]],"")))/4)*$D339</f>
        <v>0</v>
      </c>
      <c r="S339" s="51">
        <f>((LEN($C339)-LEN(SUBSTITUTE($C339,Table467910111213[[#Headers],[18_2]],"")))/4)*$D339</f>
        <v>0</v>
      </c>
      <c r="T339" s="51">
        <f>((LEN($C339)-LEN(SUBSTITUTE($C339,Table467910111213[[#Headers],[18_3]],"")))/4)*$D339</f>
        <v>0</v>
      </c>
      <c r="U339" s="51">
        <f>((LEN($C339)-LEN(SUBSTITUTE($C339,Table467910111213[[#Headers],[18_4]],"")))/4)*$D339</f>
        <v>5.4404510880630055E-3</v>
      </c>
      <c r="V339" s="51">
        <f>((LEN($C339)-LEN(SUBSTITUTE($C339,Table467910111213[[#Headers],[18_5]],"")))/4)*$D339</f>
        <v>0</v>
      </c>
      <c r="W339" s="51">
        <f>((LEN($C339)-LEN(SUBSTITUTE($C339,Table467910111213[[#Headers],[19_1]],"")))/4)*$D339</f>
        <v>0</v>
      </c>
      <c r="X339" s="51">
        <f>((LEN($C339)-LEN(SUBSTITUTE($C339,Table467910111213[[#Headers],[20_0]],"")))/4)*$D339</f>
        <v>0</v>
      </c>
      <c r="Y339" s="51">
        <f>((LEN($C339)-LEN(SUBSTITUTE($C339,Table467910111213[[#Headers],[20_1]],"")))/4)*$D339</f>
        <v>0</v>
      </c>
      <c r="Z339" s="51">
        <f>((LEN($C339)-LEN(SUBSTITUTE($C339,Table467910111213[[#Headers],[20_2]],"")))/4)*$D339</f>
        <v>0</v>
      </c>
      <c r="AA339" s="51">
        <f>((LEN($C339)-LEN(SUBSTITUTE($C339,Table467910111213[[#Headers],[20_3]],"")))/4)*$D339</f>
        <v>0</v>
      </c>
      <c r="AB339" s="51">
        <f>((LEN($C339)-LEN(SUBSTITUTE($C339,Table467910111213[[#Headers],[20_4]],"")))/4)*$D339</f>
        <v>0</v>
      </c>
      <c r="AC339" s="51">
        <f>((LEN($C339)-LEN(SUBSTITUTE($C339,Table467910111213[[#Headers],[20_5]],"")))/4)*$D339</f>
        <v>0</v>
      </c>
      <c r="AD339" s="51">
        <f>((LEN($C339)-LEN(SUBSTITUTE($C339,Table467910111213[[#Headers],[22_0]],"")))/4)*$D339</f>
        <v>0</v>
      </c>
      <c r="AE339" s="51">
        <f>((LEN($C339)-LEN(SUBSTITUTE($C339,Table467910111213[[#Headers],[22_5]],"")))/4)*$D339</f>
        <v>0</v>
      </c>
      <c r="AF339" s="51">
        <f>((LEN($C339)-LEN(SUBSTITUTE($C339,Table467910111213[[#Headers],[22_6]],"")))/4)*$D339</f>
        <v>5.4404510880630055E-3</v>
      </c>
      <c r="AG339" s="51">
        <f t="shared" si="82"/>
        <v>5.4404510880630055E-3</v>
      </c>
      <c r="AH339" s="51">
        <f t="shared" si="83"/>
        <v>0</v>
      </c>
      <c r="AI339" s="51">
        <f>Table467910111213[[#This Row],[Column29]]/$D$350*0.5</f>
        <v>7.0624841022986412E-2</v>
      </c>
      <c r="AJ339" s="51">
        <f>Table467910111213[[#This Row],[Column29]]/$D$350*1.5</f>
        <v>0.21187452306895924</v>
      </c>
    </row>
    <row r="340" spans="3:36">
      <c r="C340" s="51" t="s">
        <v>607</v>
      </c>
      <c r="D340" s="51">
        <v>1.420593262549269E-4</v>
      </c>
      <c r="E340" s="51">
        <f>((LEN($C340)-LEN(SUBSTITUTE($C340,Table467910111213[[#Headers],[12_0]],"")))/4)*$D340</f>
        <v>0</v>
      </c>
      <c r="F340" s="51">
        <f>((LEN($C340)-LEN(SUBSTITUTE($C340,Table467910111213[[#Headers],[13_0]],"")))/4)*$D340</f>
        <v>0</v>
      </c>
      <c r="G340" s="51">
        <f>((LEN($C340)-LEN(SUBSTITUTE($C340,Table467910111213[[#Headers],[14_0]],"")))/4)*$D340</f>
        <v>0</v>
      </c>
      <c r="H340" s="51">
        <f>((LEN($C340)-LEN(SUBSTITUTE($C340,Table467910111213[[#Headers],[14_1]],"")))/4)*$D340</f>
        <v>0</v>
      </c>
      <c r="I340" s="51">
        <f>((LEN($C340)-LEN(SUBSTITUTE($C340,Table467910111213[[#Headers],[15_0]],"")))/4)*$D340</f>
        <v>0</v>
      </c>
      <c r="J340" s="51">
        <f>((LEN($C340)-LEN(SUBSTITUTE($C340,Table467910111213[[#Headers],[15_1]],"")))/4)*$D340</f>
        <v>0</v>
      </c>
      <c r="K340" s="51">
        <f>((LEN($C340)-LEN(SUBSTITUTE($C340,Table467910111213[[#Headers],[16_0]],"")))/4)*$D340</f>
        <v>0</v>
      </c>
      <c r="L340" s="51">
        <f>((LEN($C340)-LEN(SUBSTITUTE($C340,Table467910111213[[#Headers],[16_1]],"")))/4)*$D340</f>
        <v>0</v>
      </c>
      <c r="M340" s="51">
        <f>((LEN($C340)-LEN(SUBSTITUTE($C340,Table467910111213[[#Headers],[16_2]],"")))/4)*$D340</f>
        <v>0</v>
      </c>
      <c r="N340" s="51">
        <f>((LEN($C340)-LEN(SUBSTITUTE($C340,Table467910111213[[#Headers],[16_3]],"")))/4)*$D340</f>
        <v>0</v>
      </c>
      <c r="O340" s="51">
        <f>((LEN($C340)-LEN(SUBSTITUTE($C340,Table467910111213[[#Headers],[17_0]],"")))/4)*$D340</f>
        <v>0</v>
      </c>
      <c r="P340" s="51">
        <f>((LEN($C340)-LEN(SUBSTITUTE($C340,Table467910111213[[#Headers],[17_1]],"")))/4)*$D340</f>
        <v>0</v>
      </c>
      <c r="Q340" s="51">
        <f>((LEN($C340)-LEN(SUBSTITUTE($C340,Table467910111213[[#Headers],[18_0]],"")))/4)*$D340</f>
        <v>0</v>
      </c>
      <c r="R340" s="51">
        <f>((LEN($C340)-LEN(SUBSTITUTE($C340,Table467910111213[[#Headers],[18_1]],"")))/4)*$D340</f>
        <v>0</v>
      </c>
      <c r="S340" s="51">
        <f>((LEN($C340)-LEN(SUBSTITUTE($C340,Table467910111213[[#Headers],[18_2]],"")))/4)*$D340</f>
        <v>0</v>
      </c>
      <c r="T340" s="51">
        <f>((LEN($C340)-LEN(SUBSTITUTE($C340,Table467910111213[[#Headers],[18_3]],"")))/4)*$D340</f>
        <v>0</v>
      </c>
      <c r="U340" s="51">
        <f>((LEN($C340)-LEN(SUBSTITUTE($C340,Table467910111213[[#Headers],[18_4]],"")))/4)*$D340</f>
        <v>0</v>
      </c>
      <c r="V340" s="51">
        <f>((LEN($C340)-LEN(SUBSTITUTE($C340,Table467910111213[[#Headers],[18_5]],"")))/4)*$D340</f>
        <v>0</v>
      </c>
      <c r="W340" s="51">
        <f>((LEN($C340)-LEN(SUBSTITUTE($C340,Table467910111213[[#Headers],[19_1]],"")))/4)*$D340</f>
        <v>0</v>
      </c>
      <c r="X340" s="51">
        <f>((LEN($C340)-LEN(SUBSTITUTE($C340,Table467910111213[[#Headers],[20_0]],"")))/4)*$D340</f>
        <v>0</v>
      </c>
      <c r="Y340" s="51">
        <f>((LEN($C340)-LEN(SUBSTITUTE($C340,Table467910111213[[#Headers],[20_1]],"")))/4)*$D340</f>
        <v>0</v>
      </c>
      <c r="Z340" s="51">
        <f>((LEN($C340)-LEN(SUBSTITUTE($C340,Table467910111213[[#Headers],[20_2]],"")))/4)*$D340</f>
        <v>1.420593262549269E-4</v>
      </c>
      <c r="AA340" s="51">
        <f>((LEN($C340)-LEN(SUBSTITUTE($C340,Table467910111213[[#Headers],[20_3]],"")))/4)*$D340</f>
        <v>0</v>
      </c>
      <c r="AB340" s="51">
        <f>((LEN($C340)-LEN(SUBSTITUTE($C340,Table467910111213[[#Headers],[20_4]],"")))/4)*$D340</f>
        <v>0</v>
      </c>
      <c r="AC340" s="51">
        <f>((LEN($C340)-LEN(SUBSTITUTE($C340,Table467910111213[[#Headers],[20_5]],"")))/4)*$D340</f>
        <v>1.420593262549269E-4</v>
      </c>
      <c r="AD340" s="51">
        <f>((LEN($C340)-LEN(SUBSTITUTE($C340,Table467910111213[[#Headers],[22_0]],"")))/4)*$D340</f>
        <v>0</v>
      </c>
      <c r="AE340" s="51">
        <f>((LEN($C340)-LEN(SUBSTITUTE($C340,Table467910111213[[#Headers],[22_5]],"")))/4)*$D340</f>
        <v>0</v>
      </c>
      <c r="AF340" s="51">
        <f>((LEN($C340)-LEN(SUBSTITUTE($C340,Table467910111213[[#Headers],[22_6]],"")))/4)*$D340</f>
        <v>0</v>
      </c>
      <c r="AG340" s="51">
        <f t="shared" si="82"/>
        <v>1.420593262549269E-4</v>
      </c>
      <c r="AH340" s="51">
        <f t="shared" si="83"/>
        <v>0</v>
      </c>
      <c r="AI340" s="51">
        <f>Table467910111213[[#This Row],[Column29]]/$D$350*0.5</f>
        <v>1.8441333577284026E-3</v>
      </c>
      <c r="AJ340" s="51">
        <f>Table467910111213[[#This Row],[Column29]]/$D$350*1.5</f>
        <v>5.5324000731852077E-3</v>
      </c>
    </row>
    <row r="341" spans="3:36">
      <c r="C341" s="51" t="s">
        <v>608</v>
      </c>
      <c r="D341" s="51">
        <v>1.4973666028120648E-4</v>
      </c>
      <c r="E341" s="51">
        <f>((LEN($C341)-LEN(SUBSTITUTE($C341,Table467910111213[[#Headers],[12_0]],"")))/4)*$D341</f>
        <v>0</v>
      </c>
      <c r="F341" s="51">
        <f>((LEN($C341)-LEN(SUBSTITUTE($C341,Table467910111213[[#Headers],[13_0]],"")))/4)*$D341</f>
        <v>0</v>
      </c>
      <c r="G341" s="51">
        <f>((LEN($C341)-LEN(SUBSTITUTE($C341,Table467910111213[[#Headers],[14_0]],"")))/4)*$D341</f>
        <v>0</v>
      </c>
      <c r="H341" s="51">
        <f>((LEN($C341)-LEN(SUBSTITUTE($C341,Table467910111213[[#Headers],[14_1]],"")))/4)*$D341</f>
        <v>0</v>
      </c>
      <c r="I341" s="51">
        <f>((LEN($C341)-LEN(SUBSTITUTE($C341,Table467910111213[[#Headers],[15_0]],"")))/4)*$D341</f>
        <v>0</v>
      </c>
      <c r="J341" s="51">
        <f>((LEN($C341)-LEN(SUBSTITUTE($C341,Table467910111213[[#Headers],[15_1]],"")))/4)*$D341</f>
        <v>0</v>
      </c>
      <c r="K341" s="51">
        <f>((LEN($C341)-LEN(SUBSTITUTE($C341,Table467910111213[[#Headers],[16_0]],"")))/4)*$D341</f>
        <v>0</v>
      </c>
      <c r="L341" s="51">
        <f>((LEN($C341)-LEN(SUBSTITUTE($C341,Table467910111213[[#Headers],[16_1]],"")))/4)*$D341</f>
        <v>0</v>
      </c>
      <c r="M341" s="51">
        <f>((LEN($C341)-LEN(SUBSTITUTE($C341,Table467910111213[[#Headers],[16_2]],"")))/4)*$D341</f>
        <v>0</v>
      </c>
      <c r="N341" s="51">
        <f>((LEN($C341)-LEN(SUBSTITUTE($C341,Table467910111213[[#Headers],[16_3]],"")))/4)*$D341</f>
        <v>0</v>
      </c>
      <c r="O341" s="51">
        <f>((LEN($C341)-LEN(SUBSTITUTE($C341,Table467910111213[[#Headers],[17_0]],"")))/4)*$D341</f>
        <v>0</v>
      </c>
      <c r="P341" s="51">
        <f>((LEN($C341)-LEN(SUBSTITUTE($C341,Table467910111213[[#Headers],[17_1]],"")))/4)*$D341</f>
        <v>0</v>
      </c>
      <c r="Q341" s="51">
        <f>((LEN($C341)-LEN(SUBSTITUTE($C341,Table467910111213[[#Headers],[18_0]],"")))/4)*$D341</f>
        <v>0</v>
      </c>
      <c r="R341" s="51">
        <f>((LEN($C341)-LEN(SUBSTITUTE($C341,Table467910111213[[#Headers],[18_1]],"")))/4)*$D341</f>
        <v>0</v>
      </c>
      <c r="S341" s="51">
        <f>((LEN($C341)-LEN(SUBSTITUTE($C341,Table467910111213[[#Headers],[18_2]],"")))/4)*$D341</f>
        <v>0</v>
      </c>
      <c r="T341" s="51">
        <f>((LEN($C341)-LEN(SUBSTITUTE($C341,Table467910111213[[#Headers],[18_3]],"")))/4)*$D341</f>
        <v>0</v>
      </c>
      <c r="U341" s="51">
        <f>((LEN($C341)-LEN(SUBSTITUTE($C341,Table467910111213[[#Headers],[18_4]],"")))/4)*$D341</f>
        <v>0</v>
      </c>
      <c r="V341" s="51">
        <f>((LEN($C341)-LEN(SUBSTITUTE($C341,Table467910111213[[#Headers],[18_5]],"")))/4)*$D341</f>
        <v>0</v>
      </c>
      <c r="W341" s="51">
        <f>((LEN($C341)-LEN(SUBSTITUTE($C341,Table467910111213[[#Headers],[19_1]],"")))/4)*$D341</f>
        <v>0</v>
      </c>
      <c r="X341" s="51">
        <f>((LEN($C341)-LEN(SUBSTITUTE($C341,Table467910111213[[#Headers],[20_0]],"")))/4)*$D341</f>
        <v>0</v>
      </c>
      <c r="Y341" s="51">
        <f>((LEN($C341)-LEN(SUBSTITUTE($C341,Table467910111213[[#Headers],[20_1]],"")))/4)*$D341</f>
        <v>0</v>
      </c>
      <c r="Z341" s="51">
        <f>((LEN($C341)-LEN(SUBSTITUTE($C341,Table467910111213[[#Headers],[20_2]],"")))/4)*$D341</f>
        <v>0</v>
      </c>
      <c r="AA341" s="51">
        <f>((LEN($C341)-LEN(SUBSTITUTE($C341,Table467910111213[[#Headers],[20_3]],"")))/4)*$D341</f>
        <v>1.4973666028120648E-4</v>
      </c>
      <c r="AB341" s="51">
        <f>((LEN($C341)-LEN(SUBSTITUTE($C341,Table467910111213[[#Headers],[20_4]],"")))/4)*$D341</f>
        <v>0</v>
      </c>
      <c r="AC341" s="51">
        <f>((LEN($C341)-LEN(SUBSTITUTE($C341,Table467910111213[[#Headers],[20_5]],"")))/4)*$D341</f>
        <v>1.4973666028120648E-4</v>
      </c>
      <c r="AD341" s="51">
        <f>((LEN($C341)-LEN(SUBSTITUTE($C341,Table467910111213[[#Headers],[22_0]],"")))/4)*$D341</f>
        <v>0</v>
      </c>
      <c r="AE341" s="51">
        <f>((LEN($C341)-LEN(SUBSTITUTE($C341,Table467910111213[[#Headers],[22_5]],"")))/4)*$D341</f>
        <v>0</v>
      </c>
      <c r="AF341" s="51">
        <f>((LEN($C341)-LEN(SUBSTITUTE($C341,Table467910111213[[#Headers],[22_6]],"")))/4)*$D341</f>
        <v>0</v>
      </c>
      <c r="AG341" s="51">
        <f t="shared" si="82"/>
        <v>1.4973666028120648E-4</v>
      </c>
      <c r="AH341" s="51">
        <f t="shared" si="83"/>
        <v>0</v>
      </c>
      <c r="AI341" s="51">
        <f>Table467910111213[[#This Row],[Column29]]/$D$350*0.5</f>
        <v>1.9437961405215488E-3</v>
      </c>
      <c r="AJ341" s="51">
        <f>Table467910111213[[#This Row],[Column29]]/$D$350*1.5</f>
        <v>5.8313884215646468E-3</v>
      </c>
    </row>
    <row r="342" spans="3:36">
      <c r="C342" s="51" t="s">
        <v>609</v>
      </c>
      <c r="D342" s="51">
        <v>2.6200334703116787E-4</v>
      </c>
      <c r="E342" s="51">
        <f>((LEN($C342)-LEN(SUBSTITUTE($C342,Table467910111213[[#Headers],[12_0]],"")))/4)*$D342</f>
        <v>0</v>
      </c>
      <c r="F342" s="51">
        <f>((LEN($C342)-LEN(SUBSTITUTE($C342,Table467910111213[[#Headers],[13_0]],"")))/4)*$D342</f>
        <v>0</v>
      </c>
      <c r="G342" s="51">
        <f>((LEN($C342)-LEN(SUBSTITUTE($C342,Table467910111213[[#Headers],[14_0]],"")))/4)*$D342</f>
        <v>0</v>
      </c>
      <c r="H342" s="51">
        <f>((LEN($C342)-LEN(SUBSTITUTE($C342,Table467910111213[[#Headers],[14_1]],"")))/4)*$D342</f>
        <v>0</v>
      </c>
      <c r="I342" s="51">
        <f>((LEN($C342)-LEN(SUBSTITUTE($C342,Table467910111213[[#Headers],[15_0]],"")))/4)*$D342</f>
        <v>0</v>
      </c>
      <c r="J342" s="51">
        <f>((LEN($C342)-LEN(SUBSTITUTE($C342,Table467910111213[[#Headers],[15_1]],"")))/4)*$D342</f>
        <v>0</v>
      </c>
      <c r="K342" s="51">
        <f>((LEN($C342)-LEN(SUBSTITUTE($C342,Table467910111213[[#Headers],[16_0]],"")))/4)*$D342</f>
        <v>0</v>
      </c>
      <c r="L342" s="51">
        <f>((LEN($C342)-LEN(SUBSTITUTE($C342,Table467910111213[[#Headers],[16_1]],"")))/4)*$D342</f>
        <v>0</v>
      </c>
      <c r="M342" s="51">
        <f>((LEN($C342)-LEN(SUBSTITUTE($C342,Table467910111213[[#Headers],[16_2]],"")))/4)*$D342</f>
        <v>0</v>
      </c>
      <c r="N342" s="51">
        <f>((LEN($C342)-LEN(SUBSTITUTE($C342,Table467910111213[[#Headers],[16_3]],"")))/4)*$D342</f>
        <v>0</v>
      </c>
      <c r="O342" s="51">
        <f>((LEN($C342)-LEN(SUBSTITUTE($C342,Table467910111213[[#Headers],[17_0]],"")))/4)*$D342</f>
        <v>0</v>
      </c>
      <c r="P342" s="51">
        <f>((LEN($C342)-LEN(SUBSTITUTE($C342,Table467910111213[[#Headers],[17_1]],"")))/4)*$D342</f>
        <v>0</v>
      </c>
      <c r="Q342" s="51">
        <f>((LEN($C342)-LEN(SUBSTITUTE($C342,Table467910111213[[#Headers],[18_0]],"")))/4)*$D342</f>
        <v>0</v>
      </c>
      <c r="R342" s="51">
        <f>((LEN($C342)-LEN(SUBSTITUTE($C342,Table467910111213[[#Headers],[18_1]],"")))/4)*$D342</f>
        <v>0</v>
      </c>
      <c r="S342" s="51">
        <f>((LEN($C342)-LEN(SUBSTITUTE($C342,Table467910111213[[#Headers],[18_2]],"")))/4)*$D342</f>
        <v>0</v>
      </c>
      <c r="T342" s="51">
        <f>((LEN($C342)-LEN(SUBSTITUTE($C342,Table467910111213[[#Headers],[18_3]],"")))/4)*$D342</f>
        <v>0</v>
      </c>
      <c r="U342" s="51">
        <f>((LEN($C342)-LEN(SUBSTITUTE($C342,Table467910111213[[#Headers],[18_4]],"")))/4)*$D342</f>
        <v>0</v>
      </c>
      <c r="V342" s="51">
        <f>((LEN($C342)-LEN(SUBSTITUTE($C342,Table467910111213[[#Headers],[18_5]],"")))/4)*$D342</f>
        <v>0</v>
      </c>
      <c r="W342" s="51">
        <f>((LEN($C342)-LEN(SUBSTITUTE($C342,Table467910111213[[#Headers],[19_1]],"")))/4)*$D342</f>
        <v>0</v>
      </c>
      <c r="X342" s="51">
        <f>((LEN($C342)-LEN(SUBSTITUTE($C342,Table467910111213[[#Headers],[20_0]],"")))/4)*$D342</f>
        <v>0</v>
      </c>
      <c r="Y342" s="51">
        <f>((LEN($C342)-LEN(SUBSTITUTE($C342,Table467910111213[[#Headers],[20_1]],"")))/4)*$D342</f>
        <v>0</v>
      </c>
      <c r="Z342" s="51">
        <f>((LEN($C342)-LEN(SUBSTITUTE($C342,Table467910111213[[#Headers],[20_2]],"")))/4)*$D342</f>
        <v>0</v>
      </c>
      <c r="AA342" s="51">
        <f>((LEN($C342)-LEN(SUBSTITUTE($C342,Table467910111213[[#Headers],[20_3]],"")))/4)*$D342</f>
        <v>0</v>
      </c>
      <c r="AB342" s="51">
        <f>((LEN($C342)-LEN(SUBSTITUTE($C342,Table467910111213[[#Headers],[20_4]],"")))/4)*$D342</f>
        <v>2.6200334703116787E-4</v>
      </c>
      <c r="AC342" s="51">
        <f>((LEN($C342)-LEN(SUBSTITUTE($C342,Table467910111213[[#Headers],[20_5]],"")))/4)*$D342</f>
        <v>2.6200334703116787E-4</v>
      </c>
      <c r="AD342" s="51">
        <f>((LEN($C342)-LEN(SUBSTITUTE($C342,Table467910111213[[#Headers],[22_0]],"")))/4)*$D342</f>
        <v>0</v>
      </c>
      <c r="AE342" s="51">
        <f>((LEN($C342)-LEN(SUBSTITUTE($C342,Table467910111213[[#Headers],[22_5]],"")))/4)*$D342</f>
        <v>0</v>
      </c>
      <c r="AF342" s="51">
        <f>((LEN($C342)-LEN(SUBSTITUTE($C342,Table467910111213[[#Headers],[22_6]],"")))/4)*$D342</f>
        <v>0</v>
      </c>
      <c r="AG342" s="51">
        <f>SUM(E342:AF342)/2</f>
        <v>2.6200334703116787E-4</v>
      </c>
      <c r="AH342" s="51">
        <f>D342-AG342</f>
        <v>0</v>
      </c>
      <c r="AI342" s="51">
        <f>Table467910111213[[#This Row],[Column29]]/$D$350*0.5</f>
        <v>3.4011784008437127E-3</v>
      </c>
      <c r="AJ342" s="51">
        <f>Table467910111213[[#This Row],[Column29]]/$D$350*1.5</f>
        <v>1.0203535202531137E-2</v>
      </c>
    </row>
    <row r="343" spans="3:36">
      <c r="C343" s="51" t="s">
        <v>610</v>
      </c>
      <c r="D343" s="51">
        <v>5.3969939398620121E-3</v>
      </c>
      <c r="E343" s="51">
        <f>((LEN($C343)-LEN(SUBSTITUTE($C343,Table467910111213[[#Headers],[12_0]],"")))/4)*$D343</f>
        <v>0</v>
      </c>
      <c r="F343" s="51">
        <f>((LEN($C343)-LEN(SUBSTITUTE($C343,Table467910111213[[#Headers],[13_0]],"")))/4)*$D343</f>
        <v>0</v>
      </c>
      <c r="G343" s="51">
        <f>((LEN($C343)-LEN(SUBSTITUTE($C343,Table467910111213[[#Headers],[14_0]],"")))/4)*$D343</f>
        <v>0</v>
      </c>
      <c r="H343" s="51">
        <f>((LEN($C343)-LEN(SUBSTITUTE($C343,Table467910111213[[#Headers],[14_1]],"")))/4)*$D343</f>
        <v>0</v>
      </c>
      <c r="I343" s="51">
        <f>((LEN($C343)-LEN(SUBSTITUTE($C343,Table467910111213[[#Headers],[15_0]],"")))/4)*$D343</f>
        <v>0</v>
      </c>
      <c r="J343" s="51">
        <f>((LEN($C343)-LEN(SUBSTITUTE($C343,Table467910111213[[#Headers],[15_1]],"")))/4)*$D343</f>
        <v>0</v>
      </c>
      <c r="K343" s="51">
        <f>((LEN($C343)-LEN(SUBSTITUTE($C343,Table467910111213[[#Headers],[16_0]],"")))/4)*$D343</f>
        <v>0</v>
      </c>
      <c r="L343" s="51">
        <f>((LEN($C343)-LEN(SUBSTITUTE($C343,Table467910111213[[#Headers],[16_1]],"")))/4)*$D343</f>
        <v>0</v>
      </c>
      <c r="M343" s="51">
        <f>((LEN($C343)-LEN(SUBSTITUTE($C343,Table467910111213[[#Headers],[16_2]],"")))/4)*$D343</f>
        <v>0</v>
      </c>
      <c r="N343" s="51">
        <f>((LEN($C343)-LEN(SUBSTITUTE($C343,Table467910111213[[#Headers],[16_3]],"")))/4)*$D343</f>
        <v>0</v>
      </c>
      <c r="O343" s="51">
        <f>((LEN($C343)-LEN(SUBSTITUTE($C343,Table467910111213[[#Headers],[17_0]],"")))/4)*$D343</f>
        <v>0</v>
      </c>
      <c r="P343" s="51">
        <f>((LEN($C343)-LEN(SUBSTITUTE($C343,Table467910111213[[#Headers],[17_1]],"")))/4)*$D343</f>
        <v>0</v>
      </c>
      <c r="Q343" s="51">
        <f>((LEN($C343)-LEN(SUBSTITUTE($C343,Table467910111213[[#Headers],[18_0]],"")))/4)*$D343</f>
        <v>0</v>
      </c>
      <c r="R343" s="51">
        <f>((LEN($C343)-LEN(SUBSTITUTE($C343,Table467910111213[[#Headers],[18_1]],"")))/4)*$D343</f>
        <v>0</v>
      </c>
      <c r="S343" s="51">
        <f>((LEN($C343)-LEN(SUBSTITUTE($C343,Table467910111213[[#Headers],[18_2]],"")))/4)*$D343</f>
        <v>0</v>
      </c>
      <c r="T343" s="51">
        <f>((LEN($C343)-LEN(SUBSTITUTE($C343,Table467910111213[[#Headers],[18_3]],"")))/4)*$D343</f>
        <v>0</v>
      </c>
      <c r="U343" s="51">
        <f>((LEN($C343)-LEN(SUBSTITUTE($C343,Table467910111213[[#Headers],[18_4]],"")))/4)*$D343</f>
        <v>0</v>
      </c>
      <c r="V343" s="51">
        <f>((LEN($C343)-LEN(SUBSTITUTE($C343,Table467910111213[[#Headers],[18_5]],"")))/4)*$D343</f>
        <v>0</v>
      </c>
      <c r="W343" s="51">
        <f>((LEN($C343)-LEN(SUBSTITUTE($C343,Table467910111213[[#Headers],[19_1]],"")))/4)*$D343</f>
        <v>0</v>
      </c>
      <c r="X343" s="51">
        <f>((LEN($C343)-LEN(SUBSTITUTE($C343,Table467910111213[[#Headers],[20_0]],"")))/4)*$D343</f>
        <v>0</v>
      </c>
      <c r="Y343" s="51">
        <f>((LEN($C343)-LEN(SUBSTITUTE($C343,Table467910111213[[#Headers],[20_1]],"")))/4)*$D343</f>
        <v>0</v>
      </c>
      <c r="Z343" s="51">
        <f>((LEN($C343)-LEN(SUBSTITUTE($C343,Table467910111213[[#Headers],[20_2]],"")))/4)*$D343</f>
        <v>0</v>
      </c>
      <c r="AA343" s="51">
        <f>((LEN($C343)-LEN(SUBSTITUTE($C343,Table467910111213[[#Headers],[20_3]],"")))/4)*$D343</f>
        <v>0</v>
      </c>
      <c r="AB343" s="51">
        <f>((LEN($C343)-LEN(SUBSTITUTE($C343,Table467910111213[[#Headers],[20_4]],"")))/4)*$D343</f>
        <v>0</v>
      </c>
      <c r="AC343" s="51">
        <f>((LEN($C343)-LEN(SUBSTITUTE($C343,Table467910111213[[#Headers],[20_5]],"")))/4)*$D343</f>
        <v>1.0793987879724024E-2</v>
      </c>
      <c r="AD343" s="51">
        <f>((LEN($C343)-LEN(SUBSTITUTE($C343,Table467910111213[[#Headers],[22_0]],"")))/4)*$D343</f>
        <v>0</v>
      </c>
      <c r="AE343" s="51">
        <f>((LEN($C343)-LEN(SUBSTITUTE($C343,Table467910111213[[#Headers],[22_5]],"")))/4)*$D343</f>
        <v>0</v>
      </c>
      <c r="AF343" s="51">
        <f>((LEN($C343)-LEN(SUBSTITUTE($C343,Table467910111213[[#Headers],[22_6]],"")))/4)*$D343</f>
        <v>0</v>
      </c>
      <c r="AG343" s="51">
        <f>SUM(E343:AF343)/2</f>
        <v>5.3969939398620121E-3</v>
      </c>
      <c r="AH343" s="51">
        <f t="shared" ref="AH343:AH349" si="84">D343-AG343</f>
        <v>0</v>
      </c>
      <c r="AI343" s="51">
        <f>Table467910111213[[#This Row],[Column29]]/$D$350*0.5</f>
        <v>7.0060705047250565E-2</v>
      </c>
      <c r="AJ343" s="51">
        <f>Table467910111213[[#This Row],[Column29]]/$D$350*1.5</f>
        <v>0.2101821151417517</v>
      </c>
    </row>
    <row r="344" spans="3:36">
      <c r="C344" s="51" t="s">
        <v>611</v>
      </c>
      <c r="D344" s="51">
        <v>2.3633297755001441E-3</v>
      </c>
      <c r="E344" s="51">
        <f>((LEN($C344)-LEN(SUBSTITUTE($C344,Table467910111213[[#Headers],[12_0]],"")))/4)*$D344</f>
        <v>0</v>
      </c>
      <c r="F344" s="51">
        <f>((LEN($C344)-LEN(SUBSTITUTE($C344,Table467910111213[[#Headers],[13_0]],"")))/4)*$D344</f>
        <v>0</v>
      </c>
      <c r="G344" s="51">
        <f>((LEN($C344)-LEN(SUBSTITUTE($C344,Table467910111213[[#Headers],[14_0]],"")))/4)*$D344</f>
        <v>0</v>
      </c>
      <c r="H344" s="51">
        <f>((LEN($C344)-LEN(SUBSTITUTE($C344,Table467910111213[[#Headers],[14_1]],"")))/4)*$D344</f>
        <v>0</v>
      </c>
      <c r="I344" s="51">
        <f>((LEN($C344)-LEN(SUBSTITUTE($C344,Table467910111213[[#Headers],[15_0]],"")))/4)*$D344</f>
        <v>0</v>
      </c>
      <c r="J344" s="51">
        <f>((LEN($C344)-LEN(SUBSTITUTE($C344,Table467910111213[[#Headers],[15_1]],"")))/4)*$D344</f>
        <v>0</v>
      </c>
      <c r="K344" s="51">
        <f>((LEN($C344)-LEN(SUBSTITUTE($C344,Table467910111213[[#Headers],[16_0]],"")))/4)*$D344</f>
        <v>0</v>
      </c>
      <c r="L344" s="51">
        <f>((LEN($C344)-LEN(SUBSTITUTE($C344,Table467910111213[[#Headers],[16_1]],"")))/4)*$D344</f>
        <v>0</v>
      </c>
      <c r="M344" s="51">
        <f>((LEN($C344)-LEN(SUBSTITUTE($C344,Table467910111213[[#Headers],[16_2]],"")))/4)*$D344</f>
        <v>0</v>
      </c>
      <c r="N344" s="51">
        <f>((LEN($C344)-LEN(SUBSTITUTE($C344,Table467910111213[[#Headers],[16_3]],"")))/4)*$D344</f>
        <v>0</v>
      </c>
      <c r="O344" s="51">
        <f>((LEN($C344)-LEN(SUBSTITUTE($C344,Table467910111213[[#Headers],[17_0]],"")))/4)*$D344</f>
        <v>0</v>
      </c>
      <c r="P344" s="51">
        <f>((LEN($C344)-LEN(SUBSTITUTE($C344,Table467910111213[[#Headers],[17_1]],"")))/4)*$D344</f>
        <v>0</v>
      </c>
      <c r="Q344" s="51">
        <f>((LEN($C344)-LEN(SUBSTITUTE($C344,Table467910111213[[#Headers],[18_0]],"")))/4)*$D344</f>
        <v>0</v>
      </c>
      <c r="R344" s="51">
        <f>((LEN($C344)-LEN(SUBSTITUTE($C344,Table467910111213[[#Headers],[18_1]],"")))/4)*$D344</f>
        <v>0</v>
      </c>
      <c r="S344" s="51">
        <f>((LEN($C344)-LEN(SUBSTITUTE($C344,Table467910111213[[#Headers],[18_2]],"")))/4)*$D344</f>
        <v>0</v>
      </c>
      <c r="T344" s="51">
        <f>((LEN($C344)-LEN(SUBSTITUTE($C344,Table467910111213[[#Headers],[18_3]],"")))/4)*$D344</f>
        <v>0</v>
      </c>
      <c r="U344" s="51">
        <f>((LEN($C344)-LEN(SUBSTITUTE($C344,Table467910111213[[#Headers],[18_4]],"")))/4)*$D344</f>
        <v>0</v>
      </c>
      <c r="V344" s="51">
        <f>((LEN($C344)-LEN(SUBSTITUTE($C344,Table467910111213[[#Headers],[18_5]],"")))/4)*$D344</f>
        <v>0</v>
      </c>
      <c r="W344" s="51">
        <f>((LEN($C344)-LEN(SUBSTITUTE($C344,Table467910111213[[#Headers],[19_1]],"")))/4)*$D344</f>
        <v>0</v>
      </c>
      <c r="X344" s="51">
        <f>((LEN($C344)-LEN(SUBSTITUTE($C344,Table467910111213[[#Headers],[20_0]],"")))/4)*$D344</f>
        <v>0</v>
      </c>
      <c r="Y344" s="51">
        <f>((LEN($C344)-LEN(SUBSTITUTE($C344,Table467910111213[[#Headers],[20_1]],"")))/4)*$D344</f>
        <v>0</v>
      </c>
      <c r="Z344" s="51">
        <f>((LEN($C344)-LEN(SUBSTITUTE($C344,Table467910111213[[#Headers],[20_2]],"")))/4)*$D344</f>
        <v>0</v>
      </c>
      <c r="AA344" s="51">
        <f>((LEN($C344)-LEN(SUBSTITUTE($C344,Table467910111213[[#Headers],[20_3]],"")))/4)*$D344</f>
        <v>0</v>
      </c>
      <c r="AB344" s="51">
        <f>((LEN($C344)-LEN(SUBSTITUTE($C344,Table467910111213[[#Headers],[20_4]],"")))/4)*$D344</f>
        <v>0</v>
      </c>
      <c r="AC344" s="51">
        <f>((LEN($C344)-LEN(SUBSTITUTE($C344,Table467910111213[[#Headers],[20_5]],"")))/4)*$D344</f>
        <v>2.3633297755001441E-3</v>
      </c>
      <c r="AD344" s="51">
        <f>((LEN($C344)-LEN(SUBSTITUTE($C344,Table467910111213[[#Headers],[22_0]],"")))/4)*$D344</f>
        <v>0</v>
      </c>
      <c r="AE344" s="51">
        <f>((LEN($C344)-LEN(SUBSTITUTE($C344,Table467910111213[[#Headers],[22_5]],"")))/4)*$D344</f>
        <v>0</v>
      </c>
      <c r="AF344" s="51">
        <f>((LEN($C344)-LEN(SUBSTITUTE($C344,Table467910111213[[#Headers],[22_6]],"")))/4)*$D344</f>
        <v>2.3633297755001441E-3</v>
      </c>
      <c r="AG344" s="51">
        <f>SUM(E344:AF344)/2</f>
        <v>2.3633297755001441E-3</v>
      </c>
      <c r="AH344" s="51">
        <f t="shared" si="84"/>
        <v>0</v>
      </c>
      <c r="AI344" s="51">
        <f>Table467910111213[[#This Row],[Column29]]/$D$350*0.5</f>
        <v>3.0679402677805098E-2</v>
      </c>
      <c r="AJ344" s="51">
        <f>Table467910111213[[#This Row],[Column29]]/$D$350*1.5</f>
        <v>9.2038208033415295E-2</v>
      </c>
    </row>
    <row r="345" spans="3:36">
      <c r="C345" s="51" t="s">
        <v>612</v>
      </c>
      <c r="D345" s="44">
        <v>1.6930240334071749E-4</v>
      </c>
      <c r="E345" s="51">
        <f>((LEN($C345)-LEN(SUBSTITUTE($C345,Table467910111213[[#Headers],[12_0]],"")))/4)*$D345</f>
        <v>0</v>
      </c>
      <c r="F345" s="51">
        <f>((LEN($C345)-LEN(SUBSTITUTE($C345,Table467910111213[[#Headers],[13_0]],"")))/4)*$D345</f>
        <v>0</v>
      </c>
      <c r="G345" s="51">
        <f>((LEN($C345)-LEN(SUBSTITUTE($C345,Table467910111213[[#Headers],[14_0]],"")))/4)*$D345</f>
        <v>0</v>
      </c>
      <c r="H345" s="51">
        <f>((LEN($C345)-LEN(SUBSTITUTE($C345,Table467910111213[[#Headers],[14_1]],"")))/4)*$D345</f>
        <v>0</v>
      </c>
      <c r="I345" s="51">
        <f>((LEN($C345)-LEN(SUBSTITUTE($C345,Table467910111213[[#Headers],[15_0]],"")))/4)*$D345</f>
        <v>0</v>
      </c>
      <c r="J345" s="51">
        <f>((LEN($C345)-LEN(SUBSTITUTE($C345,Table467910111213[[#Headers],[15_1]],"")))/4)*$D345</f>
        <v>0</v>
      </c>
      <c r="K345" s="51">
        <f>((LEN($C345)-LEN(SUBSTITUTE($C345,Table467910111213[[#Headers],[16_0]],"")))/4)*$D345</f>
        <v>0</v>
      </c>
      <c r="L345" s="51">
        <f>((LEN($C345)-LEN(SUBSTITUTE($C345,Table467910111213[[#Headers],[16_1]],"")))/4)*$D345</f>
        <v>0</v>
      </c>
      <c r="M345" s="51">
        <f>((LEN($C345)-LEN(SUBSTITUTE($C345,Table467910111213[[#Headers],[16_2]],"")))/4)*$D345</f>
        <v>0</v>
      </c>
      <c r="N345" s="51">
        <f>((LEN($C345)-LEN(SUBSTITUTE($C345,Table467910111213[[#Headers],[16_3]],"")))/4)*$D345</f>
        <v>0</v>
      </c>
      <c r="O345" s="51">
        <f>((LEN($C345)-LEN(SUBSTITUTE($C345,Table467910111213[[#Headers],[17_0]],"")))/4)*$D345</f>
        <v>0</v>
      </c>
      <c r="P345" s="51">
        <f>((LEN($C345)-LEN(SUBSTITUTE($C345,Table467910111213[[#Headers],[17_1]],"")))/4)*$D345</f>
        <v>0</v>
      </c>
      <c r="Q345" s="51">
        <f>((LEN($C345)-LEN(SUBSTITUTE($C345,Table467910111213[[#Headers],[18_0]],"")))/4)*$D345</f>
        <v>0</v>
      </c>
      <c r="R345" s="51">
        <f>((LEN($C345)-LEN(SUBSTITUTE($C345,Table467910111213[[#Headers],[18_1]],"")))/4)*$D345</f>
        <v>0</v>
      </c>
      <c r="S345" s="51">
        <f>((LEN($C345)-LEN(SUBSTITUTE($C345,Table467910111213[[#Headers],[18_2]],"")))/4)*$D345</f>
        <v>0</v>
      </c>
      <c r="T345" s="51">
        <f>((LEN($C345)-LEN(SUBSTITUTE($C345,Table467910111213[[#Headers],[18_3]],"")))/4)*$D345</f>
        <v>0</v>
      </c>
      <c r="U345" s="51">
        <f>((LEN($C345)-LEN(SUBSTITUTE($C345,Table467910111213[[#Headers],[18_4]],"")))/4)*$D345</f>
        <v>0</v>
      </c>
      <c r="V345" s="51">
        <f>((LEN($C345)-LEN(SUBSTITUTE($C345,Table467910111213[[#Headers],[18_5]],"")))/4)*$D345</f>
        <v>0</v>
      </c>
      <c r="W345" s="51">
        <f>((LEN($C345)-LEN(SUBSTITUTE($C345,Table467910111213[[#Headers],[19_1]],"")))/4)*$D345</f>
        <v>0</v>
      </c>
      <c r="X345" s="51">
        <f>((LEN($C345)-LEN(SUBSTITUTE($C345,Table467910111213[[#Headers],[20_0]],"")))/4)*$D345</f>
        <v>0</v>
      </c>
      <c r="Y345" s="51">
        <f>((LEN($C345)-LEN(SUBSTITUTE($C345,Table467910111213[[#Headers],[20_1]],"")))/4)*$D345</f>
        <v>0</v>
      </c>
      <c r="Z345" s="51">
        <f>((LEN($C345)-LEN(SUBSTITUTE($C345,Table467910111213[[#Headers],[20_2]],"")))/4)*$D345</f>
        <v>0</v>
      </c>
      <c r="AA345" s="51">
        <f>((LEN($C345)-LEN(SUBSTITUTE($C345,Table467910111213[[#Headers],[20_3]],"")))/4)*$D345</f>
        <v>0</v>
      </c>
      <c r="AB345" s="51">
        <f>((LEN($C345)-LEN(SUBSTITUTE($C345,Table467910111213[[#Headers],[20_4]],"")))/4)*$D345</f>
        <v>0</v>
      </c>
      <c r="AC345" s="51">
        <f>((LEN($C345)-LEN(SUBSTITUTE($C345,Table467910111213[[#Headers],[20_5]],"")))/4)*$D345</f>
        <v>0</v>
      </c>
      <c r="AD345" s="51">
        <f>((LEN($C345)-LEN(SUBSTITUTE($C345,Table467910111213[[#Headers],[22_0]],"")))/4)*$D345</f>
        <v>0</v>
      </c>
      <c r="AE345" s="51">
        <f>((LEN($C345)-LEN(SUBSTITUTE($C345,Table467910111213[[#Headers],[22_5]],"")))/4)*$D345</f>
        <v>0</v>
      </c>
      <c r="AF345" s="51">
        <f>((LEN($C345)-LEN(SUBSTITUTE($C345,Table467910111213[[#Headers],[22_6]],"")))/4)*$D345</f>
        <v>3.3860480668143497E-4</v>
      </c>
      <c r="AG345" s="51">
        <f>SUM(E345:AF345)/2</f>
        <v>1.6930240334071749E-4</v>
      </c>
      <c r="AH345" s="51">
        <f t="shared" si="84"/>
        <v>0</v>
      </c>
      <c r="AI345" s="51">
        <f>Table467910111213[[#This Row],[Column29]]/$D$350*0.5</f>
        <v>2.1977874862219924E-3</v>
      </c>
      <c r="AJ345" s="51">
        <f>Table467910111213[[#This Row],[Column29]]/$D$350*1.5</f>
        <v>6.5933624586659769E-3</v>
      </c>
    </row>
    <row r="346" spans="3:36">
      <c r="C346" s="53" t="s">
        <v>613</v>
      </c>
      <c r="D346" s="51">
        <v>1.2730624034621802E-4</v>
      </c>
      <c r="E346" s="51">
        <f>((LEN($C346)-LEN(SUBSTITUTE($C346,Table467910111213[[#Headers],[12_0]],"")))/4)*$D346</f>
        <v>0</v>
      </c>
      <c r="F346" s="51">
        <f>((LEN($C346)-LEN(SUBSTITUTE($C346,Table467910111213[[#Headers],[13_0]],"")))/4)*$D346</f>
        <v>0</v>
      </c>
      <c r="G346" s="51">
        <f>((LEN($C346)-LEN(SUBSTITUTE($C346,Table467910111213[[#Headers],[14_0]],"")))/4)*$D346</f>
        <v>1.2730624034621802E-4</v>
      </c>
      <c r="H346" s="51">
        <f>((LEN($C346)-LEN(SUBSTITUTE($C346,Table467910111213[[#Headers],[14_1]],"")))/4)*$D346</f>
        <v>0</v>
      </c>
      <c r="I346" s="51">
        <f>((LEN($C346)-LEN(SUBSTITUTE($C346,Table467910111213[[#Headers],[15_0]],"")))/4)*$D346</f>
        <v>0</v>
      </c>
      <c r="J346" s="51">
        <f>((LEN($C346)-LEN(SUBSTITUTE($C346,Table467910111213[[#Headers],[15_1]],"")))/4)*$D346</f>
        <v>0</v>
      </c>
      <c r="K346" s="51">
        <f>((LEN($C346)-LEN(SUBSTITUTE($C346,Table467910111213[[#Headers],[16_0]],"")))/4)*$D346</f>
        <v>0</v>
      </c>
      <c r="L346" s="51">
        <f>((LEN($C346)-LEN(SUBSTITUTE($C346,Table467910111213[[#Headers],[16_1]],"")))/4)*$D346</f>
        <v>0</v>
      </c>
      <c r="M346" s="51">
        <f>((LEN($C346)-LEN(SUBSTITUTE($C346,Table467910111213[[#Headers],[16_2]],"")))/4)*$D346</f>
        <v>0</v>
      </c>
      <c r="N346" s="51">
        <f>((LEN($C346)-LEN(SUBSTITUTE($C346,Table467910111213[[#Headers],[16_3]],"")))/4)*$D346</f>
        <v>0</v>
      </c>
      <c r="O346" s="51">
        <f>((LEN($C346)-LEN(SUBSTITUTE($C346,Table467910111213[[#Headers],[17_0]],"")))/4)*$D346</f>
        <v>0</v>
      </c>
      <c r="P346" s="51">
        <f>((LEN($C346)-LEN(SUBSTITUTE($C346,Table467910111213[[#Headers],[17_1]],"")))/4)*$D346</f>
        <v>0</v>
      </c>
      <c r="Q346" s="51">
        <f>((LEN($C346)-LEN(SUBSTITUTE($C346,Table467910111213[[#Headers],[18_0]],"")))/4)*$D346</f>
        <v>0</v>
      </c>
      <c r="R346" s="51">
        <f>((LEN($C346)-LEN(SUBSTITUTE($C346,Table467910111213[[#Headers],[18_1]],"")))/4)*$D346</f>
        <v>0</v>
      </c>
      <c r="S346" s="51">
        <f>((LEN($C346)-LEN(SUBSTITUTE($C346,Table467910111213[[#Headers],[18_2]],"")))/4)*$D346</f>
        <v>0</v>
      </c>
      <c r="T346" s="51">
        <f>((LEN($C346)-LEN(SUBSTITUTE($C346,Table467910111213[[#Headers],[18_3]],"")))/4)*$D346</f>
        <v>0</v>
      </c>
      <c r="U346" s="51">
        <f>((LEN($C346)-LEN(SUBSTITUTE($C346,Table467910111213[[#Headers],[18_4]],"")))/4)*$D346</f>
        <v>0</v>
      </c>
      <c r="V346" s="51">
        <f>((LEN($C346)-LEN(SUBSTITUTE($C346,Table467910111213[[#Headers],[18_5]],"")))/4)*$D346</f>
        <v>0</v>
      </c>
      <c r="W346" s="51">
        <f>((LEN($C346)-LEN(SUBSTITUTE($C346,Table467910111213[[#Headers],[19_1]],"")))/4)*$D346</f>
        <v>0</v>
      </c>
      <c r="X346" s="51">
        <f>((LEN($C346)-LEN(SUBSTITUTE($C346,Table467910111213[[#Headers],[20_0]],"")))/4)*$D346</f>
        <v>0</v>
      </c>
      <c r="Y346" s="51">
        <f>((LEN($C346)-LEN(SUBSTITUTE($C346,Table467910111213[[#Headers],[20_1]],"")))/4)*$D346</f>
        <v>0</v>
      </c>
      <c r="Z346" s="51">
        <f>((LEN($C346)-LEN(SUBSTITUTE($C346,Table467910111213[[#Headers],[20_2]],"")))/4)*$D346</f>
        <v>0</v>
      </c>
      <c r="AA346" s="51">
        <f>((LEN($C346)-LEN(SUBSTITUTE($C346,Table467910111213[[#Headers],[20_3]],"")))/4)*$D346</f>
        <v>0</v>
      </c>
      <c r="AB346" s="51">
        <f>((LEN($C346)-LEN(SUBSTITUTE($C346,Table467910111213[[#Headers],[20_4]],"")))/4)*$D346</f>
        <v>0</v>
      </c>
      <c r="AC346" s="51">
        <f>((LEN($C346)-LEN(SUBSTITUTE($C346,Table467910111213[[#Headers],[20_5]],"")))/4)*$D346</f>
        <v>0</v>
      </c>
      <c r="AD346" s="51">
        <f>((LEN($C346)-LEN(SUBSTITUTE($C346,Table467910111213[[#Headers],[22_0]],"")))/4)*$D346</f>
        <v>0</v>
      </c>
      <c r="AE346" s="51">
        <f>((LEN($C346)-LEN(SUBSTITUTE($C346,Table467910111213[[#Headers],[22_5]],"")))/4)*$D346</f>
        <v>0</v>
      </c>
      <c r="AF346" s="51">
        <f>((LEN($C346)-LEN(SUBSTITUTE($C346,Table467910111213[[#Headers],[22_6]],"")))/4)*$D346</f>
        <v>0</v>
      </c>
      <c r="AG346" s="51">
        <f>SUM(E346:AF346)/1</f>
        <v>1.2730624034621802E-4</v>
      </c>
      <c r="AH346" s="51">
        <f t="shared" si="84"/>
        <v>0</v>
      </c>
      <c r="AI346" s="51">
        <f>Table467910111213[[#This Row],[Column29]]/$D$350*0.5</f>
        <v>1.6526171893012746E-3</v>
      </c>
      <c r="AJ346" s="51">
        <f>Table467910111213[[#This Row],[Column29]]/$D$350*1.5</f>
        <v>4.9578515679038239E-3</v>
      </c>
    </row>
    <row r="347" spans="3:36">
      <c r="C347" s="53" t="s">
        <v>614</v>
      </c>
      <c r="D347" s="51">
        <v>8.2723274133162414E-4</v>
      </c>
      <c r="E347" s="51">
        <f>((LEN($C347)-LEN(SUBSTITUTE($C347,Table467910111213[[#Headers],[12_0]],"")))/4)*$D347</f>
        <v>0</v>
      </c>
      <c r="F347" s="51">
        <f>((LEN($C347)-LEN(SUBSTITUTE($C347,Table467910111213[[#Headers],[13_0]],"")))/4)*$D347</f>
        <v>0</v>
      </c>
      <c r="G347" s="51">
        <f>((LEN($C347)-LEN(SUBSTITUTE($C347,Table467910111213[[#Headers],[14_0]],"")))/4)*$D347</f>
        <v>0</v>
      </c>
      <c r="H347" s="51">
        <f>((LEN($C347)-LEN(SUBSTITUTE($C347,Table467910111213[[#Headers],[14_1]],"")))/4)*$D347</f>
        <v>0</v>
      </c>
      <c r="I347" s="51">
        <f>((LEN($C347)-LEN(SUBSTITUTE($C347,Table467910111213[[#Headers],[15_0]],"")))/4)*$D347</f>
        <v>0</v>
      </c>
      <c r="J347" s="51">
        <f>((LEN($C347)-LEN(SUBSTITUTE($C347,Table467910111213[[#Headers],[15_1]],"")))/4)*$D347</f>
        <v>0</v>
      </c>
      <c r="K347" s="51">
        <f>((LEN($C347)-LEN(SUBSTITUTE($C347,Table467910111213[[#Headers],[16_0]],"")))/4)*$D347</f>
        <v>8.2723274133162414E-4</v>
      </c>
      <c r="L347" s="51">
        <f>((LEN($C347)-LEN(SUBSTITUTE($C347,Table467910111213[[#Headers],[16_1]],"")))/4)*$D347</f>
        <v>0</v>
      </c>
      <c r="M347" s="51">
        <f>((LEN($C347)-LEN(SUBSTITUTE($C347,Table467910111213[[#Headers],[16_2]],"")))/4)*$D347</f>
        <v>0</v>
      </c>
      <c r="N347" s="51">
        <f>((LEN($C347)-LEN(SUBSTITUTE($C347,Table467910111213[[#Headers],[16_3]],"")))/4)*$D347</f>
        <v>0</v>
      </c>
      <c r="O347" s="51">
        <f>((LEN($C347)-LEN(SUBSTITUTE($C347,Table467910111213[[#Headers],[17_0]],"")))/4)*$D347</f>
        <v>0</v>
      </c>
      <c r="P347" s="51">
        <f>((LEN($C347)-LEN(SUBSTITUTE($C347,Table467910111213[[#Headers],[17_1]],"")))/4)*$D347</f>
        <v>0</v>
      </c>
      <c r="Q347" s="51">
        <f>((LEN($C347)-LEN(SUBSTITUTE($C347,Table467910111213[[#Headers],[18_0]],"")))/4)*$D347</f>
        <v>0</v>
      </c>
      <c r="R347" s="51">
        <f>((LEN($C347)-LEN(SUBSTITUTE($C347,Table467910111213[[#Headers],[18_1]],"")))/4)*$D347</f>
        <v>0</v>
      </c>
      <c r="S347" s="51">
        <f>((LEN($C347)-LEN(SUBSTITUTE($C347,Table467910111213[[#Headers],[18_2]],"")))/4)*$D347</f>
        <v>0</v>
      </c>
      <c r="T347" s="51">
        <f>((LEN($C347)-LEN(SUBSTITUTE($C347,Table467910111213[[#Headers],[18_3]],"")))/4)*$D347</f>
        <v>0</v>
      </c>
      <c r="U347" s="51">
        <f>((LEN($C347)-LEN(SUBSTITUTE($C347,Table467910111213[[#Headers],[18_4]],"")))/4)*$D347</f>
        <v>0</v>
      </c>
      <c r="V347" s="51">
        <f>((LEN($C347)-LEN(SUBSTITUTE($C347,Table467910111213[[#Headers],[18_5]],"")))/4)*$D347</f>
        <v>0</v>
      </c>
      <c r="W347" s="51">
        <f>((LEN($C347)-LEN(SUBSTITUTE($C347,Table467910111213[[#Headers],[19_1]],"")))/4)*$D347</f>
        <v>0</v>
      </c>
      <c r="X347" s="51">
        <f>((LEN($C347)-LEN(SUBSTITUTE($C347,Table467910111213[[#Headers],[20_0]],"")))/4)*$D347</f>
        <v>0</v>
      </c>
      <c r="Y347" s="51">
        <f>((LEN($C347)-LEN(SUBSTITUTE($C347,Table467910111213[[#Headers],[20_1]],"")))/4)*$D347</f>
        <v>0</v>
      </c>
      <c r="Z347" s="51">
        <f>((LEN($C347)-LEN(SUBSTITUTE($C347,Table467910111213[[#Headers],[20_2]],"")))/4)*$D347</f>
        <v>0</v>
      </c>
      <c r="AA347" s="51">
        <f>((LEN($C347)-LEN(SUBSTITUTE($C347,Table467910111213[[#Headers],[20_3]],"")))/4)*$D347</f>
        <v>0</v>
      </c>
      <c r="AB347" s="51">
        <f>((LEN($C347)-LEN(SUBSTITUTE($C347,Table467910111213[[#Headers],[20_4]],"")))/4)*$D347</f>
        <v>0</v>
      </c>
      <c r="AC347" s="51">
        <f>((LEN($C347)-LEN(SUBSTITUTE($C347,Table467910111213[[#Headers],[20_5]],"")))/4)*$D347</f>
        <v>0</v>
      </c>
      <c r="AD347" s="51">
        <f>((LEN($C347)-LEN(SUBSTITUTE($C347,Table467910111213[[#Headers],[22_0]],"")))/4)*$D347</f>
        <v>0</v>
      </c>
      <c r="AE347" s="51">
        <f>((LEN($C347)-LEN(SUBSTITUTE($C347,Table467910111213[[#Headers],[22_5]],"")))/4)*$D347</f>
        <v>0</v>
      </c>
      <c r="AF347" s="51">
        <f>((LEN($C347)-LEN(SUBSTITUTE($C347,Table467910111213[[#Headers],[22_6]],"")))/4)*$D347</f>
        <v>0</v>
      </c>
      <c r="AG347" s="51">
        <f>SUM(E347:AF347)/1</f>
        <v>8.2723274133162414E-4</v>
      </c>
      <c r="AH347" s="51">
        <f t="shared" si="84"/>
        <v>0</v>
      </c>
      <c r="AI347" s="51">
        <f>Table467910111213[[#This Row],[Column29]]/$D$350*0.5</f>
        <v>1.0738664845961501E-2</v>
      </c>
      <c r="AJ347" s="51">
        <f>Table467910111213[[#This Row],[Column29]]/$D$350*1.5</f>
        <v>3.2215994537884499E-2</v>
      </c>
    </row>
    <row r="348" spans="3:36">
      <c r="C348" s="53" t="s">
        <v>615</v>
      </c>
      <c r="D348" s="51">
        <v>4.1850064473850118E-4</v>
      </c>
      <c r="E348" s="51">
        <f>((LEN($C348)-LEN(SUBSTITUTE($C348,Table467910111213[[#Headers],[12_0]],"")))/4)*$D348</f>
        <v>0</v>
      </c>
      <c r="F348" s="51">
        <f>((LEN($C348)-LEN(SUBSTITUTE($C348,Table467910111213[[#Headers],[13_0]],"")))/4)*$D348</f>
        <v>0</v>
      </c>
      <c r="G348" s="51">
        <f>((LEN($C348)-LEN(SUBSTITUTE($C348,Table467910111213[[#Headers],[14_0]],"")))/4)*$D348</f>
        <v>0</v>
      </c>
      <c r="H348" s="51">
        <f>((LEN($C348)-LEN(SUBSTITUTE($C348,Table467910111213[[#Headers],[14_1]],"")))/4)*$D348</f>
        <v>0</v>
      </c>
      <c r="I348" s="51">
        <f>((LEN($C348)-LEN(SUBSTITUTE($C348,Table467910111213[[#Headers],[15_0]],"")))/4)*$D348</f>
        <v>0</v>
      </c>
      <c r="J348" s="51">
        <f>((LEN($C348)-LEN(SUBSTITUTE($C348,Table467910111213[[#Headers],[15_1]],"")))/4)*$D348</f>
        <v>0</v>
      </c>
      <c r="K348" s="51">
        <f>((LEN($C348)-LEN(SUBSTITUTE($C348,Table467910111213[[#Headers],[16_0]],"")))/4)*$D348</f>
        <v>0</v>
      </c>
      <c r="L348" s="51">
        <f>((LEN($C348)-LEN(SUBSTITUTE($C348,Table467910111213[[#Headers],[16_1]],"")))/4)*$D348</f>
        <v>0</v>
      </c>
      <c r="M348" s="51">
        <f>((LEN($C348)-LEN(SUBSTITUTE($C348,Table467910111213[[#Headers],[16_2]],"")))/4)*$D348</f>
        <v>0</v>
      </c>
      <c r="N348" s="51">
        <f>((LEN($C348)-LEN(SUBSTITUTE($C348,Table467910111213[[#Headers],[16_3]],"")))/4)*$D348</f>
        <v>0</v>
      </c>
      <c r="O348" s="51">
        <f>((LEN($C348)-LEN(SUBSTITUTE($C348,Table467910111213[[#Headers],[17_0]],"")))/4)*$D348</f>
        <v>0</v>
      </c>
      <c r="P348" s="51">
        <f>((LEN($C348)-LEN(SUBSTITUTE($C348,Table467910111213[[#Headers],[17_1]],"")))/4)*$D348</f>
        <v>0</v>
      </c>
      <c r="Q348" s="51">
        <f>((LEN($C348)-LEN(SUBSTITUTE($C348,Table467910111213[[#Headers],[18_0]],"")))/4)*$D348</f>
        <v>0</v>
      </c>
      <c r="R348" s="51">
        <f>((LEN($C348)-LEN(SUBSTITUTE($C348,Table467910111213[[#Headers],[18_1]],"")))/4)*$D348</f>
        <v>0</v>
      </c>
      <c r="S348" s="51">
        <f>((LEN($C348)-LEN(SUBSTITUTE($C348,Table467910111213[[#Headers],[18_2]],"")))/4)*$D348</f>
        <v>0</v>
      </c>
      <c r="T348" s="51">
        <f>((LEN($C348)-LEN(SUBSTITUTE($C348,Table467910111213[[#Headers],[18_3]],"")))/4)*$D348</f>
        <v>0</v>
      </c>
      <c r="U348" s="51">
        <f>((LEN($C348)-LEN(SUBSTITUTE($C348,Table467910111213[[#Headers],[18_4]],"")))/4)*$D348</f>
        <v>0</v>
      </c>
      <c r="V348" s="51">
        <f>((LEN($C348)-LEN(SUBSTITUTE($C348,Table467910111213[[#Headers],[18_5]],"")))/4)*$D348</f>
        <v>0</v>
      </c>
      <c r="W348" s="51">
        <f>((LEN($C348)-LEN(SUBSTITUTE($C348,Table467910111213[[#Headers],[19_1]],"")))/4)*$D348</f>
        <v>0</v>
      </c>
      <c r="X348" s="51">
        <f>((LEN($C348)-LEN(SUBSTITUTE($C348,Table467910111213[[#Headers],[20_0]],"")))/4)*$D348</f>
        <v>0</v>
      </c>
      <c r="Y348" s="51">
        <f>((LEN($C348)-LEN(SUBSTITUTE($C348,Table467910111213[[#Headers],[20_1]],"")))/4)*$D348</f>
        <v>0</v>
      </c>
      <c r="Z348" s="51">
        <f>((LEN($C348)-LEN(SUBSTITUTE($C348,Table467910111213[[#Headers],[20_2]],"")))/4)*$D348</f>
        <v>0</v>
      </c>
      <c r="AA348" s="51">
        <f>((LEN($C348)-LEN(SUBSTITUTE($C348,Table467910111213[[#Headers],[20_3]],"")))/4)*$D348</f>
        <v>0</v>
      </c>
      <c r="AB348" s="51">
        <f>((LEN($C348)-LEN(SUBSTITUTE($C348,Table467910111213[[#Headers],[20_4]],"")))/4)*$D348</f>
        <v>0</v>
      </c>
      <c r="AC348" s="51">
        <f>((LEN($C348)-LEN(SUBSTITUTE($C348,Table467910111213[[#Headers],[20_5]],"")))/4)*$D348</f>
        <v>4.1850064473850118E-4</v>
      </c>
      <c r="AD348" s="51">
        <f>((LEN($C348)-LEN(SUBSTITUTE($C348,Table467910111213[[#Headers],[22_0]],"")))/4)*$D348</f>
        <v>0</v>
      </c>
      <c r="AE348" s="51">
        <f>((LEN($C348)-LEN(SUBSTITUTE($C348,Table467910111213[[#Headers],[22_5]],"")))/4)*$D348</f>
        <v>0</v>
      </c>
      <c r="AF348" s="51">
        <f>((LEN($C348)-LEN(SUBSTITUTE($C348,Table467910111213[[#Headers],[22_6]],"")))/4)*$D348</f>
        <v>0</v>
      </c>
      <c r="AG348" s="51">
        <f>SUM(E348:AF348)/1</f>
        <v>4.1850064473850118E-4</v>
      </c>
      <c r="AH348" s="51">
        <f t="shared" si="84"/>
        <v>0</v>
      </c>
      <c r="AI348" s="51">
        <f>Table467910111213[[#This Row],[Column29]]/$D$350*0.5</f>
        <v>5.4327372903920619E-3</v>
      </c>
      <c r="AJ348" s="51">
        <f>Table467910111213[[#This Row],[Column29]]/$D$350*1.5</f>
        <v>1.6298211871176187E-2</v>
      </c>
    </row>
    <row r="349" spans="3:36">
      <c r="C349" s="53" t="s">
        <v>616</v>
      </c>
      <c r="D349" s="51">
        <v>1.5371856113812014E-4</v>
      </c>
      <c r="E349" s="51">
        <f>((LEN($C349)-LEN(SUBSTITUTE($C349,Table467910111213[[#Headers],[12_0]],"")))/4)*$D349</f>
        <v>0</v>
      </c>
      <c r="F349" s="51">
        <f>((LEN($C349)-LEN(SUBSTITUTE($C349,Table467910111213[[#Headers],[13_0]],"")))/4)*$D349</f>
        <v>0</v>
      </c>
      <c r="G349" s="51">
        <f>((LEN($C349)-LEN(SUBSTITUTE($C349,Table467910111213[[#Headers],[14_0]],"")))/4)*$D349</f>
        <v>0</v>
      </c>
      <c r="H349" s="51">
        <f>((LEN($C349)-LEN(SUBSTITUTE($C349,Table467910111213[[#Headers],[14_1]],"")))/4)*$D349</f>
        <v>0</v>
      </c>
      <c r="I349" s="51">
        <f>((LEN($C349)-LEN(SUBSTITUTE($C349,Table467910111213[[#Headers],[15_0]],"")))/4)*$D349</f>
        <v>0</v>
      </c>
      <c r="J349" s="51">
        <f>((LEN($C349)-LEN(SUBSTITUTE($C349,Table467910111213[[#Headers],[15_1]],"")))/4)*$D349</f>
        <v>0</v>
      </c>
      <c r="K349" s="51">
        <f>((LEN($C349)-LEN(SUBSTITUTE($C349,Table467910111213[[#Headers],[16_0]],"")))/4)*$D349</f>
        <v>0</v>
      </c>
      <c r="L349" s="51">
        <f>((LEN($C349)-LEN(SUBSTITUTE($C349,Table467910111213[[#Headers],[16_1]],"")))/4)*$D349</f>
        <v>0</v>
      </c>
      <c r="M349" s="51">
        <f>((LEN($C349)-LEN(SUBSTITUTE($C349,Table467910111213[[#Headers],[16_2]],"")))/4)*$D349</f>
        <v>0</v>
      </c>
      <c r="N349" s="51">
        <f>((LEN($C349)-LEN(SUBSTITUTE($C349,Table467910111213[[#Headers],[16_3]],"")))/4)*$D349</f>
        <v>0</v>
      </c>
      <c r="O349" s="51">
        <f>((LEN($C349)-LEN(SUBSTITUTE($C349,Table467910111213[[#Headers],[17_0]],"")))/4)*$D349</f>
        <v>0</v>
      </c>
      <c r="P349" s="51">
        <f>((LEN($C349)-LEN(SUBSTITUTE($C349,Table467910111213[[#Headers],[17_1]],"")))/4)*$D349</f>
        <v>0</v>
      </c>
      <c r="Q349" s="51">
        <f>((LEN($C349)-LEN(SUBSTITUTE($C349,Table467910111213[[#Headers],[18_0]],"")))/4)*$D349</f>
        <v>0</v>
      </c>
      <c r="R349" s="51">
        <f>((LEN($C349)-LEN(SUBSTITUTE($C349,Table467910111213[[#Headers],[18_1]],"")))/4)*$D349</f>
        <v>0</v>
      </c>
      <c r="S349" s="51">
        <f>((LEN($C349)-LEN(SUBSTITUTE($C349,Table467910111213[[#Headers],[18_2]],"")))/4)*$D349</f>
        <v>0</v>
      </c>
      <c r="T349" s="51">
        <f>((LEN($C349)-LEN(SUBSTITUTE($C349,Table467910111213[[#Headers],[18_3]],"")))/4)*$D349</f>
        <v>0</v>
      </c>
      <c r="U349" s="51">
        <f>((LEN($C349)-LEN(SUBSTITUTE($C349,Table467910111213[[#Headers],[18_4]],"")))/4)*$D349</f>
        <v>0</v>
      </c>
      <c r="V349" s="51">
        <f>((LEN($C349)-LEN(SUBSTITUTE($C349,Table467910111213[[#Headers],[18_5]],"")))/4)*$D349</f>
        <v>0</v>
      </c>
      <c r="W349" s="51">
        <f>((LEN($C349)-LEN(SUBSTITUTE($C349,Table467910111213[[#Headers],[19_1]],"")))/4)*$D349</f>
        <v>0</v>
      </c>
      <c r="X349" s="51">
        <f>((LEN($C349)-LEN(SUBSTITUTE($C349,Table467910111213[[#Headers],[20_0]],"")))/4)*$D349</f>
        <v>0</v>
      </c>
      <c r="Y349" s="51">
        <f>((LEN($C349)-LEN(SUBSTITUTE($C349,Table467910111213[[#Headers],[20_1]],"")))/4)*$D349</f>
        <v>0</v>
      </c>
      <c r="Z349" s="51">
        <f>((LEN($C349)-LEN(SUBSTITUTE($C349,Table467910111213[[#Headers],[20_2]],"")))/4)*$D349</f>
        <v>0</v>
      </c>
      <c r="AA349" s="51">
        <f>((LEN($C349)-LEN(SUBSTITUTE($C349,Table467910111213[[#Headers],[20_3]],"")))/4)*$D349</f>
        <v>0</v>
      </c>
      <c r="AB349" s="51">
        <f>((LEN($C349)-LEN(SUBSTITUTE($C349,Table467910111213[[#Headers],[20_4]],"")))/4)*$D349</f>
        <v>0</v>
      </c>
      <c r="AC349" s="51">
        <f>((LEN($C349)-LEN(SUBSTITUTE($C349,Table467910111213[[#Headers],[20_5]],"")))/4)*$D349</f>
        <v>0</v>
      </c>
      <c r="AD349" s="51">
        <f>((LEN($C349)-LEN(SUBSTITUTE($C349,Table467910111213[[#Headers],[22_0]],"")))/4)*$D349</f>
        <v>0</v>
      </c>
      <c r="AE349" s="51">
        <f>((LEN($C349)-LEN(SUBSTITUTE($C349,Table467910111213[[#Headers],[22_5]],"")))/4)*$D349</f>
        <v>0</v>
      </c>
      <c r="AF349" s="51">
        <f>((LEN($C349)-LEN(SUBSTITUTE($C349,Table467910111213[[#Headers],[22_6]],"")))/4)*$D349</f>
        <v>1.5371856113812014E-4</v>
      </c>
      <c r="AG349" s="51">
        <f>SUM(E349:AF349)/1</f>
        <v>1.5371856113812014E-4</v>
      </c>
      <c r="AH349" s="51">
        <f t="shared" si="84"/>
        <v>0</v>
      </c>
      <c r="AI349" s="51">
        <f>Table467910111213[[#This Row],[Column29]]/$D$350*0.5</f>
        <v>1.9954869121941135E-3</v>
      </c>
      <c r="AJ349" s="51">
        <f>Table467910111213[[#This Row],[Column29]]/$D$350*1.5</f>
        <v>5.986460736582341E-3</v>
      </c>
    </row>
    <row r="350" spans="3:36">
      <c r="C350" s="51"/>
      <c r="D350" s="51">
        <f>SUM(D311:D349)</f>
        <v>3.8516554580932019E-2</v>
      </c>
      <c r="E350" s="51">
        <f>SUM(E311:E349)</f>
        <v>0</v>
      </c>
      <c r="F350" s="51">
        <f t="shared" ref="F350:AF350" si="85">SUM(F311:F349)</f>
        <v>0</v>
      </c>
      <c r="G350" s="51">
        <f t="shared" si="85"/>
        <v>6.0575597805783577E-3</v>
      </c>
      <c r="H350" s="51">
        <f t="shared" si="85"/>
        <v>0</v>
      </c>
      <c r="I350" s="51">
        <f t="shared" si="85"/>
        <v>0</v>
      </c>
      <c r="J350" s="51">
        <f t="shared" si="85"/>
        <v>0</v>
      </c>
      <c r="K350" s="51">
        <f t="shared" si="85"/>
        <v>1.2690289384215079E-2</v>
      </c>
      <c r="L350" s="51">
        <f t="shared" si="85"/>
        <v>2.463364291991817E-3</v>
      </c>
      <c r="M350" s="51">
        <f t="shared" si="85"/>
        <v>4.3322508387845526E-4</v>
      </c>
      <c r="N350" s="51">
        <f t="shared" si="85"/>
        <v>0</v>
      </c>
      <c r="O350" s="51">
        <f t="shared" si="85"/>
        <v>0</v>
      </c>
      <c r="P350" s="51">
        <f t="shared" si="85"/>
        <v>0</v>
      </c>
      <c r="Q350" s="51">
        <f t="shared" si="85"/>
        <v>2.1098345187891442E-4</v>
      </c>
      <c r="R350" s="51">
        <f t="shared" si="85"/>
        <v>1.7384291618834924E-3</v>
      </c>
      <c r="S350" s="51">
        <f t="shared" si="85"/>
        <v>2.8388947835981563E-4</v>
      </c>
      <c r="T350" s="51">
        <f t="shared" si="85"/>
        <v>7.5776432710129588E-4</v>
      </c>
      <c r="U350" s="51">
        <f t="shared" si="85"/>
        <v>7.9406551246734621E-3</v>
      </c>
      <c r="V350" s="51">
        <f t="shared" si="85"/>
        <v>0</v>
      </c>
      <c r="W350" s="51">
        <f t="shared" si="85"/>
        <v>0</v>
      </c>
      <c r="X350" s="51">
        <f t="shared" si="85"/>
        <v>0</v>
      </c>
      <c r="Y350" s="51">
        <f t="shared" si="85"/>
        <v>0</v>
      </c>
      <c r="Z350" s="51">
        <f t="shared" si="85"/>
        <v>1.420593262549269E-4</v>
      </c>
      <c r="AA350" s="51">
        <f t="shared" si="85"/>
        <v>1.4973666028120648E-4</v>
      </c>
      <c r="AB350" s="51">
        <f t="shared" si="85"/>
        <v>5.7834961439014307E-4</v>
      </c>
      <c r="AC350" s="51">
        <f t="shared" si="85"/>
        <v>3.1055933360282312E-2</v>
      </c>
      <c r="AD350" s="51">
        <f t="shared" si="85"/>
        <v>0</v>
      </c>
      <c r="AE350" s="51">
        <f t="shared" si="85"/>
        <v>4.2236795852039575E-4</v>
      </c>
      <c r="AF350" s="51">
        <f t="shared" si="85"/>
        <v>1.0581743970019901E-2</v>
      </c>
      <c r="AG350" s="51">
        <f>SUM(AG334:AG349)</f>
        <v>1.7648013771991381E-2</v>
      </c>
      <c r="AH350" s="51">
        <f>SUM(AH334:AH349)</f>
        <v>0</v>
      </c>
      <c r="AI350" s="51">
        <f>Table467910111213[[#This Row],[Column29]]/$D$350*0.5</f>
        <v>0.22909647506124803</v>
      </c>
      <c r="AJ350" s="51">
        <f>Table467910111213[[#This Row],[Column29]]/$D$350*1.5</f>
        <v>0.68728942518374403</v>
      </c>
    </row>
    <row r="351" spans="3:36">
      <c r="D351" s="44">
        <f>SUM(E350:AF350)</f>
        <v>7.5506350974309577E-2</v>
      </c>
      <c r="E351" s="44">
        <f>E350/$D$351*100</f>
        <v>0</v>
      </c>
      <c r="F351" s="44">
        <f t="shared" ref="F351:AF351" si="86">F350/$D$351*100</f>
        <v>0</v>
      </c>
      <c r="G351" s="44">
        <f t="shared" si="86"/>
        <v>8.0225831369329352</v>
      </c>
      <c r="H351" s="44">
        <f t="shared" si="86"/>
        <v>0</v>
      </c>
      <c r="I351" s="44">
        <f t="shared" si="86"/>
        <v>0</v>
      </c>
      <c r="J351" s="44">
        <f t="shared" si="86"/>
        <v>0</v>
      </c>
      <c r="K351" s="44">
        <f t="shared" si="86"/>
        <v>16.806916531475409</v>
      </c>
      <c r="L351" s="44">
        <f t="shared" si="86"/>
        <v>3.262459727169118</v>
      </c>
      <c r="M351" s="44">
        <f t="shared" si="86"/>
        <v>0.57375979409448163</v>
      </c>
      <c r="N351" s="44">
        <f t="shared" si="86"/>
        <v>0</v>
      </c>
      <c r="O351" s="44">
        <f t="shared" si="86"/>
        <v>0</v>
      </c>
      <c r="P351" s="44">
        <f t="shared" si="86"/>
        <v>0</v>
      </c>
      <c r="Q351" s="44">
        <f t="shared" si="86"/>
        <v>0.279424775739328</v>
      </c>
      <c r="R351" s="44">
        <f t="shared" si="86"/>
        <v>2.3023615092655962</v>
      </c>
      <c r="S351" s="44">
        <f t="shared" si="86"/>
        <v>0.37598092703010733</v>
      </c>
      <c r="T351" s="44">
        <f t="shared" si="86"/>
        <v>1.0035769406458526</v>
      </c>
      <c r="U351" s="44">
        <f t="shared" si="86"/>
        <v>10.516539366834461</v>
      </c>
      <c r="V351" s="44">
        <f t="shared" si="86"/>
        <v>0</v>
      </c>
      <c r="W351" s="44">
        <f t="shared" si="86"/>
        <v>0</v>
      </c>
      <c r="X351" s="44">
        <f t="shared" si="86"/>
        <v>0</v>
      </c>
      <c r="Y351" s="44">
        <f t="shared" si="86"/>
        <v>0</v>
      </c>
      <c r="Z351" s="44">
        <f t="shared" si="86"/>
        <v>0.18814222170961675</v>
      </c>
      <c r="AA351" s="44">
        <f t="shared" si="86"/>
        <v>0.19831002074534518</v>
      </c>
      <c r="AB351" s="44">
        <f t="shared" si="86"/>
        <v>0.76596154750866163</v>
      </c>
      <c r="AC351" s="44">
        <f t="shared" si="86"/>
        <v>41.130226741918491</v>
      </c>
      <c r="AD351" s="44">
        <f t="shared" si="86"/>
        <v>0</v>
      </c>
      <c r="AE351" s="44">
        <f t="shared" si="86"/>
        <v>0.5593807051596269</v>
      </c>
      <c r="AF351" s="44">
        <f t="shared" si="86"/>
        <v>14.014376053770963</v>
      </c>
      <c r="AI351" s="51">
        <f>Table467910111213[[#This Row],[Column29]]/$D$350*0.5</f>
        <v>0</v>
      </c>
      <c r="AJ351" s="51">
        <f>Table467910111213[[#This Row],[Column29]]/$D$350*1.5</f>
        <v>0</v>
      </c>
    </row>
    <row r="352" spans="3:36">
      <c r="C352" s="51"/>
      <c r="D352" s="51">
        <f>SUM(E351:AF351)</f>
        <v>100</v>
      </c>
      <c r="E352" s="51">
        <f>IF(E351 &gt; 1, E351, 0)</f>
        <v>0</v>
      </c>
      <c r="F352" s="51">
        <f t="shared" ref="F352:P352" si="87">IF(F351 &gt; 1, F351, 0)</f>
        <v>0</v>
      </c>
      <c r="G352" s="51">
        <f t="shared" si="87"/>
        <v>8.0225831369329352</v>
      </c>
      <c r="H352" s="51">
        <f t="shared" si="87"/>
        <v>0</v>
      </c>
      <c r="I352" s="51">
        <f t="shared" si="87"/>
        <v>0</v>
      </c>
      <c r="J352" s="51">
        <f t="shared" si="87"/>
        <v>0</v>
      </c>
      <c r="K352" s="51">
        <f t="shared" si="87"/>
        <v>16.806916531475409</v>
      </c>
      <c r="L352" s="51">
        <f t="shared" si="87"/>
        <v>3.262459727169118</v>
      </c>
      <c r="M352" s="51">
        <f t="shared" si="87"/>
        <v>0</v>
      </c>
      <c r="N352" s="51">
        <f t="shared" si="87"/>
        <v>0</v>
      </c>
      <c r="O352" s="51">
        <f t="shared" si="87"/>
        <v>0</v>
      </c>
      <c r="P352" s="51">
        <f t="shared" si="87"/>
        <v>0</v>
      </c>
      <c r="Q352" s="51">
        <f>Q351</f>
        <v>0.279424775739328</v>
      </c>
      <c r="R352" s="51">
        <f>R351</f>
        <v>2.3023615092655962</v>
      </c>
      <c r="S352" s="51">
        <f>S351</f>
        <v>0.37598092703010733</v>
      </c>
      <c r="T352" s="51">
        <f t="shared" ref="T352:AA352" si="88">IF(T351 &gt; 1, T351, 0)</f>
        <v>1.0035769406458526</v>
      </c>
      <c r="U352" s="51">
        <f t="shared" si="88"/>
        <v>10.516539366834461</v>
      </c>
      <c r="V352" s="51">
        <f t="shared" si="88"/>
        <v>0</v>
      </c>
      <c r="W352" s="51">
        <f t="shared" si="88"/>
        <v>0</v>
      </c>
      <c r="X352" s="51">
        <f t="shared" si="88"/>
        <v>0</v>
      </c>
      <c r="Y352" s="51">
        <f t="shared" si="88"/>
        <v>0</v>
      </c>
      <c r="Z352" s="51">
        <f t="shared" si="88"/>
        <v>0</v>
      </c>
      <c r="AA352" s="51">
        <f t="shared" si="88"/>
        <v>0</v>
      </c>
      <c r="AB352" s="51">
        <f>AB351</f>
        <v>0.76596154750866163</v>
      </c>
      <c r="AC352" s="51">
        <f>AC351</f>
        <v>41.130226741918491</v>
      </c>
      <c r="AD352" s="51">
        <f>IF(AD351 &gt; 1, AD351, 0)</f>
        <v>0</v>
      </c>
      <c r="AE352" s="51">
        <v>0.70327624508163489</v>
      </c>
      <c r="AF352" s="51">
        <f>IF(AF351 &gt; 1, AF351, 0)</f>
        <v>14.014376053770963</v>
      </c>
      <c r="AG352" s="51"/>
      <c r="AH352" s="51"/>
      <c r="AI352" s="51">
        <f>Table467910111213[[#This Row],[Column29]]/$D$350*0.5</f>
        <v>0</v>
      </c>
      <c r="AJ352" s="51">
        <f>Table467910111213[[#This Row],[Column29]]/$D$350*1.5</f>
        <v>0</v>
      </c>
    </row>
    <row r="353" spans="3:42">
      <c r="D353" s="44">
        <f>SUM(E352:AF352)</f>
        <v>99.183683503372563</v>
      </c>
      <c r="E353" s="48">
        <f>E352/$D$353</f>
        <v>0</v>
      </c>
      <c r="F353" s="48">
        <f t="shared" ref="F353:AF353" si="89">F352/$D$353</f>
        <v>0</v>
      </c>
      <c r="G353" s="48">
        <f t="shared" si="89"/>
        <v>8.088611809481891E-2</v>
      </c>
      <c r="H353" s="48">
        <f t="shared" si="89"/>
        <v>0</v>
      </c>
      <c r="I353" s="48">
        <f t="shared" si="89"/>
        <v>0</v>
      </c>
      <c r="J353" s="48">
        <f t="shared" si="89"/>
        <v>0</v>
      </c>
      <c r="K353" s="48">
        <f t="shared" si="89"/>
        <v>0.1694524334832142</v>
      </c>
      <c r="L353" s="48">
        <f t="shared" si="89"/>
        <v>3.2893109147919312E-2</v>
      </c>
      <c r="M353" s="47">
        <f t="shared" si="89"/>
        <v>0</v>
      </c>
      <c r="N353" s="48">
        <f t="shared" si="89"/>
        <v>0</v>
      </c>
      <c r="O353" s="48">
        <f t="shared" si="89"/>
        <v>0</v>
      </c>
      <c r="P353" s="48">
        <f t="shared" si="89"/>
        <v>0</v>
      </c>
      <c r="Q353" s="48">
        <f t="shared" si="89"/>
        <v>2.817245396313867E-3</v>
      </c>
      <c r="R353" s="48">
        <f t="shared" si="89"/>
        <v>2.3213107518711064E-2</v>
      </c>
      <c r="S353" s="48">
        <f t="shared" si="89"/>
        <v>3.7907538190726981E-3</v>
      </c>
      <c r="T353" s="48">
        <f t="shared" si="89"/>
        <v>1.0118367307982948E-2</v>
      </c>
      <c r="U353" s="48">
        <f t="shared" si="89"/>
        <v>0.10603094173727542</v>
      </c>
      <c r="V353" s="48">
        <f t="shared" si="89"/>
        <v>0</v>
      </c>
      <c r="W353" s="48">
        <f t="shared" si="89"/>
        <v>0</v>
      </c>
      <c r="X353" s="48">
        <f t="shared" si="89"/>
        <v>0</v>
      </c>
      <c r="Y353" s="48">
        <f t="shared" si="89"/>
        <v>0</v>
      </c>
      <c r="Z353" s="47">
        <f t="shared" si="89"/>
        <v>0</v>
      </c>
      <c r="AA353" s="47">
        <f t="shared" si="89"/>
        <v>0</v>
      </c>
      <c r="AB353" s="48">
        <f t="shared" si="89"/>
        <v>7.7226567964943198E-3</v>
      </c>
      <c r="AC353" s="48">
        <f t="shared" si="89"/>
        <v>0.41468742931411628</v>
      </c>
      <c r="AD353" s="48">
        <f t="shared" si="89"/>
        <v>0</v>
      </c>
      <c r="AE353" s="48">
        <f t="shared" si="89"/>
        <v>7.0906445520116344E-3</v>
      </c>
      <c r="AF353" s="48">
        <f t="shared" si="89"/>
        <v>0.14129719283206929</v>
      </c>
      <c r="AI353" s="51">
        <f>Table467910111213[[#This Row],[Column29]]/$D$350*0.5</f>
        <v>0</v>
      </c>
      <c r="AJ353" s="51">
        <f>Table467910111213[[#This Row],[Column29]]/$D$350*1.5</f>
        <v>0</v>
      </c>
    </row>
    <row r="354" spans="3:42">
      <c r="C354" s="51"/>
      <c r="D354" s="51">
        <f>SUM(E353:AF353)</f>
        <v>0.99999999999999989</v>
      </c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>
        <f>Table467910111213[[#This Row],[Column29]]/$D$350*0.5</f>
        <v>0</v>
      </c>
      <c r="AJ354" s="51">
        <f>Table467910111213[[#This Row],[Column29]]/$D$350*1.5</f>
        <v>0</v>
      </c>
    </row>
    <row r="358" spans="3:42">
      <c r="C358" s="49" t="s">
        <v>315</v>
      </c>
      <c r="D358" s="49" t="s">
        <v>316</v>
      </c>
      <c r="E358" s="49" t="s">
        <v>317</v>
      </c>
      <c r="F358" s="49" t="s">
        <v>318</v>
      </c>
      <c r="G358" s="49" t="s">
        <v>319</v>
      </c>
      <c r="H358" s="49" t="s">
        <v>320</v>
      </c>
      <c r="I358" s="49" t="s">
        <v>321</v>
      </c>
      <c r="J358" s="49" t="s">
        <v>322</v>
      </c>
      <c r="K358" s="49" t="s">
        <v>323</v>
      </c>
      <c r="L358" s="49" t="s">
        <v>324</v>
      </c>
      <c r="M358" s="49" t="s">
        <v>325</v>
      </c>
      <c r="N358" s="49" t="s">
        <v>326</v>
      </c>
      <c r="O358" s="49" t="s">
        <v>327</v>
      </c>
      <c r="P358" s="49" t="s">
        <v>328</v>
      </c>
      <c r="Q358" s="49" t="s">
        <v>329</v>
      </c>
      <c r="R358" s="49" t="s">
        <v>330</v>
      </c>
      <c r="S358" s="49" t="s">
        <v>331</v>
      </c>
      <c r="T358" s="49" t="s">
        <v>332</v>
      </c>
      <c r="U358" s="49" t="s">
        <v>333</v>
      </c>
      <c r="V358" s="49" t="s">
        <v>334</v>
      </c>
      <c r="W358" s="49" t="s">
        <v>508</v>
      </c>
      <c r="X358" s="49" t="s">
        <v>617</v>
      </c>
      <c r="Y358" s="49" t="s">
        <v>484</v>
      </c>
      <c r="Z358" s="49" t="s">
        <v>335</v>
      </c>
      <c r="AA358" s="49" t="s">
        <v>336</v>
      </c>
      <c r="AB358" s="49" t="s">
        <v>337</v>
      </c>
      <c r="AC358" s="49" t="s">
        <v>338</v>
      </c>
      <c r="AD358" s="49" t="s">
        <v>339</v>
      </c>
      <c r="AE358" s="49" t="s">
        <v>618</v>
      </c>
      <c r="AF358" s="49" t="s">
        <v>340</v>
      </c>
      <c r="AG358" s="49" t="s">
        <v>619</v>
      </c>
      <c r="AH358" s="49" t="s">
        <v>341</v>
      </c>
      <c r="AI358" s="49" t="s">
        <v>342</v>
      </c>
      <c r="AJ358" s="49" t="s">
        <v>620</v>
      </c>
      <c r="AK358" s="49" t="s">
        <v>621</v>
      </c>
      <c r="AL358" s="49" t="s">
        <v>622</v>
      </c>
      <c r="AM358" s="49" t="s">
        <v>343</v>
      </c>
      <c r="AN358" s="49" t="s">
        <v>344</v>
      </c>
      <c r="AO358" s="49" t="s">
        <v>345</v>
      </c>
      <c r="AP358" s="49" t="s">
        <v>346</v>
      </c>
    </row>
    <row r="359" spans="3:42" s="47" customFormat="1">
      <c r="C359" s="55" t="s">
        <v>623</v>
      </c>
      <c r="D359" s="55">
        <v>1.8471436493078619E-4</v>
      </c>
      <c r="E359" s="55">
        <f>((LEN($C359)-LEN(SUBSTITUTE($C359,Table467910111214[[#Headers],[12_0]],"")))/4)*$D359</f>
        <v>0</v>
      </c>
      <c r="F359" s="55">
        <f>((LEN($C359)-LEN(SUBSTITUTE($C359,Table467910111214[[#Headers],[13_0]],"")))/4)*$D359</f>
        <v>0</v>
      </c>
      <c r="G359" s="55">
        <f>((LEN($C359)-LEN(SUBSTITUTE($C359,Table467910111214[[#Headers],[14_0]],"")))/4)*$D359</f>
        <v>0</v>
      </c>
      <c r="H359" s="55">
        <f>((LEN($C359)-LEN(SUBSTITUTE($C359,Table467910111214[[#Headers],[14_1]],"")))/4)*$D359</f>
        <v>0</v>
      </c>
      <c r="I359" s="55">
        <f>((LEN($C359)-LEN(SUBSTITUTE($C359,Table467910111214[[#Headers],[15_0]],"")))/4)*$D359</f>
        <v>0</v>
      </c>
      <c r="J359" s="55">
        <f>((LEN($C359)-LEN(SUBSTITUTE($C359,Table467910111214[[#Headers],[15_1]],"")))/4)*$D359</f>
        <v>0</v>
      </c>
      <c r="K359" s="55">
        <f>((LEN($C359)-LEN(SUBSTITUTE($C359,Table467910111214[[#Headers],[16_0]],"")))/4)*$D359</f>
        <v>1.8471436493078619E-4</v>
      </c>
      <c r="L359" s="55">
        <f>((LEN($C359)-LEN(SUBSTITUTE($C359,Table467910111214[[#Headers],[16_1]],"")))/4)*$D359</f>
        <v>0</v>
      </c>
      <c r="M359" s="55">
        <f>((LEN($C359)-LEN(SUBSTITUTE($C359,Table467910111214[[#Headers],[16_2]],"")))/4)*$D359</f>
        <v>0</v>
      </c>
      <c r="N359" s="55">
        <f>((LEN($C359)-LEN(SUBSTITUTE($C359,Table467910111214[[#Headers],[16_3]],"")))/4)*$D359</f>
        <v>0</v>
      </c>
      <c r="O359" s="55">
        <f>((LEN($C359)-LEN(SUBSTITUTE($C359,Table467910111214[[#Headers],[17_0]],"")))/4)*$D359</f>
        <v>0</v>
      </c>
      <c r="P359" s="55">
        <f>((LEN($C359)-LEN(SUBSTITUTE($C359,Table467910111214[[#Headers],[17_1]],"")))/4)*$D359</f>
        <v>0</v>
      </c>
      <c r="Q359" s="55">
        <f>((LEN($C359)-LEN(SUBSTITUTE($C359,Table467910111214[[#Headers],[18_0]],"")))/4)*$D359</f>
        <v>0</v>
      </c>
      <c r="R359" s="55">
        <f>((LEN($C359)-LEN(SUBSTITUTE($C359,Table467910111214[[#Headers],[18_1]],"")))/4)*$D359</f>
        <v>0</v>
      </c>
      <c r="S359" s="55">
        <f>((LEN($C359)-LEN(SUBSTITUTE($C359,Table467910111214[[#Headers],[18_2]],"")))/4)*$D359</f>
        <v>0</v>
      </c>
      <c r="T359" s="55">
        <f>((LEN($C359)-LEN(SUBSTITUTE($C359,Table467910111214[[#Headers],[18_3]],"")))/4)*$D359</f>
        <v>0</v>
      </c>
      <c r="U359" s="55">
        <f>((LEN($C359)-LEN(SUBSTITUTE($C359,Table467910111214[[#Headers],[18_4]],"")))/4)*$D359</f>
        <v>0</v>
      </c>
      <c r="V359" s="55">
        <f>((LEN($C359)-LEN(SUBSTITUTE($C359,Table467910111214[[#Headers],[18_5]],"")))/4)*$D359</f>
        <v>0</v>
      </c>
      <c r="W359" s="55">
        <f>((LEN($C359)-LEN(SUBSTITUTE($C359,Table467910111214[[#Headers],[19_1]],"")))/4)*$D359</f>
        <v>0</v>
      </c>
      <c r="X359" s="55">
        <f>((LEN($C359)-LEN(SUBSTITUTE($C359,Table467910111214[[#Headers],[19_2]],"")))/4)*$D359</f>
        <v>0</v>
      </c>
      <c r="Y359" s="55">
        <f>((LEN($C359)-LEN(SUBSTITUTE($C359,Table467910111214[[#Headers],[20_0]],"")))/4)*$D359</f>
        <v>0</v>
      </c>
      <c r="Z359" s="55">
        <f>((LEN($C359)-LEN(SUBSTITUTE($C359,Table467910111214[[#Headers],[20_1]],"")))/4)*$D359</f>
        <v>0</v>
      </c>
      <c r="AA359" s="55">
        <f>((LEN($C359)-LEN(SUBSTITUTE($C359,Table467910111214[[#Headers],[20_2]],"")))/4)*$D359</f>
        <v>0</v>
      </c>
      <c r="AB359" s="55">
        <f>((LEN($C359)-LEN(SUBSTITUTE($C359,Table467910111214[[#Headers],[20_3]],"")))/4)*$D359</f>
        <v>0</v>
      </c>
      <c r="AC359" s="55">
        <f>((LEN($C359)-LEN(SUBSTITUTE($C359,Table467910111214[[#Headers],[20_4]],"")))/4)*$D359</f>
        <v>0</v>
      </c>
      <c r="AD359" s="55">
        <f>((LEN($C359)-LEN(SUBSTITUTE($C359,Table467910111214[[#Headers],[20_5]],"")))/4)*$D359</f>
        <v>0</v>
      </c>
      <c r="AE359" s="55">
        <f>((LEN($C359)-LEN(SUBSTITUTE($C359,Table467910111214[[#Headers],[21_0]],"")))/4)*$D359</f>
        <v>0</v>
      </c>
      <c r="AF359" s="55">
        <f>((LEN($C359)-LEN(SUBSTITUTE($C359,Table467910111214[[#Headers],[22_0]],"")))/4)*$D359</f>
        <v>0</v>
      </c>
      <c r="AG359" s="55">
        <f>((LEN($C359)-LEN(SUBSTITUTE($C359,Table467910111214[[#Headers],[22_2]],"")))/4)*$D359</f>
        <v>0</v>
      </c>
      <c r="AH359" s="55">
        <f>((LEN($C359)-LEN(SUBSTITUTE($C359,Table467910111214[[#Headers],[22_5]],"")))/4)*$D359</f>
        <v>0</v>
      </c>
      <c r="AI359" s="55">
        <f>((LEN($C359)-LEN(SUBSTITUTE($C359,Table467910111214[[#Headers],[22_6]],"")))/4)*$D359</f>
        <v>0</v>
      </c>
      <c r="AJ359" s="55">
        <f>((LEN($C359)-LEN(SUBSTITUTE($C359,Table467910111214[[#Headers],[24_0]],"")))/4)*$D359</f>
        <v>1.8471436493078619E-4</v>
      </c>
      <c r="AK359" s="55">
        <f>((LEN($C359)-LEN(SUBSTITUTE($C359,Table467910111214[[#Headers],[25_0]],"")))/4)*$D359</f>
        <v>0</v>
      </c>
      <c r="AL359" s="55">
        <f>((LEN($C359)-LEN(SUBSTITUTE($C359,Table467910111214[[#Headers],[26_0]],"")))/4)*$D359</f>
        <v>0</v>
      </c>
      <c r="AM359" s="55">
        <f t="shared" ref="AM359:AM378" si="90">SUM(E359:AL359)/2</f>
        <v>1.8471436493078619E-4</v>
      </c>
      <c r="AN359" s="55">
        <f t="shared" ref="AN359:AN378" si="91">D359-AM359</f>
        <v>0</v>
      </c>
      <c r="AO359" s="55">
        <f>Table467910111214[[#This Row],[Column29]]/$D$379*0.5</f>
        <v>3.5325583765133078E-3</v>
      </c>
      <c r="AP359" s="55">
        <f>Table467910111214[[#This Row],[Column29]]/$D$379*1.5</f>
        <v>1.0597675129539923E-2</v>
      </c>
    </row>
    <row r="360" spans="3:42">
      <c r="C360" s="51" t="s">
        <v>624</v>
      </c>
      <c r="D360" s="51">
        <v>2.4172143475278748E-4</v>
      </c>
      <c r="E360" s="51">
        <f>((LEN($C360)-LEN(SUBSTITUTE($C360,Table467910111214[[#Headers],[12_0]],"")))/4)*$D360</f>
        <v>0</v>
      </c>
      <c r="F360" s="51">
        <f>((LEN($C360)-LEN(SUBSTITUTE($C360,Table467910111214[[#Headers],[13_0]],"")))/4)*$D360</f>
        <v>0</v>
      </c>
      <c r="G360" s="51">
        <f>((LEN($C360)-LEN(SUBSTITUTE($C360,Table467910111214[[#Headers],[14_0]],"")))/4)*$D360</f>
        <v>0</v>
      </c>
      <c r="H360" s="51">
        <f>((LEN($C360)-LEN(SUBSTITUTE($C360,Table467910111214[[#Headers],[14_1]],"")))/4)*$D360</f>
        <v>0</v>
      </c>
      <c r="I360" s="51">
        <f>((LEN($C360)-LEN(SUBSTITUTE($C360,Table467910111214[[#Headers],[15_0]],"")))/4)*$D360</f>
        <v>0</v>
      </c>
      <c r="J360" s="51">
        <f>((LEN($C360)-LEN(SUBSTITUTE($C360,Table467910111214[[#Headers],[15_1]],"")))/4)*$D360</f>
        <v>0</v>
      </c>
      <c r="K360" s="51">
        <f>((LEN($C360)-LEN(SUBSTITUTE($C360,Table467910111214[[#Headers],[16_0]],"")))/4)*$D360</f>
        <v>0</v>
      </c>
      <c r="L360" s="51">
        <f>((LEN($C360)-LEN(SUBSTITUTE($C360,Table467910111214[[#Headers],[16_1]],"")))/4)*$D360</f>
        <v>0</v>
      </c>
      <c r="M360" s="51">
        <f>((LEN($C360)-LEN(SUBSTITUTE($C360,Table467910111214[[#Headers],[16_2]],"")))/4)*$D360</f>
        <v>0</v>
      </c>
      <c r="N360" s="51">
        <f>((LEN($C360)-LEN(SUBSTITUTE($C360,Table467910111214[[#Headers],[16_3]],"")))/4)*$D360</f>
        <v>0</v>
      </c>
      <c r="O360" s="51">
        <f>((LEN($C360)-LEN(SUBSTITUTE($C360,Table467910111214[[#Headers],[17_0]],"")))/4)*$D360</f>
        <v>2.4172143475278748E-4</v>
      </c>
      <c r="P360" s="51">
        <f>((LEN($C360)-LEN(SUBSTITUTE($C360,Table467910111214[[#Headers],[17_1]],"")))/4)*$D360</f>
        <v>0</v>
      </c>
      <c r="Q360" s="51">
        <f>((LEN($C360)-LEN(SUBSTITUTE($C360,Table467910111214[[#Headers],[18_0]],"")))/4)*$D360</f>
        <v>0</v>
      </c>
      <c r="R360" s="51">
        <f>((LEN($C360)-LEN(SUBSTITUTE($C360,Table467910111214[[#Headers],[18_1]],"")))/4)*$D360</f>
        <v>0</v>
      </c>
      <c r="S360" s="51">
        <f>((LEN($C360)-LEN(SUBSTITUTE($C360,Table467910111214[[#Headers],[18_2]],"")))/4)*$D360</f>
        <v>0</v>
      </c>
      <c r="T360" s="51">
        <f>((LEN($C360)-LEN(SUBSTITUTE($C360,Table467910111214[[#Headers],[18_3]],"")))/4)*$D360</f>
        <v>0</v>
      </c>
      <c r="U360" s="51">
        <f>((LEN($C360)-LEN(SUBSTITUTE($C360,Table467910111214[[#Headers],[18_4]],"")))/4)*$D360</f>
        <v>0</v>
      </c>
      <c r="V360" s="51">
        <f>((LEN($C360)-LEN(SUBSTITUTE($C360,Table467910111214[[#Headers],[18_5]],"")))/4)*$D360</f>
        <v>0</v>
      </c>
      <c r="W360" s="51">
        <f>((LEN($C360)-LEN(SUBSTITUTE($C360,Table467910111214[[#Headers],[19_1]],"")))/4)*$D360</f>
        <v>0</v>
      </c>
      <c r="X360" s="51">
        <f>((LEN($C360)-LEN(SUBSTITUTE($C360,Table467910111214[[#Headers],[19_2]],"")))/4)*$D360</f>
        <v>0</v>
      </c>
      <c r="Y360" s="51">
        <f>((LEN($C360)-LEN(SUBSTITUTE($C360,Table467910111214[[#Headers],[20_0]],"")))/4)*$D360</f>
        <v>0</v>
      </c>
      <c r="Z360" s="51">
        <f>((LEN($C360)-LEN(SUBSTITUTE($C360,Table467910111214[[#Headers],[20_1]],"")))/4)*$D360</f>
        <v>0</v>
      </c>
      <c r="AA360" s="51">
        <f>((LEN($C360)-LEN(SUBSTITUTE($C360,Table467910111214[[#Headers],[20_2]],"")))/4)*$D360</f>
        <v>0</v>
      </c>
      <c r="AB360" s="51">
        <f>((LEN($C360)-LEN(SUBSTITUTE($C360,Table467910111214[[#Headers],[20_3]],"")))/4)*$D360</f>
        <v>0</v>
      </c>
      <c r="AC360" s="51">
        <f>((LEN($C360)-LEN(SUBSTITUTE($C360,Table467910111214[[#Headers],[20_4]],"")))/4)*$D360</f>
        <v>0</v>
      </c>
      <c r="AD360" s="51">
        <f>((LEN($C360)-LEN(SUBSTITUTE($C360,Table467910111214[[#Headers],[20_5]],"")))/4)*$D360</f>
        <v>0</v>
      </c>
      <c r="AE360" s="51">
        <f>((LEN($C360)-LEN(SUBSTITUTE($C360,Table467910111214[[#Headers],[21_0]],"")))/4)*$D360</f>
        <v>0</v>
      </c>
      <c r="AF360" s="51">
        <f>((LEN($C360)-LEN(SUBSTITUTE($C360,Table467910111214[[#Headers],[22_0]],"")))/4)*$D360</f>
        <v>0</v>
      </c>
      <c r="AG360" s="51">
        <f>((LEN($C360)-LEN(SUBSTITUTE($C360,Table467910111214[[#Headers],[22_2]],"")))/4)*$D360</f>
        <v>0</v>
      </c>
      <c r="AH360" s="51">
        <f>((LEN($C360)-LEN(SUBSTITUTE($C360,Table467910111214[[#Headers],[22_5]],"")))/4)*$D360</f>
        <v>0</v>
      </c>
      <c r="AI360" s="51">
        <f>((LEN($C360)-LEN(SUBSTITUTE($C360,Table467910111214[[#Headers],[22_6]],"")))/4)*$D360</f>
        <v>0</v>
      </c>
      <c r="AJ360" s="51">
        <f>((LEN($C360)-LEN(SUBSTITUTE($C360,Table467910111214[[#Headers],[24_0]],"")))/4)*$D360</f>
        <v>2.4172143475278748E-4</v>
      </c>
      <c r="AK360" s="51">
        <f>((LEN($C360)-LEN(SUBSTITUTE($C360,Table467910111214[[#Headers],[25_0]],"")))/4)*$D360</f>
        <v>0</v>
      </c>
      <c r="AL360" s="51">
        <f>((LEN($C360)-LEN(SUBSTITUTE($C360,Table467910111214[[#Headers],[26_0]],"")))/4)*$D360</f>
        <v>0</v>
      </c>
      <c r="AM360" s="51">
        <f t="shared" si="90"/>
        <v>2.4172143475278748E-4</v>
      </c>
      <c r="AN360" s="51">
        <f t="shared" si="91"/>
        <v>0</v>
      </c>
      <c r="AO360" s="51">
        <f>Table467910111214[[#This Row],[Column29]]/$D$379*0.5</f>
        <v>4.6227865355178803E-3</v>
      </c>
      <c r="AP360" s="51">
        <f>Table467910111214[[#This Row],[Column29]]/$D$379*1.5</f>
        <v>1.3868359606553641E-2</v>
      </c>
    </row>
    <row r="361" spans="3:42">
      <c r="C361" s="51" t="s">
        <v>625</v>
      </c>
      <c r="D361" s="51">
        <v>6.862333455206239E-4</v>
      </c>
      <c r="E361" s="51">
        <f>((LEN($C361)-LEN(SUBSTITUTE($C361,Table467910111214[[#Headers],[12_0]],"")))/4)*$D361</f>
        <v>0</v>
      </c>
      <c r="F361" s="51">
        <f>((LEN($C361)-LEN(SUBSTITUTE($C361,Table467910111214[[#Headers],[13_0]],"")))/4)*$D361</f>
        <v>0</v>
      </c>
      <c r="G361" s="51">
        <f>((LEN($C361)-LEN(SUBSTITUTE($C361,Table467910111214[[#Headers],[14_0]],"")))/4)*$D361</f>
        <v>0</v>
      </c>
      <c r="H361" s="51">
        <f>((LEN($C361)-LEN(SUBSTITUTE($C361,Table467910111214[[#Headers],[14_1]],"")))/4)*$D361</f>
        <v>0</v>
      </c>
      <c r="I361" s="51">
        <f>((LEN($C361)-LEN(SUBSTITUTE($C361,Table467910111214[[#Headers],[15_0]],"")))/4)*$D361</f>
        <v>0</v>
      </c>
      <c r="J361" s="51">
        <f>((LEN($C361)-LEN(SUBSTITUTE($C361,Table467910111214[[#Headers],[15_1]],"")))/4)*$D361</f>
        <v>0</v>
      </c>
      <c r="K361" s="51">
        <f>((LEN($C361)-LEN(SUBSTITUTE($C361,Table467910111214[[#Headers],[16_0]],"")))/4)*$D361</f>
        <v>0</v>
      </c>
      <c r="L361" s="51">
        <f>((LEN($C361)-LEN(SUBSTITUTE($C361,Table467910111214[[#Headers],[16_1]],"")))/4)*$D361</f>
        <v>0</v>
      </c>
      <c r="M361" s="51">
        <f>((LEN($C361)-LEN(SUBSTITUTE($C361,Table467910111214[[#Headers],[16_2]],"")))/4)*$D361</f>
        <v>0</v>
      </c>
      <c r="N361" s="51">
        <f>((LEN($C361)-LEN(SUBSTITUTE($C361,Table467910111214[[#Headers],[16_3]],"")))/4)*$D361</f>
        <v>0</v>
      </c>
      <c r="O361" s="51">
        <f>((LEN($C361)-LEN(SUBSTITUTE($C361,Table467910111214[[#Headers],[17_0]],"")))/4)*$D361</f>
        <v>0</v>
      </c>
      <c r="P361" s="51">
        <f>((LEN($C361)-LEN(SUBSTITUTE($C361,Table467910111214[[#Headers],[17_1]],"")))/4)*$D361</f>
        <v>0</v>
      </c>
      <c r="Q361" s="51">
        <f>((LEN($C361)-LEN(SUBSTITUTE($C361,Table467910111214[[#Headers],[18_0]],"")))/4)*$D361</f>
        <v>6.862333455206239E-4</v>
      </c>
      <c r="R361" s="51">
        <f>((LEN($C361)-LEN(SUBSTITUTE($C361,Table467910111214[[#Headers],[18_1]],"")))/4)*$D361</f>
        <v>0</v>
      </c>
      <c r="S361" s="51">
        <f>((LEN($C361)-LEN(SUBSTITUTE($C361,Table467910111214[[#Headers],[18_2]],"")))/4)*$D361</f>
        <v>0</v>
      </c>
      <c r="T361" s="51">
        <f>((LEN($C361)-LEN(SUBSTITUTE($C361,Table467910111214[[#Headers],[18_3]],"")))/4)*$D361</f>
        <v>0</v>
      </c>
      <c r="U361" s="51">
        <f>((LEN($C361)-LEN(SUBSTITUTE($C361,Table467910111214[[#Headers],[18_4]],"")))/4)*$D361</f>
        <v>0</v>
      </c>
      <c r="V361" s="51">
        <f>((LEN($C361)-LEN(SUBSTITUTE($C361,Table467910111214[[#Headers],[18_5]],"")))/4)*$D361</f>
        <v>0</v>
      </c>
      <c r="W361" s="51">
        <f>((LEN($C361)-LEN(SUBSTITUTE($C361,Table467910111214[[#Headers],[19_1]],"")))/4)*$D361</f>
        <v>0</v>
      </c>
      <c r="X361" s="51">
        <f>((LEN($C361)-LEN(SUBSTITUTE($C361,Table467910111214[[#Headers],[19_2]],"")))/4)*$D361</f>
        <v>0</v>
      </c>
      <c r="Y361" s="51">
        <f>((LEN($C361)-LEN(SUBSTITUTE($C361,Table467910111214[[#Headers],[20_0]],"")))/4)*$D361</f>
        <v>0</v>
      </c>
      <c r="Z361" s="51">
        <f>((LEN($C361)-LEN(SUBSTITUTE($C361,Table467910111214[[#Headers],[20_1]],"")))/4)*$D361</f>
        <v>0</v>
      </c>
      <c r="AA361" s="51">
        <f>((LEN($C361)-LEN(SUBSTITUTE($C361,Table467910111214[[#Headers],[20_2]],"")))/4)*$D361</f>
        <v>0</v>
      </c>
      <c r="AB361" s="51">
        <f>((LEN($C361)-LEN(SUBSTITUTE($C361,Table467910111214[[#Headers],[20_3]],"")))/4)*$D361</f>
        <v>0</v>
      </c>
      <c r="AC361" s="51">
        <f>((LEN($C361)-LEN(SUBSTITUTE($C361,Table467910111214[[#Headers],[20_4]],"")))/4)*$D361</f>
        <v>0</v>
      </c>
      <c r="AD361" s="51">
        <f>((LEN($C361)-LEN(SUBSTITUTE($C361,Table467910111214[[#Headers],[20_5]],"")))/4)*$D361</f>
        <v>0</v>
      </c>
      <c r="AE361" s="51">
        <f>((LEN($C361)-LEN(SUBSTITUTE($C361,Table467910111214[[#Headers],[21_0]],"")))/4)*$D361</f>
        <v>0</v>
      </c>
      <c r="AF361" s="51">
        <f>((LEN($C361)-LEN(SUBSTITUTE($C361,Table467910111214[[#Headers],[22_0]],"")))/4)*$D361</f>
        <v>0</v>
      </c>
      <c r="AG361" s="51">
        <f>((LEN($C361)-LEN(SUBSTITUTE($C361,Table467910111214[[#Headers],[22_2]],"")))/4)*$D361</f>
        <v>0</v>
      </c>
      <c r="AH361" s="51">
        <f>((LEN($C361)-LEN(SUBSTITUTE($C361,Table467910111214[[#Headers],[22_5]],"")))/4)*$D361</f>
        <v>0</v>
      </c>
      <c r="AI361" s="51">
        <f>((LEN($C361)-LEN(SUBSTITUTE($C361,Table467910111214[[#Headers],[22_6]],"")))/4)*$D361</f>
        <v>0</v>
      </c>
      <c r="AJ361" s="51">
        <f>((LEN($C361)-LEN(SUBSTITUTE($C361,Table467910111214[[#Headers],[24_0]],"")))/4)*$D361</f>
        <v>6.862333455206239E-4</v>
      </c>
      <c r="AK361" s="51">
        <f>((LEN($C361)-LEN(SUBSTITUTE($C361,Table467910111214[[#Headers],[25_0]],"")))/4)*$D361</f>
        <v>0</v>
      </c>
      <c r="AL361" s="51">
        <f>((LEN($C361)-LEN(SUBSTITUTE($C361,Table467910111214[[#Headers],[26_0]],"")))/4)*$D361</f>
        <v>0</v>
      </c>
      <c r="AM361" s="51">
        <f t="shared" si="90"/>
        <v>6.862333455206239E-4</v>
      </c>
      <c r="AN361" s="51">
        <f t="shared" si="91"/>
        <v>0</v>
      </c>
      <c r="AO361" s="51">
        <f>Table467910111214[[#This Row],[Column29]]/$D$379*0.5</f>
        <v>1.3123826909022378E-2</v>
      </c>
      <c r="AP361" s="51">
        <f>Table467910111214[[#This Row],[Column29]]/$D$379*1.5</f>
        <v>3.9371480727067136E-2</v>
      </c>
    </row>
    <row r="362" spans="3:42">
      <c r="C362" s="51" t="s">
        <v>626</v>
      </c>
      <c r="D362" s="51">
        <v>3.0265311189419292E-4</v>
      </c>
      <c r="E362" s="51">
        <f>((LEN($C362)-LEN(SUBSTITUTE($C362,Table467910111214[[#Headers],[12_0]],"")))/4)*$D362</f>
        <v>0</v>
      </c>
      <c r="F362" s="51">
        <f>((LEN($C362)-LEN(SUBSTITUTE($C362,Table467910111214[[#Headers],[13_0]],"")))/4)*$D362</f>
        <v>0</v>
      </c>
      <c r="G362" s="51">
        <f>((LEN($C362)-LEN(SUBSTITUTE($C362,Table467910111214[[#Headers],[14_0]],"")))/4)*$D362</f>
        <v>0</v>
      </c>
      <c r="H362" s="51">
        <f>((LEN($C362)-LEN(SUBSTITUTE($C362,Table467910111214[[#Headers],[14_1]],"")))/4)*$D362</f>
        <v>0</v>
      </c>
      <c r="I362" s="51">
        <f>((LEN($C362)-LEN(SUBSTITUTE($C362,Table467910111214[[#Headers],[15_0]],"")))/4)*$D362</f>
        <v>0</v>
      </c>
      <c r="J362" s="51">
        <f>((LEN($C362)-LEN(SUBSTITUTE($C362,Table467910111214[[#Headers],[15_1]],"")))/4)*$D362</f>
        <v>0</v>
      </c>
      <c r="K362" s="51">
        <f>((LEN($C362)-LEN(SUBSTITUTE($C362,Table467910111214[[#Headers],[16_0]],"")))/4)*$D362</f>
        <v>0</v>
      </c>
      <c r="L362" s="51">
        <f>((LEN($C362)-LEN(SUBSTITUTE($C362,Table467910111214[[#Headers],[16_1]],"")))/4)*$D362</f>
        <v>0</v>
      </c>
      <c r="M362" s="51">
        <f>((LEN($C362)-LEN(SUBSTITUTE($C362,Table467910111214[[#Headers],[16_2]],"")))/4)*$D362</f>
        <v>0</v>
      </c>
      <c r="N362" s="51">
        <f>((LEN($C362)-LEN(SUBSTITUTE($C362,Table467910111214[[#Headers],[16_3]],"")))/4)*$D362</f>
        <v>0</v>
      </c>
      <c r="O362" s="51">
        <f>((LEN($C362)-LEN(SUBSTITUTE($C362,Table467910111214[[#Headers],[17_0]],"")))/4)*$D362</f>
        <v>0</v>
      </c>
      <c r="P362" s="51">
        <f>((LEN($C362)-LEN(SUBSTITUTE($C362,Table467910111214[[#Headers],[17_1]],"")))/4)*$D362</f>
        <v>0</v>
      </c>
      <c r="Q362" s="51">
        <f>((LEN($C362)-LEN(SUBSTITUTE($C362,Table467910111214[[#Headers],[18_0]],"")))/4)*$D362</f>
        <v>3.0265311189419292E-4</v>
      </c>
      <c r="R362" s="51">
        <f>((LEN($C362)-LEN(SUBSTITUTE($C362,Table467910111214[[#Headers],[18_1]],"")))/4)*$D362</f>
        <v>0</v>
      </c>
      <c r="S362" s="51">
        <f>((LEN($C362)-LEN(SUBSTITUTE($C362,Table467910111214[[#Headers],[18_2]],"")))/4)*$D362</f>
        <v>0</v>
      </c>
      <c r="T362" s="51">
        <f>((LEN($C362)-LEN(SUBSTITUTE($C362,Table467910111214[[#Headers],[18_3]],"")))/4)*$D362</f>
        <v>0</v>
      </c>
      <c r="U362" s="51">
        <f>((LEN($C362)-LEN(SUBSTITUTE($C362,Table467910111214[[#Headers],[18_4]],"")))/4)*$D362</f>
        <v>0</v>
      </c>
      <c r="V362" s="51">
        <f>((LEN($C362)-LEN(SUBSTITUTE($C362,Table467910111214[[#Headers],[18_5]],"")))/4)*$D362</f>
        <v>0</v>
      </c>
      <c r="W362" s="51">
        <f>((LEN($C362)-LEN(SUBSTITUTE($C362,Table467910111214[[#Headers],[19_1]],"")))/4)*$D362</f>
        <v>0</v>
      </c>
      <c r="X362" s="51">
        <f>((LEN($C362)-LEN(SUBSTITUTE($C362,Table467910111214[[#Headers],[19_2]],"")))/4)*$D362</f>
        <v>0</v>
      </c>
      <c r="Y362" s="51">
        <f>((LEN($C362)-LEN(SUBSTITUTE($C362,Table467910111214[[#Headers],[20_0]],"")))/4)*$D362</f>
        <v>0</v>
      </c>
      <c r="Z362" s="51">
        <f>((LEN($C362)-LEN(SUBSTITUTE($C362,Table467910111214[[#Headers],[20_1]],"")))/4)*$D362</f>
        <v>0</v>
      </c>
      <c r="AA362" s="51">
        <f>((LEN($C362)-LEN(SUBSTITUTE($C362,Table467910111214[[#Headers],[20_2]],"")))/4)*$D362</f>
        <v>0</v>
      </c>
      <c r="AB362" s="51">
        <f>((LEN($C362)-LEN(SUBSTITUTE($C362,Table467910111214[[#Headers],[20_3]],"")))/4)*$D362</f>
        <v>0</v>
      </c>
      <c r="AC362" s="51">
        <f>((LEN($C362)-LEN(SUBSTITUTE($C362,Table467910111214[[#Headers],[20_4]],"")))/4)*$D362</f>
        <v>0</v>
      </c>
      <c r="AD362" s="51">
        <f>((LEN($C362)-LEN(SUBSTITUTE($C362,Table467910111214[[#Headers],[20_5]],"")))/4)*$D362</f>
        <v>0</v>
      </c>
      <c r="AE362" s="51">
        <f>((LEN($C362)-LEN(SUBSTITUTE($C362,Table467910111214[[#Headers],[21_0]],"")))/4)*$D362</f>
        <v>0</v>
      </c>
      <c r="AF362" s="51">
        <f>((LEN($C362)-LEN(SUBSTITUTE($C362,Table467910111214[[#Headers],[22_0]],"")))/4)*$D362</f>
        <v>0</v>
      </c>
      <c r="AG362" s="51">
        <f>((LEN($C362)-LEN(SUBSTITUTE($C362,Table467910111214[[#Headers],[22_2]],"")))/4)*$D362</f>
        <v>0</v>
      </c>
      <c r="AH362" s="51">
        <f>((LEN($C362)-LEN(SUBSTITUTE($C362,Table467910111214[[#Headers],[22_5]],"")))/4)*$D362</f>
        <v>0</v>
      </c>
      <c r="AI362" s="51">
        <f>((LEN($C362)-LEN(SUBSTITUTE($C362,Table467910111214[[#Headers],[22_6]],"")))/4)*$D362</f>
        <v>0</v>
      </c>
      <c r="AJ362" s="51">
        <f>((LEN($C362)-LEN(SUBSTITUTE($C362,Table467910111214[[#Headers],[24_0]],"")))/4)*$D362</f>
        <v>0</v>
      </c>
      <c r="AK362" s="51">
        <f>((LEN($C362)-LEN(SUBSTITUTE($C362,Table467910111214[[#Headers],[25_0]],"")))/4)*$D362</f>
        <v>3.0265311189419292E-4</v>
      </c>
      <c r="AL362" s="51">
        <f>((LEN($C362)-LEN(SUBSTITUTE($C362,Table467910111214[[#Headers],[26_0]],"")))/4)*$D362</f>
        <v>0</v>
      </c>
      <c r="AM362" s="51">
        <f t="shared" si="90"/>
        <v>3.0265311189419292E-4</v>
      </c>
      <c r="AN362" s="51">
        <f t="shared" si="91"/>
        <v>0</v>
      </c>
      <c r="AO362" s="51">
        <f>Table467910111214[[#This Row],[Column29]]/$D$379*0.5</f>
        <v>5.7880706029564358E-3</v>
      </c>
      <c r="AP362" s="51">
        <f>Table467910111214[[#This Row],[Column29]]/$D$379*1.5</f>
        <v>1.7364211808869309E-2</v>
      </c>
    </row>
    <row r="363" spans="3:42">
      <c r="C363" s="51" t="s">
        <v>627</v>
      </c>
      <c r="D363" s="51">
        <v>4.9550315915133513E-4</v>
      </c>
      <c r="E363" s="51">
        <f>((LEN($C363)-LEN(SUBSTITUTE($C363,Table467910111214[[#Headers],[12_0]],"")))/4)*$D363</f>
        <v>0</v>
      </c>
      <c r="F363" s="51">
        <f>((LEN($C363)-LEN(SUBSTITUTE($C363,Table467910111214[[#Headers],[13_0]],"")))/4)*$D363</f>
        <v>0</v>
      </c>
      <c r="G363" s="51">
        <f>((LEN($C363)-LEN(SUBSTITUTE($C363,Table467910111214[[#Headers],[14_0]],"")))/4)*$D363</f>
        <v>0</v>
      </c>
      <c r="H363" s="51">
        <f>((LEN($C363)-LEN(SUBSTITUTE($C363,Table467910111214[[#Headers],[14_1]],"")))/4)*$D363</f>
        <v>0</v>
      </c>
      <c r="I363" s="51">
        <f>((LEN($C363)-LEN(SUBSTITUTE($C363,Table467910111214[[#Headers],[15_0]],"")))/4)*$D363</f>
        <v>0</v>
      </c>
      <c r="J363" s="51">
        <f>((LEN($C363)-LEN(SUBSTITUTE($C363,Table467910111214[[#Headers],[15_1]],"")))/4)*$D363</f>
        <v>0</v>
      </c>
      <c r="K363" s="51">
        <f>((LEN($C363)-LEN(SUBSTITUTE($C363,Table467910111214[[#Headers],[16_0]],"")))/4)*$D363</f>
        <v>0</v>
      </c>
      <c r="L363" s="51">
        <f>((LEN($C363)-LEN(SUBSTITUTE($C363,Table467910111214[[#Headers],[16_1]],"")))/4)*$D363</f>
        <v>0</v>
      </c>
      <c r="M363" s="51">
        <f>((LEN($C363)-LEN(SUBSTITUTE($C363,Table467910111214[[#Headers],[16_2]],"")))/4)*$D363</f>
        <v>0</v>
      </c>
      <c r="N363" s="51">
        <f>((LEN($C363)-LEN(SUBSTITUTE($C363,Table467910111214[[#Headers],[16_3]],"")))/4)*$D363</f>
        <v>0</v>
      </c>
      <c r="O363" s="51">
        <f>((LEN($C363)-LEN(SUBSTITUTE($C363,Table467910111214[[#Headers],[17_0]],"")))/4)*$D363</f>
        <v>0</v>
      </c>
      <c r="P363" s="51">
        <f>((LEN($C363)-LEN(SUBSTITUTE($C363,Table467910111214[[#Headers],[17_1]],"")))/4)*$D363</f>
        <v>0</v>
      </c>
      <c r="Q363" s="51">
        <f>((LEN($C363)-LEN(SUBSTITUTE($C363,Table467910111214[[#Headers],[18_0]],"")))/4)*$D363</f>
        <v>4.9550315915133513E-4</v>
      </c>
      <c r="R363" s="51">
        <f>((LEN($C363)-LEN(SUBSTITUTE($C363,Table467910111214[[#Headers],[18_1]],"")))/4)*$D363</f>
        <v>0</v>
      </c>
      <c r="S363" s="51">
        <f>((LEN($C363)-LEN(SUBSTITUTE($C363,Table467910111214[[#Headers],[18_2]],"")))/4)*$D363</f>
        <v>0</v>
      </c>
      <c r="T363" s="51">
        <f>((LEN($C363)-LEN(SUBSTITUTE($C363,Table467910111214[[#Headers],[18_3]],"")))/4)*$D363</f>
        <v>0</v>
      </c>
      <c r="U363" s="51">
        <f>((LEN($C363)-LEN(SUBSTITUTE($C363,Table467910111214[[#Headers],[18_4]],"")))/4)*$D363</f>
        <v>0</v>
      </c>
      <c r="V363" s="51">
        <f>((LEN($C363)-LEN(SUBSTITUTE($C363,Table467910111214[[#Headers],[18_5]],"")))/4)*$D363</f>
        <v>0</v>
      </c>
      <c r="W363" s="51">
        <f>((LEN($C363)-LEN(SUBSTITUTE($C363,Table467910111214[[#Headers],[19_1]],"")))/4)*$D363</f>
        <v>0</v>
      </c>
      <c r="X363" s="51">
        <f>((LEN($C363)-LEN(SUBSTITUTE($C363,Table467910111214[[#Headers],[19_2]],"")))/4)*$D363</f>
        <v>0</v>
      </c>
      <c r="Y363" s="51">
        <f>((LEN($C363)-LEN(SUBSTITUTE($C363,Table467910111214[[#Headers],[20_0]],"")))/4)*$D363</f>
        <v>0</v>
      </c>
      <c r="Z363" s="51">
        <f>((LEN($C363)-LEN(SUBSTITUTE($C363,Table467910111214[[#Headers],[20_1]],"")))/4)*$D363</f>
        <v>0</v>
      </c>
      <c r="AA363" s="51">
        <f>((LEN($C363)-LEN(SUBSTITUTE($C363,Table467910111214[[#Headers],[20_2]],"")))/4)*$D363</f>
        <v>0</v>
      </c>
      <c r="AB363" s="51">
        <f>((LEN($C363)-LEN(SUBSTITUTE($C363,Table467910111214[[#Headers],[20_3]],"")))/4)*$D363</f>
        <v>0</v>
      </c>
      <c r="AC363" s="51">
        <f>((LEN($C363)-LEN(SUBSTITUTE($C363,Table467910111214[[#Headers],[20_4]],"")))/4)*$D363</f>
        <v>0</v>
      </c>
      <c r="AD363" s="51">
        <f>((LEN($C363)-LEN(SUBSTITUTE($C363,Table467910111214[[#Headers],[20_5]],"")))/4)*$D363</f>
        <v>0</v>
      </c>
      <c r="AE363" s="51">
        <f>((LEN($C363)-LEN(SUBSTITUTE($C363,Table467910111214[[#Headers],[21_0]],"")))/4)*$D363</f>
        <v>0</v>
      </c>
      <c r="AF363" s="51">
        <f>((LEN($C363)-LEN(SUBSTITUTE($C363,Table467910111214[[#Headers],[22_0]],"")))/4)*$D363</f>
        <v>0</v>
      </c>
      <c r="AG363" s="51">
        <f>((LEN($C363)-LEN(SUBSTITUTE($C363,Table467910111214[[#Headers],[22_2]],"")))/4)*$D363</f>
        <v>0</v>
      </c>
      <c r="AH363" s="51">
        <f>((LEN($C363)-LEN(SUBSTITUTE($C363,Table467910111214[[#Headers],[22_5]],"")))/4)*$D363</f>
        <v>0</v>
      </c>
      <c r="AI363" s="51">
        <f>((LEN($C363)-LEN(SUBSTITUTE($C363,Table467910111214[[#Headers],[22_6]],"")))/4)*$D363</f>
        <v>0</v>
      </c>
      <c r="AJ363" s="51">
        <f>((LEN($C363)-LEN(SUBSTITUTE($C363,Table467910111214[[#Headers],[24_0]],"")))/4)*$D363</f>
        <v>0</v>
      </c>
      <c r="AK363" s="51">
        <f>((LEN($C363)-LEN(SUBSTITUTE($C363,Table467910111214[[#Headers],[25_0]],"")))/4)*$D363</f>
        <v>0</v>
      </c>
      <c r="AL363" s="51">
        <f>((LEN($C363)-LEN(SUBSTITUTE($C363,Table467910111214[[#Headers],[26_0]],"")))/4)*$D363</f>
        <v>4.9550315915133513E-4</v>
      </c>
      <c r="AM363" s="51">
        <f t="shared" si="90"/>
        <v>4.9550315915133513E-4</v>
      </c>
      <c r="AN363" s="51">
        <f t="shared" si="91"/>
        <v>0</v>
      </c>
      <c r="AO363" s="51">
        <f>Table467910111214[[#This Row],[Column29]]/$D$379*0.5</f>
        <v>9.4762193298000459E-3</v>
      </c>
      <c r="AP363" s="51">
        <f>Table467910111214[[#This Row],[Column29]]/$D$379*1.5</f>
        <v>2.8428657989400138E-2</v>
      </c>
    </row>
    <row r="364" spans="3:42">
      <c r="C364" s="51" t="s">
        <v>628</v>
      </c>
      <c r="D364" s="51">
        <v>4.7032264941588827E-4</v>
      </c>
      <c r="E364" s="51">
        <f>((LEN($C364)-LEN(SUBSTITUTE($C364,Table467910111214[[#Headers],[12_0]],"")))/4)*$D364</f>
        <v>0</v>
      </c>
      <c r="F364" s="51">
        <f>((LEN($C364)-LEN(SUBSTITUTE($C364,Table467910111214[[#Headers],[13_0]],"")))/4)*$D364</f>
        <v>0</v>
      </c>
      <c r="G364" s="51">
        <f>((LEN($C364)-LEN(SUBSTITUTE($C364,Table467910111214[[#Headers],[14_0]],"")))/4)*$D364</f>
        <v>0</v>
      </c>
      <c r="H364" s="51">
        <f>((LEN($C364)-LEN(SUBSTITUTE($C364,Table467910111214[[#Headers],[14_1]],"")))/4)*$D364</f>
        <v>0</v>
      </c>
      <c r="I364" s="51">
        <f>((LEN($C364)-LEN(SUBSTITUTE($C364,Table467910111214[[#Headers],[15_0]],"")))/4)*$D364</f>
        <v>0</v>
      </c>
      <c r="J364" s="51">
        <f>((LEN($C364)-LEN(SUBSTITUTE($C364,Table467910111214[[#Headers],[15_1]],"")))/4)*$D364</f>
        <v>0</v>
      </c>
      <c r="K364" s="51">
        <f>((LEN($C364)-LEN(SUBSTITUTE($C364,Table467910111214[[#Headers],[16_0]],"")))/4)*$D364</f>
        <v>0</v>
      </c>
      <c r="L364" s="51">
        <f>((LEN($C364)-LEN(SUBSTITUTE($C364,Table467910111214[[#Headers],[16_1]],"")))/4)*$D364</f>
        <v>0</v>
      </c>
      <c r="M364" s="51">
        <f>((LEN($C364)-LEN(SUBSTITUTE($C364,Table467910111214[[#Headers],[16_2]],"")))/4)*$D364</f>
        <v>0</v>
      </c>
      <c r="N364" s="51">
        <f>((LEN($C364)-LEN(SUBSTITUTE($C364,Table467910111214[[#Headers],[16_3]],"")))/4)*$D364</f>
        <v>0</v>
      </c>
      <c r="O364" s="51">
        <f>((LEN($C364)-LEN(SUBSTITUTE($C364,Table467910111214[[#Headers],[17_0]],"")))/4)*$D364</f>
        <v>0</v>
      </c>
      <c r="P364" s="51">
        <f>((LEN($C364)-LEN(SUBSTITUTE($C364,Table467910111214[[#Headers],[17_1]],"")))/4)*$D364</f>
        <v>0</v>
      </c>
      <c r="Q364" s="51">
        <f>((LEN($C364)-LEN(SUBSTITUTE($C364,Table467910111214[[#Headers],[18_0]],"")))/4)*$D364</f>
        <v>0</v>
      </c>
      <c r="R364" s="51">
        <f>((LEN($C364)-LEN(SUBSTITUTE($C364,Table467910111214[[#Headers],[18_1]],"")))/4)*$D364</f>
        <v>4.7032264941588827E-4</v>
      </c>
      <c r="S364" s="51">
        <f>((LEN($C364)-LEN(SUBSTITUTE($C364,Table467910111214[[#Headers],[18_2]],"")))/4)*$D364</f>
        <v>0</v>
      </c>
      <c r="T364" s="51">
        <f>((LEN($C364)-LEN(SUBSTITUTE($C364,Table467910111214[[#Headers],[18_3]],"")))/4)*$D364</f>
        <v>0</v>
      </c>
      <c r="U364" s="51">
        <f>((LEN($C364)-LEN(SUBSTITUTE($C364,Table467910111214[[#Headers],[18_4]],"")))/4)*$D364</f>
        <v>0</v>
      </c>
      <c r="V364" s="51">
        <f>((LEN($C364)-LEN(SUBSTITUTE($C364,Table467910111214[[#Headers],[18_5]],"")))/4)*$D364</f>
        <v>0</v>
      </c>
      <c r="W364" s="51">
        <f>((LEN($C364)-LEN(SUBSTITUTE($C364,Table467910111214[[#Headers],[19_1]],"")))/4)*$D364</f>
        <v>0</v>
      </c>
      <c r="X364" s="51">
        <f>((LEN($C364)-LEN(SUBSTITUTE($C364,Table467910111214[[#Headers],[19_2]],"")))/4)*$D364</f>
        <v>0</v>
      </c>
      <c r="Y364" s="51">
        <f>((LEN($C364)-LEN(SUBSTITUTE($C364,Table467910111214[[#Headers],[20_0]],"")))/4)*$D364</f>
        <v>0</v>
      </c>
      <c r="Z364" s="51">
        <f>((LEN($C364)-LEN(SUBSTITUTE($C364,Table467910111214[[#Headers],[20_1]],"")))/4)*$D364</f>
        <v>0</v>
      </c>
      <c r="AA364" s="51">
        <f>((LEN($C364)-LEN(SUBSTITUTE($C364,Table467910111214[[#Headers],[20_2]],"")))/4)*$D364</f>
        <v>0</v>
      </c>
      <c r="AB364" s="51">
        <f>((LEN($C364)-LEN(SUBSTITUTE($C364,Table467910111214[[#Headers],[20_3]],"")))/4)*$D364</f>
        <v>0</v>
      </c>
      <c r="AC364" s="51">
        <f>((LEN($C364)-LEN(SUBSTITUTE($C364,Table467910111214[[#Headers],[20_4]],"")))/4)*$D364</f>
        <v>0</v>
      </c>
      <c r="AD364" s="51">
        <f>((LEN($C364)-LEN(SUBSTITUTE($C364,Table467910111214[[#Headers],[20_5]],"")))/4)*$D364</f>
        <v>0</v>
      </c>
      <c r="AE364" s="51">
        <f>((LEN($C364)-LEN(SUBSTITUTE($C364,Table467910111214[[#Headers],[21_0]],"")))/4)*$D364</f>
        <v>0</v>
      </c>
      <c r="AF364" s="51">
        <f>((LEN($C364)-LEN(SUBSTITUTE($C364,Table467910111214[[#Headers],[22_0]],"")))/4)*$D364</f>
        <v>0</v>
      </c>
      <c r="AG364" s="51">
        <f>((LEN($C364)-LEN(SUBSTITUTE($C364,Table467910111214[[#Headers],[22_2]],"")))/4)*$D364</f>
        <v>0</v>
      </c>
      <c r="AH364" s="51">
        <f>((LEN($C364)-LEN(SUBSTITUTE($C364,Table467910111214[[#Headers],[22_5]],"")))/4)*$D364</f>
        <v>0</v>
      </c>
      <c r="AI364" s="51">
        <f>((LEN($C364)-LEN(SUBSTITUTE($C364,Table467910111214[[#Headers],[22_6]],"")))/4)*$D364</f>
        <v>0</v>
      </c>
      <c r="AJ364" s="51">
        <f>((LEN($C364)-LEN(SUBSTITUTE($C364,Table467910111214[[#Headers],[24_0]],"")))/4)*$D364</f>
        <v>4.7032264941588827E-4</v>
      </c>
      <c r="AK364" s="51">
        <f>((LEN($C364)-LEN(SUBSTITUTE($C364,Table467910111214[[#Headers],[25_0]],"")))/4)*$D364</f>
        <v>0</v>
      </c>
      <c r="AL364" s="51">
        <f>((LEN($C364)-LEN(SUBSTITUTE($C364,Table467910111214[[#Headers],[26_0]],"")))/4)*$D364</f>
        <v>0</v>
      </c>
      <c r="AM364" s="51">
        <f t="shared" si="90"/>
        <v>4.7032264941588827E-4</v>
      </c>
      <c r="AN364" s="51">
        <f t="shared" si="91"/>
        <v>0</v>
      </c>
      <c r="AO364" s="51">
        <f>Table467910111214[[#This Row],[Column29]]/$D$379*0.5</f>
        <v>8.9946562384608381E-3</v>
      </c>
      <c r="AP364" s="51">
        <f>Table467910111214[[#This Row],[Column29]]/$D$379*1.5</f>
        <v>2.6983968715382514E-2</v>
      </c>
    </row>
    <row r="365" spans="3:42">
      <c r="C365" s="51" t="s">
        <v>629</v>
      </c>
      <c r="D365" s="51">
        <v>4.0486478281122844E-4</v>
      </c>
      <c r="E365" s="51">
        <f>((LEN($C365)-LEN(SUBSTITUTE($C365,Table467910111214[[#Headers],[12_0]],"")))/4)*$D365</f>
        <v>0</v>
      </c>
      <c r="F365" s="51">
        <f>((LEN($C365)-LEN(SUBSTITUTE($C365,Table467910111214[[#Headers],[13_0]],"")))/4)*$D365</f>
        <v>0</v>
      </c>
      <c r="G365" s="51">
        <f>((LEN($C365)-LEN(SUBSTITUTE($C365,Table467910111214[[#Headers],[14_0]],"")))/4)*$D365</f>
        <v>0</v>
      </c>
      <c r="H365" s="51">
        <f>((LEN($C365)-LEN(SUBSTITUTE($C365,Table467910111214[[#Headers],[14_1]],"")))/4)*$D365</f>
        <v>0</v>
      </c>
      <c r="I365" s="51">
        <f>((LEN($C365)-LEN(SUBSTITUTE($C365,Table467910111214[[#Headers],[15_0]],"")))/4)*$D365</f>
        <v>0</v>
      </c>
      <c r="J365" s="51">
        <f>((LEN($C365)-LEN(SUBSTITUTE($C365,Table467910111214[[#Headers],[15_1]],"")))/4)*$D365</f>
        <v>0</v>
      </c>
      <c r="K365" s="51">
        <f>((LEN($C365)-LEN(SUBSTITUTE($C365,Table467910111214[[#Headers],[16_0]],"")))/4)*$D365</f>
        <v>0</v>
      </c>
      <c r="L365" s="51">
        <f>((LEN($C365)-LEN(SUBSTITUTE($C365,Table467910111214[[#Headers],[16_1]],"")))/4)*$D365</f>
        <v>0</v>
      </c>
      <c r="M365" s="51">
        <f>((LEN($C365)-LEN(SUBSTITUTE($C365,Table467910111214[[#Headers],[16_2]],"")))/4)*$D365</f>
        <v>0</v>
      </c>
      <c r="N365" s="51">
        <f>((LEN($C365)-LEN(SUBSTITUTE($C365,Table467910111214[[#Headers],[16_3]],"")))/4)*$D365</f>
        <v>0</v>
      </c>
      <c r="O365" s="51">
        <f>((LEN($C365)-LEN(SUBSTITUTE($C365,Table467910111214[[#Headers],[17_0]],"")))/4)*$D365</f>
        <v>0</v>
      </c>
      <c r="P365" s="51">
        <f>((LEN($C365)-LEN(SUBSTITUTE($C365,Table467910111214[[#Headers],[17_1]],"")))/4)*$D365</f>
        <v>0</v>
      </c>
      <c r="Q365" s="51">
        <f>((LEN($C365)-LEN(SUBSTITUTE($C365,Table467910111214[[#Headers],[18_0]],"")))/4)*$D365</f>
        <v>0</v>
      </c>
      <c r="R365" s="51">
        <f>((LEN($C365)-LEN(SUBSTITUTE($C365,Table467910111214[[#Headers],[18_1]],"")))/4)*$D365</f>
        <v>4.0486478281122844E-4</v>
      </c>
      <c r="S365" s="51">
        <f>((LEN($C365)-LEN(SUBSTITUTE($C365,Table467910111214[[#Headers],[18_2]],"")))/4)*$D365</f>
        <v>0</v>
      </c>
      <c r="T365" s="51">
        <f>((LEN($C365)-LEN(SUBSTITUTE($C365,Table467910111214[[#Headers],[18_3]],"")))/4)*$D365</f>
        <v>0</v>
      </c>
      <c r="U365" s="51">
        <f>((LEN($C365)-LEN(SUBSTITUTE($C365,Table467910111214[[#Headers],[18_4]],"")))/4)*$D365</f>
        <v>0</v>
      </c>
      <c r="V365" s="51">
        <f>((LEN($C365)-LEN(SUBSTITUTE($C365,Table467910111214[[#Headers],[18_5]],"")))/4)*$D365</f>
        <v>0</v>
      </c>
      <c r="W365" s="51">
        <f>((LEN($C365)-LEN(SUBSTITUTE($C365,Table467910111214[[#Headers],[19_1]],"")))/4)*$D365</f>
        <v>0</v>
      </c>
      <c r="X365" s="51">
        <f>((LEN($C365)-LEN(SUBSTITUTE($C365,Table467910111214[[#Headers],[19_2]],"")))/4)*$D365</f>
        <v>0</v>
      </c>
      <c r="Y365" s="51">
        <f>((LEN($C365)-LEN(SUBSTITUTE($C365,Table467910111214[[#Headers],[20_0]],"")))/4)*$D365</f>
        <v>0</v>
      </c>
      <c r="Z365" s="51">
        <f>((LEN($C365)-LEN(SUBSTITUTE($C365,Table467910111214[[#Headers],[20_1]],"")))/4)*$D365</f>
        <v>0</v>
      </c>
      <c r="AA365" s="51">
        <f>((LEN($C365)-LEN(SUBSTITUTE($C365,Table467910111214[[#Headers],[20_2]],"")))/4)*$D365</f>
        <v>0</v>
      </c>
      <c r="AB365" s="51">
        <f>((LEN($C365)-LEN(SUBSTITUTE($C365,Table467910111214[[#Headers],[20_3]],"")))/4)*$D365</f>
        <v>0</v>
      </c>
      <c r="AC365" s="51">
        <f>((LEN($C365)-LEN(SUBSTITUTE($C365,Table467910111214[[#Headers],[20_4]],"")))/4)*$D365</f>
        <v>0</v>
      </c>
      <c r="AD365" s="51">
        <f>((LEN($C365)-LEN(SUBSTITUTE($C365,Table467910111214[[#Headers],[20_5]],"")))/4)*$D365</f>
        <v>0</v>
      </c>
      <c r="AE365" s="51">
        <f>((LEN($C365)-LEN(SUBSTITUTE($C365,Table467910111214[[#Headers],[21_0]],"")))/4)*$D365</f>
        <v>0</v>
      </c>
      <c r="AF365" s="51">
        <f>((LEN($C365)-LEN(SUBSTITUTE($C365,Table467910111214[[#Headers],[22_0]],"")))/4)*$D365</f>
        <v>0</v>
      </c>
      <c r="AG365" s="51">
        <f>((LEN($C365)-LEN(SUBSTITUTE($C365,Table467910111214[[#Headers],[22_2]],"")))/4)*$D365</f>
        <v>0</v>
      </c>
      <c r="AH365" s="51">
        <f>((LEN($C365)-LEN(SUBSTITUTE($C365,Table467910111214[[#Headers],[22_5]],"")))/4)*$D365</f>
        <v>0</v>
      </c>
      <c r="AI365" s="51">
        <f>((LEN($C365)-LEN(SUBSTITUTE($C365,Table467910111214[[#Headers],[22_6]],"")))/4)*$D365</f>
        <v>0</v>
      </c>
      <c r="AJ365" s="51">
        <f>((LEN($C365)-LEN(SUBSTITUTE($C365,Table467910111214[[#Headers],[24_0]],"")))/4)*$D365</f>
        <v>0</v>
      </c>
      <c r="AK365" s="51">
        <f>((LEN($C365)-LEN(SUBSTITUTE($C365,Table467910111214[[#Headers],[25_0]],"")))/4)*$D365</f>
        <v>4.0486478281122844E-4</v>
      </c>
      <c r="AL365" s="51">
        <f>((LEN($C365)-LEN(SUBSTITUTE($C365,Table467910111214[[#Headers],[26_0]],"")))/4)*$D365</f>
        <v>0</v>
      </c>
      <c r="AM365" s="51">
        <f t="shared" si="90"/>
        <v>4.0486478281122844E-4</v>
      </c>
      <c r="AN365" s="51">
        <f t="shared" si="91"/>
        <v>0</v>
      </c>
      <c r="AO365" s="51">
        <f>Table467910111214[[#This Row],[Column29]]/$D$379*0.5</f>
        <v>7.7428113423173971E-3</v>
      </c>
      <c r="AP365" s="51">
        <f>Table467910111214[[#This Row],[Column29]]/$D$379*1.5</f>
        <v>2.322843402695219E-2</v>
      </c>
    </row>
    <row r="366" spans="3:42">
      <c r="C366" s="51" t="s">
        <v>630</v>
      </c>
      <c r="D366" s="51">
        <v>4.9550315915133513E-4</v>
      </c>
      <c r="E366" s="51">
        <f>((LEN($C366)-LEN(SUBSTITUTE($C366,Table467910111214[[#Headers],[12_0]],"")))/4)*$D366</f>
        <v>0</v>
      </c>
      <c r="F366" s="51">
        <f>((LEN($C366)-LEN(SUBSTITUTE($C366,Table467910111214[[#Headers],[13_0]],"")))/4)*$D366</f>
        <v>0</v>
      </c>
      <c r="G366" s="51">
        <f>((LEN($C366)-LEN(SUBSTITUTE($C366,Table467910111214[[#Headers],[14_0]],"")))/4)*$D366</f>
        <v>0</v>
      </c>
      <c r="H366" s="51">
        <f>((LEN($C366)-LEN(SUBSTITUTE($C366,Table467910111214[[#Headers],[14_1]],"")))/4)*$D366</f>
        <v>0</v>
      </c>
      <c r="I366" s="51">
        <f>((LEN($C366)-LEN(SUBSTITUTE($C366,Table467910111214[[#Headers],[15_0]],"")))/4)*$D366</f>
        <v>0</v>
      </c>
      <c r="J366" s="51">
        <f>((LEN($C366)-LEN(SUBSTITUTE($C366,Table467910111214[[#Headers],[15_1]],"")))/4)*$D366</f>
        <v>0</v>
      </c>
      <c r="K366" s="51">
        <f>((LEN($C366)-LEN(SUBSTITUTE($C366,Table467910111214[[#Headers],[16_0]],"")))/4)*$D366</f>
        <v>0</v>
      </c>
      <c r="L366" s="51">
        <f>((LEN($C366)-LEN(SUBSTITUTE($C366,Table467910111214[[#Headers],[16_1]],"")))/4)*$D366</f>
        <v>0</v>
      </c>
      <c r="M366" s="51">
        <f>((LEN($C366)-LEN(SUBSTITUTE($C366,Table467910111214[[#Headers],[16_2]],"")))/4)*$D366</f>
        <v>0</v>
      </c>
      <c r="N366" s="51">
        <f>((LEN($C366)-LEN(SUBSTITUTE($C366,Table467910111214[[#Headers],[16_3]],"")))/4)*$D366</f>
        <v>0</v>
      </c>
      <c r="O366" s="51">
        <f>((LEN($C366)-LEN(SUBSTITUTE($C366,Table467910111214[[#Headers],[17_0]],"")))/4)*$D366</f>
        <v>0</v>
      </c>
      <c r="P366" s="51">
        <f>((LEN($C366)-LEN(SUBSTITUTE($C366,Table467910111214[[#Headers],[17_1]],"")))/4)*$D366</f>
        <v>0</v>
      </c>
      <c r="Q366" s="51">
        <f>((LEN($C366)-LEN(SUBSTITUTE($C366,Table467910111214[[#Headers],[18_0]],"")))/4)*$D366</f>
        <v>0</v>
      </c>
      <c r="R366" s="51">
        <f>((LEN($C366)-LEN(SUBSTITUTE($C366,Table467910111214[[#Headers],[18_1]],"")))/4)*$D366</f>
        <v>0</v>
      </c>
      <c r="S366" s="51">
        <f>((LEN($C366)-LEN(SUBSTITUTE($C366,Table467910111214[[#Headers],[18_2]],"")))/4)*$D366</f>
        <v>0</v>
      </c>
      <c r="T366" s="51">
        <f>((LEN($C366)-LEN(SUBSTITUTE($C366,Table467910111214[[#Headers],[18_3]],"")))/4)*$D366</f>
        <v>0</v>
      </c>
      <c r="U366" s="51">
        <f>((LEN($C366)-LEN(SUBSTITUTE($C366,Table467910111214[[#Headers],[18_4]],"")))/4)*$D366</f>
        <v>0</v>
      </c>
      <c r="V366" s="51">
        <f>((LEN($C366)-LEN(SUBSTITUTE($C366,Table467910111214[[#Headers],[18_5]],"")))/4)*$D366</f>
        <v>0</v>
      </c>
      <c r="W366" s="51">
        <f>((LEN($C366)-LEN(SUBSTITUTE($C366,Table467910111214[[#Headers],[19_1]],"")))/4)*$D366</f>
        <v>0</v>
      </c>
      <c r="X366" s="51">
        <f>((LEN($C366)-LEN(SUBSTITUTE($C366,Table467910111214[[#Headers],[19_2]],"")))/4)*$D366</f>
        <v>0</v>
      </c>
      <c r="Y366" s="51">
        <f>((LEN($C366)-LEN(SUBSTITUTE($C366,Table467910111214[[#Headers],[20_0]],"")))/4)*$D366</f>
        <v>4.9550315915133513E-4</v>
      </c>
      <c r="Z366" s="51">
        <f>((LEN($C366)-LEN(SUBSTITUTE($C366,Table467910111214[[#Headers],[20_1]],"")))/4)*$D366</f>
        <v>0</v>
      </c>
      <c r="AA366" s="51">
        <f>((LEN($C366)-LEN(SUBSTITUTE($C366,Table467910111214[[#Headers],[20_2]],"")))/4)*$D366</f>
        <v>0</v>
      </c>
      <c r="AB366" s="51">
        <f>((LEN($C366)-LEN(SUBSTITUTE($C366,Table467910111214[[#Headers],[20_3]],"")))/4)*$D366</f>
        <v>0</v>
      </c>
      <c r="AC366" s="51">
        <f>((LEN($C366)-LEN(SUBSTITUTE($C366,Table467910111214[[#Headers],[20_4]],"")))/4)*$D366</f>
        <v>0</v>
      </c>
      <c r="AD366" s="51">
        <f>((LEN($C366)-LEN(SUBSTITUTE($C366,Table467910111214[[#Headers],[20_5]],"")))/4)*$D366</f>
        <v>0</v>
      </c>
      <c r="AE366" s="51">
        <f>((LEN($C366)-LEN(SUBSTITUTE($C366,Table467910111214[[#Headers],[21_0]],"")))/4)*$D366</f>
        <v>0</v>
      </c>
      <c r="AF366" s="51">
        <f>((LEN($C366)-LEN(SUBSTITUTE($C366,Table467910111214[[#Headers],[22_0]],"")))/4)*$D366</f>
        <v>0</v>
      </c>
      <c r="AG366" s="51">
        <f>((LEN($C366)-LEN(SUBSTITUTE($C366,Table467910111214[[#Headers],[22_2]],"")))/4)*$D366</f>
        <v>0</v>
      </c>
      <c r="AH366" s="51">
        <f>((LEN($C366)-LEN(SUBSTITUTE($C366,Table467910111214[[#Headers],[22_5]],"")))/4)*$D366</f>
        <v>0</v>
      </c>
      <c r="AI366" s="51">
        <f>((LEN($C366)-LEN(SUBSTITUTE($C366,Table467910111214[[#Headers],[22_6]],"")))/4)*$D366</f>
        <v>0</v>
      </c>
      <c r="AJ366" s="51">
        <f>((LEN($C366)-LEN(SUBSTITUTE($C366,Table467910111214[[#Headers],[24_0]],"")))/4)*$D366</f>
        <v>4.9550315915133513E-4</v>
      </c>
      <c r="AK366" s="51">
        <f>((LEN($C366)-LEN(SUBSTITUTE($C366,Table467910111214[[#Headers],[25_0]],"")))/4)*$D366</f>
        <v>0</v>
      </c>
      <c r="AL366" s="51">
        <f>((LEN($C366)-LEN(SUBSTITUTE($C366,Table467910111214[[#Headers],[26_0]],"")))/4)*$D366</f>
        <v>0</v>
      </c>
      <c r="AM366" s="51">
        <f t="shared" si="90"/>
        <v>4.9550315915133513E-4</v>
      </c>
      <c r="AN366" s="51">
        <f t="shared" si="91"/>
        <v>0</v>
      </c>
      <c r="AO366" s="51">
        <f>Table467910111214[[#This Row],[Column29]]/$D$379*0.5</f>
        <v>9.4762193298000459E-3</v>
      </c>
      <c r="AP366" s="51">
        <f>Table467910111214[[#This Row],[Column29]]/$D$379*1.5</f>
        <v>2.8428657989400138E-2</v>
      </c>
    </row>
    <row r="367" spans="3:42">
      <c r="C367" s="51" t="s">
        <v>631</v>
      </c>
      <c r="D367" s="51">
        <v>2.089695840354538E-3</v>
      </c>
      <c r="E367" s="51">
        <f>((LEN($C367)-LEN(SUBSTITUTE($C367,Table467910111214[[#Headers],[12_0]],"")))/4)*$D367</f>
        <v>0</v>
      </c>
      <c r="F367" s="51">
        <f>((LEN($C367)-LEN(SUBSTITUTE($C367,Table467910111214[[#Headers],[13_0]],"")))/4)*$D367</f>
        <v>0</v>
      </c>
      <c r="G367" s="51">
        <f>((LEN($C367)-LEN(SUBSTITUTE($C367,Table467910111214[[#Headers],[14_0]],"")))/4)*$D367</f>
        <v>0</v>
      </c>
      <c r="H367" s="51">
        <f>((LEN($C367)-LEN(SUBSTITUTE($C367,Table467910111214[[#Headers],[14_1]],"")))/4)*$D367</f>
        <v>0</v>
      </c>
      <c r="I367" s="51">
        <f>((LEN($C367)-LEN(SUBSTITUTE($C367,Table467910111214[[#Headers],[15_0]],"")))/4)*$D367</f>
        <v>0</v>
      </c>
      <c r="J367" s="51">
        <f>((LEN($C367)-LEN(SUBSTITUTE($C367,Table467910111214[[#Headers],[15_1]],"")))/4)*$D367</f>
        <v>0</v>
      </c>
      <c r="K367" s="51">
        <f>((LEN($C367)-LEN(SUBSTITUTE($C367,Table467910111214[[#Headers],[16_0]],"")))/4)*$D367</f>
        <v>0</v>
      </c>
      <c r="L367" s="51">
        <f>((LEN($C367)-LEN(SUBSTITUTE($C367,Table467910111214[[#Headers],[16_1]],"")))/4)*$D367</f>
        <v>0</v>
      </c>
      <c r="M367" s="51">
        <f>((LEN($C367)-LEN(SUBSTITUTE($C367,Table467910111214[[#Headers],[16_2]],"")))/4)*$D367</f>
        <v>0</v>
      </c>
      <c r="N367" s="51">
        <f>((LEN($C367)-LEN(SUBSTITUTE($C367,Table467910111214[[#Headers],[16_3]],"")))/4)*$D367</f>
        <v>0</v>
      </c>
      <c r="O367" s="51">
        <f>((LEN($C367)-LEN(SUBSTITUTE($C367,Table467910111214[[#Headers],[17_0]],"")))/4)*$D367</f>
        <v>0</v>
      </c>
      <c r="P367" s="51">
        <f>((LEN($C367)-LEN(SUBSTITUTE($C367,Table467910111214[[#Headers],[17_1]],"")))/4)*$D367</f>
        <v>0</v>
      </c>
      <c r="Q367" s="51">
        <f>((LEN($C367)-LEN(SUBSTITUTE($C367,Table467910111214[[#Headers],[18_0]],"")))/4)*$D367</f>
        <v>0</v>
      </c>
      <c r="R367" s="51">
        <f>((LEN($C367)-LEN(SUBSTITUTE($C367,Table467910111214[[#Headers],[18_1]],"")))/4)*$D367</f>
        <v>0</v>
      </c>
      <c r="S367" s="51">
        <f>((LEN($C367)-LEN(SUBSTITUTE($C367,Table467910111214[[#Headers],[18_2]],"")))/4)*$D367</f>
        <v>0</v>
      </c>
      <c r="T367" s="51">
        <f>((LEN($C367)-LEN(SUBSTITUTE($C367,Table467910111214[[#Headers],[18_3]],"")))/4)*$D367</f>
        <v>0</v>
      </c>
      <c r="U367" s="51">
        <f>((LEN($C367)-LEN(SUBSTITUTE($C367,Table467910111214[[#Headers],[18_4]],"")))/4)*$D367</f>
        <v>0</v>
      </c>
      <c r="V367" s="51">
        <f>((LEN($C367)-LEN(SUBSTITUTE($C367,Table467910111214[[#Headers],[18_5]],"")))/4)*$D367</f>
        <v>0</v>
      </c>
      <c r="W367" s="51">
        <f>((LEN($C367)-LEN(SUBSTITUTE($C367,Table467910111214[[#Headers],[19_1]],"")))/4)*$D367</f>
        <v>0</v>
      </c>
      <c r="X367" s="51">
        <f>((LEN($C367)-LEN(SUBSTITUTE($C367,Table467910111214[[#Headers],[19_2]],"")))/4)*$D367</f>
        <v>2.089695840354538E-3</v>
      </c>
      <c r="Y367" s="51">
        <f>((LEN($C367)-LEN(SUBSTITUTE($C367,Table467910111214[[#Headers],[20_0]],"")))/4)*$D367</f>
        <v>0</v>
      </c>
      <c r="Z367" s="51">
        <f>((LEN($C367)-LEN(SUBSTITUTE($C367,Table467910111214[[#Headers],[20_1]],"")))/4)*$D367</f>
        <v>0</v>
      </c>
      <c r="AA367" s="51">
        <f>((LEN($C367)-LEN(SUBSTITUTE($C367,Table467910111214[[#Headers],[20_2]],"")))/4)*$D367</f>
        <v>0</v>
      </c>
      <c r="AB367" s="51">
        <f>((LEN($C367)-LEN(SUBSTITUTE($C367,Table467910111214[[#Headers],[20_3]],"")))/4)*$D367</f>
        <v>0</v>
      </c>
      <c r="AC367" s="51">
        <f>((LEN($C367)-LEN(SUBSTITUTE($C367,Table467910111214[[#Headers],[20_4]],"")))/4)*$D367</f>
        <v>0</v>
      </c>
      <c r="AD367" s="51">
        <f>((LEN($C367)-LEN(SUBSTITUTE($C367,Table467910111214[[#Headers],[20_5]],"")))/4)*$D367</f>
        <v>0</v>
      </c>
      <c r="AE367" s="51">
        <f>((LEN($C367)-LEN(SUBSTITUTE($C367,Table467910111214[[#Headers],[21_0]],"")))/4)*$D367</f>
        <v>0</v>
      </c>
      <c r="AF367" s="51">
        <f>((LEN($C367)-LEN(SUBSTITUTE($C367,Table467910111214[[#Headers],[22_0]],"")))/4)*$D367</f>
        <v>0</v>
      </c>
      <c r="AG367" s="51">
        <f>((LEN($C367)-LEN(SUBSTITUTE($C367,Table467910111214[[#Headers],[22_2]],"")))/4)*$D367</f>
        <v>2.089695840354538E-3</v>
      </c>
      <c r="AH367" s="51">
        <f>((LEN($C367)-LEN(SUBSTITUTE($C367,Table467910111214[[#Headers],[22_5]],"")))/4)*$D367</f>
        <v>0</v>
      </c>
      <c r="AI367" s="51">
        <f>((LEN($C367)-LEN(SUBSTITUTE($C367,Table467910111214[[#Headers],[22_6]],"")))/4)*$D367</f>
        <v>0</v>
      </c>
      <c r="AJ367" s="51">
        <f>((LEN($C367)-LEN(SUBSTITUTE($C367,Table467910111214[[#Headers],[24_0]],"")))/4)*$D367</f>
        <v>0</v>
      </c>
      <c r="AK367" s="51">
        <f>((LEN($C367)-LEN(SUBSTITUTE($C367,Table467910111214[[#Headers],[25_0]],"")))/4)*$D367</f>
        <v>0</v>
      </c>
      <c r="AL367" s="51">
        <f>((LEN($C367)-LEN(SUBSTITUTE($C367,Table467910111214[[#Headers],[26_0]],"")))/4)*$D367</f>
        <v>0</v>
      </c>
      <c r="AM367" s="51">
        <f t="shared" si="90"/>
        <v>2.089695840354538E-3</v>
      </c>
      <c r="AN367" s="51">
        <f t="shared" si="91"/>
        <v>0</v>
      </c>
      <c r="AO367" s="51">
        <f>Table467910111214[[#This Row],[Column29]]/$D$379*0.5</f>
        <v>3.9964258047691735E-2</v>
      </c>
      <c r="AP367" s="51">
        <f>Table467910111214[[#This Row],[Column29]]/$D$379*1.5</f>
        <v>0.1198927741430752</v>
      </c>
    </row>
    <row r="368" spans="3:42" s="47" customFormat="1">
      <c r="C368" s="55" t="s">
        <v>632</v>
      </c>
      <c r="D368" s="55">
        <v>2.8970477241703485E-4</v>
      </c>
      <c r="E368" s="55">
        <f>((LEN($C368)-LEN(SUBSTITUTE($C368,Table467910111214[[#Headers],[12_0]],"")))/4)*$D368</f>
        <v>0</v>
      </c>
      <c r="F368" s="55">
        <f>((LEN($C368)-LEN(SUBSTITUTE($C368,Table467910111214[[#Headers],[13_0]],"")))/4)*$D368</f>
        <v>0</v>
      </c>
      <c r="G368" s="55">
        <f>((LEN($C368)-LEN(SUBSTITUTE($C368,Table467910111214[[#Headers],[14_0]],"")))/4)*$D368</f>
        <v>0</v>
      </c>
      <c r="H368" s="55">
        <f>((LEN($C368)-LEN(SUBSTITUTE($C368,Table467910111214[[#Headers],[14_1]],"")))/4)*$D368</f>
        <v>0</v>
      </c>
      <c r="I368" s="55">
        <f>((LEN($C368)-LEN(SUBSTITUTE($C368,Table467910111214[[#Headers],[15_0]],"")))/4)*$D368</f>
        <v>0</v>
      </c>
      <c r="J368" s="55">
        <f>((LEN($C368)-LEN(SUBSTITUTE($C368,Table467910111214[[#Headers],[15_1]],"")))/4)*$D368</f>
        <v>0</v>
      </c>
      <c r="K368" s="55">
        <f>((LEN($C368)-LEN(SUBSTITUTE($C368,Table467910111214[[#Headers],[16_0]],"")))/4)*$D368</f>
        <v>0</v>
      </c>
      <c r="L368" s="55">
        <f>((LEN($C368)-LEN(SUBSTITUTE($C368,Table467910111214[[#Headers],[16_1]],"")))/4)*$D368</f>
        <v>0</v>
      </c>
      <c r="M368" s="55">
        <f>((LEN($C368)-LEN(SUBSTITUTE($C368,Table467910111214[[#Headers],[16_2]],"")))/4)*$D368</f>
        <v>0</v>
      </c>
      <c r="N368" s="55">
        <f>((LEN($C368)-LEN(SUBSTITUTE($C368,Table467910111214[[#Headers],[16_3]],"")))/4)*$D368</f>
        <v>0</v>
      </c>
      <c r="O368" s="55">
        <f>((LEN($C368)-LEN(SUBSTITUTE($C368,Table467910111214[[#Headers],[17_0]],"")))/4)*$D368</f>
        <v>0</v>
      </c>
      <c r="P368" s="55">
        <f>((LEN($C368)-LEN(SUBSTITUTE($C368,Table467910111214[[#Headers],[17_1]],"")))/4)*$D368</f>
        <v>0</v>
      </c>
      <c r="Q368" s="55">
        <f>((LEN($C368)-LEN(SUBSTITUTE($C368,Table467910111214[[#Headers],[18_0]],"")))/4)*$D368</f>
        <v>0</v>
      </c>
      <c r="R368" s="55">
        <f>((LEN($C368)-LEN(SUBSTITUTE($C368,Table467910111214[[#Headers],[18_1]],"")))/4)*$D368</f>
        <v>0</v>
      </c>
      <c r="S368" s="55">
        <f>((LEN($C368)-LEN(SUBSTITUTE($C368,Table467910111214[[#Headers],[18_2]],"")))/4)*$D368</f>
        <v>0</v>
      </c>
      <c r="T368" s="55">
        <f>((LEN($C368)-LEN(SUBSTITUTE($C368,Table467910111214[[#Headers],[18_3]],"")))/4)*$D368</f>
        <v>0</v>
      </c>
      <c r="U368" s="55">
        <f>((LEN($C368)-LEN(SUBSTITUTE($C368,Table467910111214[[#Headers],[18_4]],"")))/4)*$D368</f>
        <v>0</v>
      </c>
      <c r="V368" s="55">
        <f>((LEN($C368)-LEN(SUBSTITUTE($C368,Table467910111214[[#Headers],[18_5]],"")))/4)*$D368</f>
        <v>0</v>
      </c>
      <c r="W368" s="55">
        <f>((LEN($C368)-LEN(SUBSTITUTE($C368,Table467910111214[[#Headers],[19_1]],"")))/4)*$D368</f>
        <v>0</v>
      </c>
      <c r="X368" s="55">
        <f>((LEN($C368)-LEN(SUBSTITUTE($C368,Table467910111214[[#Headers],[19_2]],"")))/4)*$D368</f>
        <v>0</v>
      </c>
      <c r="Y368" s="55">
        <f>((LEN($C368)-LEN(SUBSTITUTE($C368,Table467910111214[[#Headers],[20_0]],"")))/4)*$D368</f>
        <v>0</v>
      </c>
      <c r="Z368" s="55">
        <f>((LEN($C368)-LEN(SUBSTITUTE($C368,Table467910111214[[#Headers],[20_1]],"")))/4)*$D368</f>
        <v>2.8970477241703485E-4</v>
      </c>
      <c r="AA368" s="55">
        <f>((LEN($C368)-LEN(SUBSTITUTE($C368,Table467910111214[[#Headers],[20_2]],"")))/4)*$D368</f>
        <v>0</v>
      </c>
      <c r="AB368" s="55">
        <f>((LEN($C368)-LEN(SUBSTITUTE($C368,Table467910111214[[#Headers],[20_3]],"")))/4)*$D368</f>
        <v>0</v>
      </c>
      <c r="AC368" s="55">
        <f>((LEN($C368)-LEN(SUBSTITUTE($C368,Table467910111214[[#Headers],[20_4]],"")))/4)*$D368</f>
        <v>0</v>
      </c>
      <c r="AD368" s="55">
        <f>((LEN($C368)-LEN(SUBSTITUTE($C368,Table467910111214[[#Headers],[20_5]],"")))/4)*$D368</f>
        <v>0</v>
      </c>
      <c r="AE368" s="55">
        <f>((LEN($C368)-LEN(SUBSTITUTE($C368,Table467910111214[[#Headers],[21_0]],"")))/4)*$D368</f>
        <v>0</v>
      </c>
      <c r="AF368" s="55">
        <f>((LEN($C368)-LEN(SUBSTITUTE($C368,Table467910111214[[#Headers],[22_0]],"")))/4)*$D368</f>
        <v>0</v>
      </c>
      <c r="AG368" s="55">
        <f>((LEN($C368)-LEN(SUBSTITUTE($C368,Table467910111214[[#Headers],[22_2]],"")))/4)*$D368</f>
        <v>0</v>
      </c>
      <c r="AH368" s="55">
        <f>((LEN($C368)-LEN(SUBSTITUTE($C368,Table467910111214[[#Headers],[22_5]],"")))/4)*$D368</f>
        <v>0</v>
      </c>
      <c r="AI368" s="55">
        <f>((LEN($C368)-LEN(SUBSTITUTE($C368,Table467910111214[[#Headers],[22_6]],"")))/4)*$D368</f>
        <v>0</v>
      </c>
      <c r="AJ368" s="55">
        <f>((LEN($C368)-LEN(SUBSTITUTE($C368,Table467910111214[[#Headers],[24_0]],"")))/4)*$D368</f>
        <v>2.8970477241703485E-4</v>
      </c>
      <c r="AK368" s="55">
        <f>((LEN($C368)-LEN(SUBSTITUTE($C368,Table467910111214[[#Headers],[25_0]],"")))/4)*$D368</f>
        <v>0</v>
      </c>
      <c r="AL368" s="55">
        <f>((LEN($C368)-LEN(SUBSTITUTE($C368,Table467910111214[[#Headers],[26_0]],"")))/4)*$D368</f>
        <v>0</v>
      </c>
      <c r="AM368" s="55">
        <f t="shared" si="90"/>
        <v>2.8970477241703485E-4</v>
      </c>
      <c r="AN368" s="55">
        <f t="shared" si="91"/>
        <v>0</v>
      </c>
      <c r="AO368" s="55">
        <f>Table467910111214[[#This Row],[Column29]]/$D$379*0.5</f>
        <v>5.5404408904589147E-3</v>
      </c>
      <c r="AP368" s="55">
        <f>Table467910111214[[#This Row],[Column29]]/$D$379*1.5</f>
        <v>1.6621322671376743E-2</v>
      </c>
    </row>
    <row r="369" spans="3:42">
      <c r="C369" s="51" t="s">
        <v>633</v>
      </c>
      <c r="D369" s="51">
        <v>7.9093728531932491E-5</v>
      </c>
      <c r="E369" s="51">
        <f>((LEN($C369)-LEN(SUBSTITUTE($C369,Table467910111214[[#Headers],[12_0]],"")))/4)*$D369</f>
        <v>0</v>
      </c>
      <c r="F369" s="51">
        <f>((LEN($C369)-LEN(SUBSTITUTE($C369,Table467910111214[[#Headers],[13_0]],"")))/4)*$D369</f>
        <v>0</v>
      </c>
      <c r="G369" s="51">
        <f>((LEN($C369)-LEN(SUBSTITUTE($C369,Table467910111214[[#Headers],[14_0]],"")))/4)*$D369</f>
        <v>0</v>
      </c>
      <c r="H369" s="51">
        <f>((LEN($C369)-LEN(SUBSTITUTE($C369,Table467910111214[[#Headers],[14_1]],"")))/4)*$D369</f>
        <v>0</v>
      </c>
      <c r="I369" s="51">
        <f>((LEN($C369)-LEN(SUBSTITUTE($C369,Table467910111214[[#Headers],[15_0]],"")))/4)*$D369</f>
        <v>0</v>
      </c>
      <c r="J369" s="51">
        <f>((LEN($C369)-LEN(SUBSTITUTE($C369,Table467910111214[[#Headers],[15_1]],"")))/4)*$D369</f>
        <v>0</v>
      </c>
      <c r="K369" s="51">
        <f>((LEN($C369)-LEN(SUBSTITUTE($C369,Table467910111214[[#Headers],[16_0]],"")))/4)*$D369</f>
        <v>0</v>
      </c>
      <c r="L369" s="51">
        <f>((LEN($C369)-LEN(SUBSTITUTE($C369,Table467910111214[[#Headers],[16_1]],"")))/4)*$D369</f>
        <v>0</v>
      </c>
      <c r="M369" s="51">
        <f>((LEN($C369)-LEN(SUBSTITUTE($C369,Table467910111214[[#Headers],[16_2]],"")))/4)*$D369</f>
        <v>0</v>
      </c>
      <c r="N369" s="51">
        <f>((LEN($C369)-LEN(SUBSTITUTE($C369,Table467910111214[[#Headers],[16_3]],"")))/4)*$D369</f>
        <v>0</v>
      </c>
      <c r="O369" s="51">
        <f>((LEN($C369)-LEN(SUBSTITUTE($C369,Table467910111214[[#Headers],[17_0]],"")))/4)*$D369</f>
        <v>0</v>
      </c>
      <c r="P369" s="51">
        <f>((LEN($C369)-LEN(SUBSTITUTE($C369,Table467910111214[[#Headers],[17_1]],"")))/4)*$D369</f>
        <v>0</v>
      </c>
      <c r="Q369" s="51">
        <f>((LEN($C369)-LEN(SUBSTITUTE($C369,Table467910111214[[#Headers],[18_0]],"")))/4)*$D369</f>
        <v>7.9093728531932491E-5</v>
      </c>
      <c r="R369" s="51">
        <f>((LEN($C369)-LEN(SUBSTITUTE($C369,Table467910111214[[#Headers],[18_1]],"")))/4)*$D369</f>
        <v>0</v>
      </c>
      <c r="S369" s="51">
        <f>((LEN($C369)-LEN(SUBSTITUTE($C369,Table467910111214[[#Headers],[18_2]],"")))/4)*$D369</f>
        <v>0</v>
      </c>
      <c r="T369" s="51">
        <f>((LEN($C369)-LEN(SUBSTITUTE($C369,Table467910111214[[#Headers],[18_3]],"")))/4)*$D369</f>
        <v>0</v>
      </c>
      <c r="U369" s="51">
        <f>((LEN($C369)-LEN(SUBSTITUTE($C369,Table467910111214[[#Headers],[18_4]],"")))/4)*$D369</f>
        <v>0</v>
      </c>
      <c r="V369" s="51">
        <f>((LEN($C369)-LEN(SUBSTITUTE($C369,Table467910111214[[#Headers],[18_5]],"")))/4)*$D369</f>
        <v>0</v>
      </c>
      <c r="W369" s="51">
        <f>((LEN($C369)-LEN(SUBSTITUTE($C369,Table467910111214[[#Headers],[19_1]],"")))/4)*$D369</f>
        <v>0</v>
      </c>
      <c r="X369" s="51">
        <f>((LEN($C369)-LEN(SUBSTITUTE($C369,Table467910111214[[#Headers],[19_2]],"")))/4)*$D369</f>
        <v>0</v>
      </c>
      <c r="Y369" s="51">
        <f>((LEN($C369)-LEN(SUBSTITUTE($C369,Table467910111214[[#Headers],[20_0]],"")))/4)*$D369</f>
        <v>0</v>
      </c>
      <c r="Z369" s="51">
        <f>((LEN($C369)-LEN(SUBSTITUTE($C369,Table467910111214[[#Headers],[20_1]],"")))/4)*$D369</f>
        <v>0</v>
      </c>
      <c r="AA369" s="51">
        <f>((LEN($C369)-LEN(SUBSTITUTE($C369,Table467910111214[[#Headers],[20_2]],"")))/4)*$D369</f>
        <v>0</v>
      </c>
      <c r="AB369" s="51">
        <f>((LEN($C369)-LEN(SUBSTITUTE($C369,Table467910111214[[#Headers],[20_3]],"")))/4)*$D369</f>
        <v>0</v>
      </c>
      <c r="AC369" s="51">
        <f>((LEN($C369)-LEN(SUBSTITUTE($C369,Table467910111214[[#Headers],[20_4]],"")))/4)*$D369</f>
        <v>0</v>
      </c>
      <c r="AD369" s="51">
        <f>((LEN($C369)-LEN(SUBSTITUTE($C369,Table467910111214[[#Headers],[20_5]],"")))/4)*$D369</f>
        <v>0</v>
      </c>
      <c r="AE369" s="51">
        <f>((LEN($C369)-LEN(SUBSTITUTE($C369,Table467910111214[[#Headers],[21_0]],"")))/4)*$D369</f>
        <v>0</v>
      </c>
      <c r="AF369" s="51">
        <f>((LEN($C369)-LEN(SUBSTITUTE($C369,Table467910111214[[#Headers],[22_0]],"")))/4)*$D369</f>
        <v>0</v>
      </c>
      <c r="AG369" s="51">
        <f>((LEN($C369)-LEN(SUBSTITUTE($C369,Table467910111214[[#Headers],[22_2]],"")))/4)*$D369</f>
        <v>0</v>
      </c>
      <c r="AH369" s="51">
        <f>((LEN($C369)-LEN(SUBSTITUTE($C369,Table467910111214[[#Headers],[22_5]],"")))/4)*$D369</f>
        <v>0</v>
      </c>
      <c r="AI369" s="51">
        <f>((LEN($C369)-LEN(SUBSTITUTE($C369,Table467910111214[[#Headers],[22_6]],"")))/4)*$D369</f>
        <v>0</v>
      </c>
      <c r="AJ369" s="51">
        <f>((LEN($C369)-LEN(SUBSTITUTE($C369,Table467910111214[[#Headers],[24_0]],"")))/4)*$D369</f>
        <v>7.9093728531932491E-5</v>
      </c>
      <c r="AK369" s="51">
        <f>((LEN($C369)-LEN(SUBSTITUTE($C369,Table467910111214[[#Headers],[25_0]],"")))/4)*$D369</f>
        <v>0</v>
      </c>
      <c r="AL369" s="51">
        <f>((LEN($C369)-LEN(SUBSTITUTE($C369,Table467910111214[[#Headers],[26_0]],"")))/4)*$D369</f>
        <v>0</v>
      </c>
      <c r="AM369" s="51">
        <f t="shared" si="90"/>
        <v>7.9093728531932491E-5</v>
      </c>
      <c r="AN369" s="51">
        <f t="shared" si="91"/>
        <v>0</v>
      </c>
      <c r="AO369" s="51">
        <f>Table467910111214[[#This Row],[Column29]]/$D$379*0.5</f>
        <v>1.5126230889505651E-3</v>
      </c>
      <c r="AP369" s="51">
        <f>Table467910111214[[#This Row],[Column29]]/$D$379*1.5</f>
        <v>4.5378692668516952E-3</v>
      </c>
    </row>
    <row r="370" spans="3:42">
      <c r="C370" s="51" t="s">
        <v>634</v>
      </c>
      <c r="D370" s="51">
        <v>1.0252678537333805E-4</v>
      </c>
      <c r="E370" s="51">
        <f>((LEN($C370)-LEN(SUBSTITUTE($C370,Table467910111214[[#Headers],[12_0]],"")))/4)*$D370</f>
        <v>0</v>
      </c>
      <c r="F370" s="51">
        <f>((LEN($C370)-LEN(SUBSTITUTE($C370,Table467910111214[[#Headers],[13_0]],"")))/4)*$D370</f>
        <v>0</v>
      </c>
      <c r="G370" s="51">
        <f>((LEN($C370)-LEN(SUBSTITUTE($C370,Table467910111214[[#Headers],[14_0]],"")))/4)*$D370</f>
        <v>0</v>
      </c>
      <c r="H370" s="51">
        <f>((LEN($C370)-LEN(SUBSTITUTE($C370,Table467910111214[[#Headers],[14_1]],"")))/4)*$D370</f>
        <v>0</v>
      </c>
      <c r="I370" s="51">
        <f>((LEN($C370)-LEN(SUBSTITUTE($C370,Table467910111214[[#Headers],[15_0]],"")))/4)*$D370</f>
        <v>0</v>
      </c>
      <c r="J370" s="51">
        <f>((LEN($C370)-LEN(SUBSTITUTE($C370,Table467910111214[[#Headers],[15_1]],"")))/4)*$D370</f>
        <v>0</v>
      </c>
      <c r="K370" s="51">
        <f>((LEN($C370)-LEN(SUBSTITUTE($C370,Table467910111214[[#Headers],[16_0]],"")))/4)*$D370</f>
        <v>0</v>
      </c>
      <c r="L370" s="51">
        <f>((LEN($C370)-LEN(SUBSTITUTE($C370,Table467910111214[[#Headers],[16_1]],"")))/4)*$D370</f>
        <v>0</v>
      </c>
      <c r="M370" s="51">
        <f>((LEN($C370)-LEN(SUBSTITUTE($C370,Table467910111214[[#Headers],[16_2]],"")))/4)*$D370</f>
        <v>0</v>
      </c>
      <c r="N370" s="51">
        <f>((LEN($C370)-LEN(SUBSTITUTE($C370,Table467910111214[[#Headers],[16_3]],"")))/4)*$D370</f>
        <v>0</v>
      </c>
      <c r="O370" s="51">
        <f>((LEN($C370)-LEN(SUBSTITUTE($C370,Table467910111214[[#Headers],[17_0]],"")))/4)*$D370</f>
        <v>0</v>
      </c>
      <c r="P370" s="51">
        <f>((LEN($C370)-LEN(SUBSTITUTE($C370,Table467910111214[[#Headers],[17_1]],"")))/4)*$D370</f>
        <v>0</v>
      </c>
      <c r="Q370" s="51">
        <f>((LEN($C370)-LEN(SUBSTITUTE($C370,Table467910111214[[#Headers],[18_0]],"")))/4)*$D370</f>
        <v>1.0252678537333805E-4</v>
      </c>
      <c r="R370" s="51">
        <f>((LEN($C370)-LEN(SUBSTITUTE($C370,Table467910111214[[#Headers],[18_1]],"")))/4)*$D370</f>
        <v>0</v>
      </c>
      <c r="S370" s="51">
        <f>((LEN($C370)-LEN(SUBSTITUTE($C370,Table467910111214[[#Headers],[18_2]],"")))/4)*$D370</f>
        <v>0</v>
      </c>
      <c r="T370" s="51">
        <f>((LEN($C370)-LEN(SUBSTITUTE($C370,Table467910111214[[#Headers],[18_3]],"")))/4)*$D370</f>
        <v>0</v>
      </c>
      <c r="U370" s="51">
        <f>((LEN($C370)-LEN(SUBSTITUTE($C370,Table467910111214[[#Headers],[18_4]],"")))/4)*$D370</f>
        <v>0</v>
      </c>
      <c r="V370" s="51">
        <f>((LEN($C370)-LEN(SUBSTITUTE($C370,Table467910111214[[#Headers],[18_5]],"")))/4)*$D370</f>
        <v>0</v>
      </c>
      <c r="W370" s="51">
        <f>((LEN($C370)-LEN(SUBSTITUTE($C370,Table467910111214[[#Headers],[19_1]],"")))/4)*$D370</f>
        <v>0</v>
      </c>
      <c r="X370" s="51">
        <f>((LEN($C370)-LEN(SUBSTITUTE($C370,Table467910111214[[#Headers],[19_2]],"")))/4)*$D370</f>
        <v>0</v>
      </c>
      <c r="Y370" s="51">
        <f>((LEN($C370)-LEN(SUBSTITUTE($C370,Table467910111214[[#Headers],[20_0]],"")))/4)*$D370</f>
        <v>0</v>
      </c>
      <c r="Z370" s="51">
        <f>((LEN($C370)-LEN(SUBSTITUTE($C370,Table467910111214[[#Headers],[20_1]],"")))/4)*$D370</f>
        <v>0</v>
      </c>
      <c r="AA370" s="51">
        <f>((LEN($C370)-LEN(SUBSTITUTE($C370,Table467910111214[[#Headers],[20_2]],"")))/4)*$D370</f>
        <v>0</v>
      </c>
      <c r="AB370" s="51">
        <f>((LEN($C370)-LEN(SUBSTITUTE($C370,Table467910111214[[#Headers],[20_3]],"")))/4)*$D370</f>
        <v>0</v>
      </c>
      <c r="AC370" s="51">
        <f>((LEN($C370)-LEN(SUBSTITUTE($C370,Table467910111214[[#Headers],[20_4]],"")))/4)*$D370</f>
        <v>0</v>
      </c>
      <c r="AD370" s="51">
        <f>((LEN($C370)-LEN(SUBSTITUTE($C370,Table467910111214[[#Headers],[20_5]],"")))/4)*$D370</f>
        <v>0</v>
      </c>
      <c r="AE370" s="51">
        <f>((LEN($C370)-LEN(SUBSTITUTE($C370,Table467910111214[[#Headers],[21_0]],"")))/4)*$D370</f>
        <v>0</v>
      </c>
      <c r="AF370" s="51">
        <f>((LEN($C370)-LEN(SUBSTITUTE($C370,Table467910111214[[#Headers],[22_0]],"")))/4)*$D370</f>
        <v>0</v>
      </c>
      <c r="AG370" s="51">
        <f>((LEN($C370)-LEN(SUBSTITUTE($C370,Table467910111214[[#Headers],[22_2]],"")))/4)*$D370</f>
        <v>0</v>
      </c>
      <c r="AH370" s="51">
        <f>((LEN($C370)-LEN(SUBSTITUTE($C370,Table467910111214[[#Headers],[22_5]],"")))/4)*$D370</f>
        <v>0</v>
      </c>
      <c r="AI370" s="51">
        <f>((LEN($C370)-LEN(SUBSTITUTE($C370,Table467910111214[[#Headers],[22_6]],"")))/4)*$D370</f>
        <v>0</v>
      </c>
      <c r="AJ370" s="51">
        <f>((LEN($C370)-LEN(SUBSTITUTE($C370,Table467910111214[[#Headers],[24_0]],"")))/4)*$D370</f>
        <v>0</v>
      </c>
      <c r="AK370" s="51">
        <f>((LEN($C370)-LEN(SUBSTITUTE($C370,Table467910111214[[#Headers],[25_0]],"")))/4)*$D370</f>
        <v>0</v>
      </c>
      <c r="AL370" s="51">
        <f>((LEN($C370)-LEN(SUBSTITUTE($C370,Table467910111214[[#Headers],[26_0]],"")))/4)*$D370</f>
        <v>1.0252678537333805E-4</v>
      </c>
      <c r="AM370" s="51">
        <f t="shared" si="90"/>
        <v>1.0252678537333805E-4</v>
      </c>
      <c r="AN370" s="51">
        <f t="shared" si="91"/>
        <v>0</v>
      </c>
      <c r="AO370" s="51">
        <f>Table467910111214[[#This Row],[Column29]]/$D$379*0.5</f>
        <v>1.9607671261695297E-3</v>
      </c>
      <c r="AP370" s="51">
        <f>Table467910111214[[#This Row],[Column29]]/$D$379*1.5</f>
        <v>5.8823013785085886E-3</v>
      </c>
    </row>
    <row r="371" spans="3:42">
      <c r="C371" s="51" t="s">
        <v>635</v>
      </c>
      <c r="D371" s="51">
        <v>2.0281912278380368E-4</v>
      </c>
      <c r="E371" s="51">
        <f>((LEN($C371)-LEN(SUBSTITUTE($C371,Table467910111214[[#Headers],[12_0]],"")))/4)*$D371</f>
        <v>0</v>
      </c>
      <c r="F371" s="51">
        <f>((LEN($C371)-LEN(SUBSTITUTE($C371,Table467910111214[[#Headers],[13_0]],"")))/4)*$D371</f>
        <v>0</v>
      </c>
      <c r="G371" s="51">
        <f>((LEN($C371)-LEN(SUBSTITUTE($C371,Table467910111214[[#Headers],[14_0]],"")))/4)*$D371</f>
        <v>0</v>
      </c>
      <c r="H371" s="51">
        <f>((LEN($C371)-LEN(SUBSTITUTE($C371,Table467910111214[[#Headers],[14_1]],"")))/4)*$D371</f>
        <v>0</v>
      </c>
      <c r="I371" s="51">
        <f>((LEN($C371)-LEN(SUBSTITUTE($C371,Table467910111214[[#Headers],[15_0]],"")))/4)*$D371</f>
        <v>0</v>
      </c>
      <c r="J371" s="51">
        <f>((LEN($C371)-LEN(SUBSTITUTE($C371,Table467910111214[[#Headers],[15_1]],"")))/4)*$D371</f>
        <v>0</v>
      </c>
      <c r="K371" s="51">
        <f>((LEN($C371)-LEN(SUBSTITUTE($C371,Table467910111214[[#Headers],[16_0]],"")))/4)*$D371</f>
        <v>0</v>
      </c>
      <c r="L371" s="51">
        <f>((LEN($C371)-LEN(SUBSTITUTE($C371,Table467910111214[[#Headers],[16_1]],"")))/4)*$D371</f>
        <v>0</v>
      </c>
      <c r="M371" s="51">
        <f>((LEN($C371)-LEN(SUBSTITUTE($C371,Table467910111214[[#Headers],[16_2]],"")))/4)*$D371</f>
        <v>0</v>
      </c>
      <c r="N371" s="51">
        <f>((LEN($C371)-LEN(SUBSTITUTE($C371,Table467910111214[[#Headers],[16_3]],"")))/4)*$D371</f>
        <v>0</v>
      </c>
      <c r="O371" s="51">
        <f>((LEN($C371)-LEN(SUBSTITUTE($C371,Table467910111214[[#Headers],[17_0]],"")))/4)*$D371</f>
        <v>2.0281912278380368E-4</v>
      </c>
      <c r="P371" s="51">
        <f>((LEN($C371)-LEN(SUBSTITUTE($C371,Table467910111214[[#Headers],[17_1]],"")))/4)*$D371</f>
        <v>0</v>
      </c>
      <c r="Q371" s="51">
        <f>((LEN($C371)-LEN(SUBSTITUTE($C371,Table467910111214[[#Headers],[18_0]],"")))/4)*$D371</f>
        <v>0</v>
      </c>
      <c r="R371" s="51">
        <f>((LEN($C371)-LEN(SUBSTITUTE($C371,Table467910111214[[#Headers],[18_1]],"")))/4)*$D371</f>
        <v>0</v>
      </c>
      <c r="S371" s="51">
        <f>((LEN($C371)-LEN(SUBSTITUTE($C371,Table467910111214[[#Headers],[18_2]],"")))/4)*$D371</f>
        <v>0</v>
      </c>
      <c r="T371" s="51">
        <f>((LEN($C371)-LEN(SUBSTITUTE($C371,Table467910111214[[#Headers],[18_3]],"")))/4)*$D371</f>
        <v>0</v>
      </c>
      <c r="U371" s="51">
        <f>((LEN($C371)-LEN(SUBSTITUTE($C371,Table467910111214[[#Headers],[18_4]],"")))/4)*$D371</f>
        <v>0</v>
      </c>
      <c r="V371" s="51">
        <f>((LEN($C371)-LEN(SUBSTITUTE($C371,Table467910111214[[#Headers],[18_5]],"")))/4)*$D371</f>
        <v>0</v>
      </c>
      <c r="W371" s="51">
        <f>((LEN($C371)-LEN(SUBSTITUTE($C371,Table467910111214[[#Headers],[19_1]],"")))/4)*$D371</f>
        <v>0</v>
      </c>
      <c r="X371" s="51">
        <f>((LEN($C371)-LEN(SUBSTITUTE($C371,Table467910111214[[#Headers],[19_2]],"")))/4)*$D371</f>
        <v>0</v>
      </c>
      <c r="Y371" s="51">
        <f>((LEN($C371)-LEN(SUBSTITUTE($C371,Table467910111214[[#Headers],[20_0]],"")))/4)*$D371</f>
        <v>0</v>
      </c>
      <c r="Z371" s="51">
        <f>((LEN($C371)-LEN(SUBSTITUTE($C371,Table467910111214[[#Headers],[20_1]],"")))/4)*$D371</f>
        <v>0</v>
      </c>
      <c r="AA371" s="51">
        <f>((LEN($C371)-LEN(SUBSTITUTE($C371,Table467910111214[[#Headers],[20_2]],"")))/4)*$D371</f>
        <v>0</v>
      </c>
      <c r="AB371" s="51">
        <f>((LEN($C371)-LEN(SUBSTITUTE($C371,Table467910111214[[#Headers],[20_3]],"")))/4)*$D371</f>
        <v>0</v>
      </c>
      <c r="AC371" s="51">
        <f>((LEN($C371)-LEN(SUBSTITUTE($C371,Table467910111214[[#Headers],[20_4]],"")))/4)*$D371</f>
        <v>0</v>
      </c>
      <c r="AD371" s="51">
        <f>((LEN($C371)-LEN(SUBSTITUTE($C371,Table467910111214[[#Headers],[20_5]],"")))/4)*$D371</f>
        <v>0</v>
      </c>
      <c r="AE371" s="51">
        <f>((LEN($C371)-LEN(SUBSTITUTE($C371,Table467910111214[[#Headers],[21_0]],"")))/4)*$D371</f>
        <v>0</v>
      </c>
      <c r="AF371" s="51">
        <f>((LEN($C371)-LEN(SUBSTITUTE($C371,Table467910111214[[#Headers],[22_0]],"")))/4)*$D371</f>
        <v>0</v>
      </c>
      <c r="AG371" s="51">
        <f>((LEN($C371)-LEN(SUBSTITUTE($C371,Table467910111214[[#Headers],[22_2]],"")))/4)*$D371</f>
        <v>0</v>
      </c>
      <c r="AH371" s="51">
        <f>((LEN($C371)-LEN(SUBSTITUTE($C371,Table467910111214[[#Headers],[22_5]],"")))/4)*$D371</f>
        <v>0</v>
      </c>
      <c r="AI371" s="51">
        <f>((LEN($C371)-LEN(SUBSTITUTE($C371,Table467910111214[[#Headers],[22_6]],"")))/4)*$D371</f>
        <v>0</v>
      </c>
      <c r="AJ371" s="51">
        <f>((LEN($C371)-LEN(SUBSTITUTE($C371,Table467910111214[[#Headers],[24_0]],"")))/4)*$D371</f>
        <v>2.0281912278380368E-4</v>
      </c>
      <c r="AK371" s="51">
        <f>((LEN($C371)-LEN(SUBSTITUTE($C371,Table467910111214[[#Headers],[25_0]],"")))/4)*$D371</f>
        <v>0</v>
      </c>
      <c r="AL371" s="51">
        <f>((LEN($C371)-LEN(SUBSTITUTE($C371,Table467910111214[[#Headers],[26_0]],"")))/4)*$D371</f>
        <v>0</v>
      </c>
      <c r="AM371" s="51">
        <f t="shared" si="90"/>
        <v>2.0281912278380368E-4</v>
      </c>
      <c r="AN371" s="51">
        <f t="shared" si="91"/>
        <v>0</v>
      </c>
      <c r="AO371" s="51">
        <f>Table467910111214[[#This Row],[Column29]]/$D$379*0.5</f>
        <v>3.8788016913328502E-3</v>
      </c>
      <c r="AP371" s="51">
        <f>Table467910111214[[#This Row],[Column29]]/$D$379*1.5</f>
        <v>1.1636405073998551E-2</v>
      </c>
    </row>
    <row r="372" spans="3:42">
      <c r="C372" s="51" t="s">
        <v>636</v>
      </c>
      <c r="D372" s="51">
        <v>3.1648950120274899E-4</v>
      </c>
      <c r="E372" s="51">
        <f>((LEN($C372)-LEN(SUBSTITUTE($C372,Table467910111214[[#Headers],[12_0]],"")))/4)*$D372</f>
        <v>0</v>
      </c>
      <c r="F372" s="51">
        <f>((LEN($C372)-LEN(SUBSTITUTE($C372,Table467910111214[[#Headers],[13_0]],"")))/4)*$D372</f>
        <v>0</v>
      </c>
      <c r="G372" s="51">
        <f>((LEN($C372)-LEN(SUBSTITUTE($C372,Table467910111214[[#Headers],[14_0]],"")))/4)*$D372</f>
        <v>0</v>
      </c>
      <c r="H372" s="51">
        <f>((LEN($C372)-LEN(SUBSTITUTE($C372,Table467910111214[[#Headers],[14_1]],"")))/4)*$D372</f>
        <v>0</v>
      </c>
      <c r="I372" s="51">
        <f>((LEN($C372)-LEN(SUBSTITUTE($C372,Table467910111214[[#Headers],[15_0]],"")))/4)*$D372</f>
        <v>0</v>
      </c>
      <c r="J372" s="51">
        <f>((LEN($C372)-LEN(SUBSTITUTE($C372,Table467910111214[[#Headers],[15_1]],"")))/4)*$D372</f>
        <v>0</v>
      </c>
      <c r="K372" s="51">
        <f>((LEN($C372)-LEN(SUBSTITUTE($C372,Table467910111214[[#Headers],[16_0]],"")))/4)*$D372</f>
        <v>0</v>
      </c>
      <c r="L372" s="51">
        <f>((LEN($C372)-LEN(SUBSTITUTE($C372,Table467910111214[[#Headers],[16_1]],"")))/4)*$D372</f>
        <v>0</v>
      </c>
      <c r="M372" s="51">
        <f>((LEN($C372)-LEN(SUBSTITUTE($C372,Table467910111214[[#Headers],[16_2]],"")))/4)*$D372</f>
        <v>0</v>
      </c>
      <c r="N372" s="51">
        <f>((LEN($C372)-LEN(SUBSTITUTE($C372,Table467910111214[[#Headers],[16_3]],"")))/4)*$D372</f>
        <v>0</v>
      </c>
      <c r="O372" s="51">
        <f>((LEN($C372)-LEN(SUBSTITUTE($C372,Table467910111214[[#Headers],[17_0]],"")))/4)*$D372</f>
        <v>3.1648950120274899E-4</v>
      </c>
      <c r="P372" s="51">
        <f>((LEN($C372)-LEN(SUBSTITUTE($C372,Table467910111214[[#Headers],[17_1]],"")))/4)*$D372</f>
        <v>0</v>
      </c>
      <c r="Q372" s="51">
        <f>((LEN($C372)-LEN(SUBSTITUTE($C372,Table467910111214[[#Headers],[18_0]],"")))/4)*$D372</f>
        <v>0</v>
      </c>
      <c r="R372" s="51">
        <f>((LEN($C372)-LEN(SUBSTITUTE($C372,Table467910111214[[#Headers],[18_1]],"")))/4)*$D372</f>
        <v>0</v>
      </c>
      <c r="S372" s="51">
        <f>((LEN($C372)-LEN(SUBSTITUTE($C372,Table467910111214[[#Headers],[18_2]],"")))/4)*$D372</f>
        <v>0</v>
      </c>
      <c r="T372" s="51">
        <f>((LEN($C372)-LEN(SUBSTITUTE($C372,Table467910111214[[#Headers],[18_3]],"")))/4)*$D372</f>
        <v>0</v>
      </c>
      <c r="U372" s="51">
        <f>((LEN($C372)-LEN(SUBSTITUTE($C372,Table467910111214[[#Headers],[18_4]],"")))/4)*$D372</f>
        <v>0</v>
      </c>
      <c r="V372" s="51">
        <f>((LEN($C372)-LEN(SUBSTITUTE($C372,Table467910111214[[#Headers],[18_5]],"")))/4)*$D372</f>
        <v>0</v>
      </c>
      <c r="W372" s="51">
        <f>((LEN($C372)-LEN(SUBSTITUTE($C372,Table467910111214[[#Headers],[19_1]],"")))/4)*$D372</f>
        <v>0</v>
      </c>
      <c r="X372" s="51">
        <f>((LEN($C372)-LEN(SUBSTITUTE($C372,Table467910111214[[#Headers],[19_2]],"")))/4)*$D372</f>
        <v>0</v>
      </c>
      <c r="Y372" s="51">
        <f>((LEN($C372)-LEN(SUBSTITUTE($C372,Table467910111214[[#Headers],[20_0]],"")))/4)*$D372</f>
        <v>0</v>
      </c>
      <c r="Z372" s="51">
        <f>((LEN($C372)-LEN(SUBSTITUTE($C372,Table467910111214[[#Headers],[20_1]],"")))/4)*$D372</f>
        <v>0</v>
      </c>
      <c r="AA372" s="51">
        <f>((LEN($C372)-LEN(SUBSTITUTE($C372,Table467910111214[[#Headers],[20_2]],"")))/4)*$D372</f>
        <v>0</v>
      </c>
      <c r="AB372" s="51">
        <f>((LEN($C372)-LEN(SUBSTITUTE($C372,Table467910111214[[#Headers],[20_3]],"")))/4)*$D372</f>
        <v>0</v>
      </c>
      <c r="AC372" s="51">
        <f>((LEN($C372)-LEN(SUBSTITUTE($C372,Table467910111214[[#Headers],[20_4]],"")))/4)*$D372</f>
        <v>0</v>
      </c>
      <c r="AD372" s="51">
        <f>((LEN($C372)-LEN(SUBSTITUTE($C372,Table467910111214[[#Headers],[20_5]],"")))/4)*$D372</f>
        <v>0</v>
      </c>
      <c r="AE372" s="51">
        <f>((LEN($C372)-LEN(SUBSTITUTE($C372,Table467910111214[[#Headers],[21_0]],"")))/4)*$D372</f>
        <v>0</v>
      </c>
      <c r="AF372" s="51">
        <f>((LEN($C372)-LEN(SUBSTITUTE($C372,Table467910111214[[#Headers],[22_0]],"")))/4)*$D372</f>
        <v>0</v>
      </c>
      <c r="AG372" s="51">
        <f>((LEN($C372)-LEN(SUBSTITUTE($C372,Table467910111214[[#Headers],[22_2]],"")))/4)*$D372</f>
        <v>0</v>
      </c>
      <c r="AH372" s="51">
        <f>((LEN($C372)-LEN(SUBSTITUTE($C372,Table467910111214[[#Headers],[22_5]],"")))/4)*$D372</f>
        <v>0</v>
      </c>
      <c r="AI372" s="51">
        <f>((LEN($C372)-LEN(SUBSTITUTE($C372,Table467910111214[[#Headers],[22_6]],"")))/4)*$D372</f>
        <v>0</v>
      </c>
      <c r="AJ372" s="51">
        <f>((LEN($C372)-LEN(SUBSTITUTE($C372,Table467910111214[[#Headers],[24_0]],"")))/4)*$D372</f>
        <v>0</v>
      </c>
      <c r="AK372" s="51">
        <f>((LEN($C372)-LEN(SUBSTITUTE($C372,Table467910111214[[#Headers],[25_0]],"")))/4)*$D372</f>
        <v>0</v>
      </c>
      <c r="AL372" s="51">
        <f>((LEN($C372)-LEN(SUBSTITUTE($C372,Table467910111214[[#Headers],[26_0]],"")))/4)*$D372</f>
        <v>3.1648950120274899E-4</v>
      </c>
      <c r="AM372" s="51">
        <f t="shared" si="90"/>
        <v>3.1648950120274899E-4</v>
      </c>
      <c r="AN372" s="51">
        <f t="shared" si="91"/>
        <v>0</v>
      </c>
      <c r="AO372" s="51">
        <f>Table467910111214[[#This Row],[Column29]]/$D$379*0.5</f>
        <v>6.0526837691871928E-3</v>
      </c>
      <c r="AP372" s="51">
        <f>Table467910111214[[#This Row],[Column29]]/$D$379*1.5</f>
        <v>1.8158051307561578E-2</v>
      </c>
    </row>
    <row r="373" spans="3:42">
      <c r="C373" s="51" t="s">
        <v>637</v>
      </c>
      <c r="D373" s="51">
        <v>3.4507897642001403E-4</v>
      </c>
      <c r="E373" s="51">
        <f>((LEN($C373)-LEN(SUBSTITUTE($C373,Table467910111214[[#Headers],[12_0]],"")))/4)*$D373</f>
        <v>0</v>
      </c>
      <c r="F373" s="51">
        <f>((LEN($C373)-LEN(SUBSTITUTE($C373,Table467910111214[[#Headers],[13_0]],"")))/4)*$D373</f>
        <v>0</v>
      </c>
      <c r="G373" s="51">
        <f>((LEN($C373)-LEN(SUBSTITUTE($C373,Table467910111214[[#Headers],[14_0]],"")))/4)*$D373</f>
        <v>0</v>
      </c>
      <c r="H373" s="51">
        <f>((LEN($C373)-LEN(SUBSTITUTE($C373,Table467910111214[[#Headers],[14_1]],"")))/4)*$D373</f>
        <v>0</v>
      </c>
      <c r="I373" s="51">
        <f>((LEN($C373)-LEN(SUBSTITUTE($C373,Table467910111214[[#Headers],[15_0]],"")))/4)*$D373</f>
        <v>0</v>
      </c>
      <c r="J373" s="51">
        <f>((LEN($C373)-LEN(SUBSTITUTE($C373,Table467910111214[[#Headers],[15_1]],"")))/4)*$D373</f>
        <v>0</v>
      </c>
      <c r="K373" s="51">
        <f>((LEN($C373)-LEN(SUBSTITUTE($C373,Table467910111214[[#Headers],[16_0]],"")))/4)*$D373</f>
        <v>0</v>
      </c>
      <c r="L373" s="51">
        <f>((LEN($C373)-LEN(SUBSTITUTE($C373,Table467910111214[[#Headers],[16_1]],"")))/4)*$D373</f>
        <v>0</v>
      </c>
      <c r="M373" s="51">
        <f>((LEN($C373)-LEN(SUBSTITUTE($C373,Table467910111214[[#Headers],[16_2]],"")))/4)*$D373</f>
        <v>0</v>
      </c>
      <c r="N373" s="51">
        <f>((LEN($C373)-LEN(SUBSTITUTE($C373,Table467910111214[[#Headers],[16_3]],"")))/4)*$D373</f>
        <v>0</v>
      </c>
      <c r="O373" s="51">
        <f>((LEN($C373)-LEN(SUBSTITUTE($C373,Table467910111214[[#Headers],[17_0]],"")))/4)*$D373</f>
        <v>0</v>
      </c>
      <c r="P373" s="51">
        <f>((LEN($C373)-LEN(SUBSTITUTE($C373,Table467910111214[[#Headers],[17_1]],"")))/4)*$D373</f>
        <v>0</v>
      </c>
      <c r="Q373" s="51">
        <f>((LEN($C373)-LEN(SUBSTITUTE($C373,Table467910111214[[#Headers],[18_0]],"")))/4)*$D373</f>
        <v>3.4507897642001403E-4</v>
      </c>
      <c r="R373" s="51">
        <f>((LEN($C373)-LEN(SUBSTITUTE($C373,Table467910111214[[#Headers],[18_1]],"")))/4)*$D373</f>
        <v>0</v>
      </c>
      <c r="S373" s="51">
        <f>((LEN($C373)-LEN(SUBSTITUTE($C373,Table467910111214[[#Headers],[18_2]],"")))/4)*$D373</f>
        <v>0</v>
      </c>
      <c r="T373" s="51">
        <f>((LEN($C373)-LEN(SUBSTITUTE($C373,Table467910111214[[#Headers],[18_3]],"")))/4)*$D373</f>
        <v>0</v>
      </c>
      <c r="U373" s="51">
        <f>((LEN($C373)-LEN(SUBSTITUTE($C373,Table467910111214[[#Headers],[18_4]],"")))/4)*$D373</f>
        <v>0</v>
      </c>
      <c r="V373" s="51">
        <f>((LEN($C373)-LEN(SUBSTITUTE($C373,Table467910111214[[#Headers],[18_5]],"")))/4)*$D373</f>
        <v>0</v>
      </c>
      <c r="W373" s="51">
        <f>((LEN($C373)-LEN(SUBSTITUTE($C373,Table467910111214[[#Headers],[19_1]],"")))/4)*$D373</f>
        <v>0</v>
      </c>
      <c r="X373" s="51">
        <f>((LEN($C373)-LEN(SUBSTITUTE($C373,Table467910111214[[#Headers],[19_2]],"")))/4)*$D373</f>
        <v>0</v>
      </c>
      <c r="Y373" s="51">
        <f>((LEN($C373)-LEN(SUBSTITUTE($C373,Table467910111214[[#Headers],[20_0]],"")))/4)*$D373</f>
        <v>0</v>
      </c>
      <c r="Z373" s="51">
        <f>((LEN($C373)-LEN(SUBSTITUTE($C373,Table467910111214[[#Headers],[20_1]],"")))/4)*$D373</f>
        <v>0</v>
      </c>
      <c r="AA373" s="51">
        <f>((LEN($C373)-LEN(SUBSTITUTE($C373,Table467910111214[[#Headers],[20_2]],"")))/4)*$D373</f>
        <v>0</v>
      </c>
      <c r="AB373" s="51">
        <f>((LEN($C373)-LEN(SUBSTITUTE($C373,Table467910111214[[#Headers],[20_3]],"")))/4)*$D373</f>
        <v>0</v>
      </c>
      <c r="AC373" s="51">
        <f>((LEN($C373)-LEN(SUBSTITUTE($C373,Table467910111214[[#Headers],[20_4]],"")))/4)*$D373</f>
        <v>0</v>
      </c>
      <c r="AD373" s="51">
        <f>((LEN($C373)-LEN(SUBSTITUTE($C373,Table467910111214[[#Headers],[20_5]],"")))/4)*$D373</f>
        <v>0</v>
      </c>
      <c r="AE373" s="51">
        <f>((LEN($C373)-LEN(SUBSTITUTE($C373,Table467910111214[[#Headers],[21_0]],"")))/4)*$D373</f>
        <v>0</v>
      </c>
      <c r="AF373" s="51">
        <f>((LEN($C373)-LEN(SUBSTITUTE($C373,Table467910111214[[#Headers],[22_0]],"")))/4)*$D373</f>
        <v>0</v>
      </c>
      <c r="AG373" s="51">
        <f>((LEN($C373)-LEN(SUBSTITUTE($C373,Table467910111214[[#Headers],[22_2]],"")))/4)*$D373</f>
        <v>0</v>
      </c>
      <c r="AH373" s="51">
        <f>((LEN($C373)-LEN(SUBSTITUTE($C373,Table467910111214[[#Headers],[22_5]],"")))/4)*$D373</f>
        <v>0</v>
      </c>
      <c r="AI373" s="51">
        <f>((LEN($C373)-LEN(SUBSTITUTE($C373,Table467910111214[[#Headers],[22_6]],"")))/4)*$D373</f>
        <v>0</v>
      </c>
      <c r="AJ373" s="51">
        <f>((LEN($C373)-LEN(SUBSTITUTE($C373,Table467910111214[[#Headers],[24_0]],"")))/4)*$D373</f>
        <v>3.4507897642001403E-4</v>
      </c>
      <c r="AK373" s="51">
        <f>((LEN($C373)-LEN(SUBSTITUTE($C373,Table467910111214[[#Headers],[25_0]],"")))/4)*$D373</f>
        <v>0</v>
      </c>
      <c r="AL373" s="51">
        <f>((LEN($C373)-LEN(SUBSTITUTE($C373,Table467910111214[[#Headers],[26_0]],"")))/4)*$D373</f>
        <v>0</v>
      </c>
      <c r="AM373" s="51">
        <f t="shared" si="90"/>
        <v>3.4507897642001403E-4</v>
      </c>
      <c r="AN373" s="51">
        <f t="shared" si="91"/>
        <v>0</v>
      </c>
      <c r="AO373" s="51">
        <f>Table467910111214[[#This Row],[Column29]]/$D$379*0.5</f>
        <v>6.5994414087281808E-3</v>
      </c>
      <c r="AP373" s="51">
        <f>Table467910111214[[#This Row],[Column29]]/$D$379*1.5</f>
        <v>1.9798324226184542E-2</v>
      </c>
    </row>
    <row r="374" spans="3:42">
      <c r="C374" s="51" t="s">
        <v>638</v>
      </c>
      <c r="D374" s="51">
        <v>5.5812499564927213E-4</v>
      </c>
      <c r="E374" s="51">
        <f>((LEN($C374)-LEN(SUBSTITUTE($C374,Table467910111214[[#Headers],[12_0]],"")))/4)*$D374</f>
        <v>0</v>
      </c>
      <c r="F374" s="51">
        <f>((LEN($C374)-LEN(SUBSTITUTE($C374,Table467910111214[[#Headers],[13_0]],"")))/4)*$D374</f>
        <v>0</v>
      </c>
      <c r="G374" s="51">
        <f>((LEN($C374)-LEN(SUBSTITUTE($C374,Table467910111214[[#Headers],[14_0]],"")))/4)*$D374</f>
        <v>0</v>
      </c>
      <c r="H374" s="51">
        <f>((LEN($C374)-LEN(SUBSTITUTE($C374,Table467910111214[[#Headers],[14_1]],"")))/4)*$D374</f>
        <v>0</v>
      </c>
      <c r="I374" s="51">
        <f>((LEN($C374)-LEN(SUBSTITUTE($C374,Table467910111214[[#Headers],[15_0]],"")))/4)*$D374</f>
        <v>0</v>
      </c>
      <c r="J374" s="51">
        <f>((LEN($C374)-LEN(SUBSTITUTE($C374,Table467910111214[[#Headers],[15_1]],"")))/4)*$D374</f>
        <v>0</v>
      </c>
      <c r="K374" s="51">
        <f>((LEN($C374)-LEN(SUBSTITUTE($C374,Table467910111214[[#Headers],[16_0]],"")))/4)*$D374</f>
        <v>0</v>
      </c>
      <c r="L374" s="51">
        <f>((LEN($C374)-LEN(SUBSTITUTE($C374,Table467910111214[[#Headers],[16_1]],"")))/4)*$D374</f>
        <v>0</v>
      </c>
      <c r="M374" s="51">
        <f>((LEN($C374)-LEN(SUBSTITUTE($C374,Table467910111214[[#Headers],[16_2]],"")))/4)*$D374</f>
        <v>0</v>
      </c>
      <c r="N374" s="51">
        <f>((LEN($C374)-LEN(SUBSTITUTE($C374,Table467910111214[[#Headers],[16_3]],"")))/4)*$D374</f>
        <v>0</v>
      </c>
      <c r="O374" s="51">
        <f>((LEN($C374)-LEN(SUBSTITUTE($C374,Table467910111214[[#Headers],[17_0]],"")))/4)*$D374</f>
        <v>0</v>
      </c>
      <c r="P374" s="51">
        <f>((LEN($C374)-LEN(SUBSTITUTE($C374,Table467910111214[[#Headers],[17_1]],"")))/4)*$D374</f>
        <v>0</v>
      </c>
      <c r="Q374" s="51">
        <f>((LEN($C374)-LEN(SUBSTITUTE($C374,Table467910111214[[#Headers],[18_0]],"")))/4)*$D374</f>
        <v>5.5812499564927213E-4</v>
      </c>
      <c r="R374" s="51">
        <f>((LEN($C374)-LEN(SUBSTITUTE($C374,Table467910111214[[#Headers],[18_1]],"")))/4)*$D374</f>
        <v>0</v>
      </c>
      <c r="S374" s="51">
        <f>((LEN($C374)-LEN(SUBSTITUTE($C374,Table467910111214[[#Headers],[18_2]],"")))/4)*$D374</f>
        <v>0</v>
      </c>
      <c r="T374" s="51">
        <f>((LEN($C374)-LEN(SUBSTITUTE($C374,Table467910111214[[#Headers],[18_3]],"")))/4)*$D374</f>
        <v>0</v>
      </c>
      <c r="U374" s="51">
        <f>((LEN($C374)-LEN(SUBSTITUTE($C374,Table467910111214[[#Headers],[18_4]],"")))/4)*$D374</f>
        <v>0</v>
      </c>
      <c r="V374" s="51">
        <f>((LEN($C374)-LEN(SUBSTITUTE($C374,Table467910111214[[#Headers],[18_5]],"")))/4)*$D374</f>
        <v>0</v>
      </c>
      <c r="W374" s="51">
        <f>((LEN($C374)-LEN(SUBSTITUTE($C374,Table467910111214[[#Headers],[19_1]],"")))/4)*$D374</f>
        <v>0</v>
      </c>
      <c r="X374" s="51">
        <f>((LEN($C374)-LEN(SUBSTITUTE($C374,Table467910111214[[#Headers],[19_2]],"")))/4)*$D374</f>
        <v>0</v>
      </c>
      <c r="Y374" s="51">
        <f>((LEN($C374)-LEN(SUBSTITUTE($C374,Table467910111214[[#Headers],[20_0]],"")))/4)*$D374</f>
        <v>0</v>
      </c>
      <c r="Z374" s="51">
        <f>((LEN($C374)-LEN(SUBSTITUTE($C374,Table467910111214[[#Headers],[20_1]],"")))/4)*$D374</f>
        <v>0</v>
      </c>
      <c r="AA374" s="51">
        <f>((LEN($C374)-LEN(SUBSTITUTE($C374,Table467910111214[[#Headers],[20_2]],"")))/4)*$D374</f>
        <v>0</v>
      </c>
      <c r="AB374" s="51">
        <f>((LEN($C374)-LEN(SUBSTITUTE($C374,Table467910111214[[#Headers],[20_3]],"")))/4)*$D374</f>
        <v>0</v>
      </c>
      <c r="AC374" s="51">
        <f>((LEN($C374)-LEN(SUBSTITUTE($C374,Table467910111214[[#Headers],[20_4]],"")))/4)*$D374</f>
        <v>0</v>
      </c>
      <c r="AD374" s="51">
        <f>((LEN($C374)-LEN(SUBSTITUTE($C374,Table467910111214[[#Headers],[20_5]],"")))/4)*$D374</f>
        <v>0</v>
      </c>
      <c r="AE374" s="51">
        <f>((LEN($C374)-LEN(SUBSTITUTE($C374,Table467910111214[[#Headers],[21_0]],"")))/4)*$D374</f>
        <v>0</v>
      </c>
      <c r="AF374" s="51">
        <f>((LEN($C374)-LEN(SUBSTITUTE($C374,Table467910111214[[#Headers],[22_0]],"")))/4)*$D374</f>
        <v>0</v>
      </c>
      <c r="AG374" s="51">
        <f>((LEN($C374)-LEN(SUBSTITUTE($C374,Table467910111214[[#Headers],[22_2]],"")))/4)*$D374</f>
        <v>0</v>
      </c>
      <c r="AH374" s="51">
        <f>((LEN($C374)-LEN(SUBSTITUTE($C374,Table467910111214[[#Headers],[22_5]],"")))/4)*$D374</f>
        <v>0</v>
      </c>
      <c r="AI374" s="51">
        <f>((LEN($C374)-LEN(SUBSTITUTE($C374,Table467910111214[[#Headers],[22_6]],"")))/4)*$D374</f>
        <v>0</v>
      </c>
      <c r="AJ374" s="51">
        <f>((LEN($C374)-LEN(SUBSTITUTE($C374,Table467910111214[[#Headers],[24_0]],"")))/4)*$D374</f>
        <v>0</v>
      </c>
      <c r="AK374" s="51">
        <f>((LEN($C374)-LEN(SUBSTITUTE($C374,Table467910111214[[#Headers],[25_0]],"")))/4)*$D374</f>
        <v>0</v>
      </c>
      <c r="AL374" s="51">
        <f>((LEN($C374)-LEN(SUBSTITUTE($C374,Table467910111214[[#Headers],[26_0]],"")))/4)*$D374</f>
        <v>5.5812499564927213E-4</v>
      </c>
      <c r="AM374" s="51">
        <f t="shared" si="90"/>
        <v>5.5812499564927213E-4</v>
      </c>
      <c r="AN374" s="51">
        <f t="shared" si="91"/>
        <v>0</v>
      </c>
      <c r="AO374" s="51">
        <f>Table467910111214[[#This Row],[Column29]]/$D$379*0.5</f>
        <v>1.0673826744666373E-2</v>
      </c>
      <c r="AP374" s="51">
        <f>Table467910111214[[#This Row],[Column29]]/$D$379*1.5</f>
        <v>3.2021480233999117E-2</v>
      </c>
    </row>
    <row r="375" spans="3:42">
      <c r="C375" s="51" t="s">
        <v>639</v>
      </c>
      <c r="D375" s="44">
        <v>7.0983828297455803E-4</v>
      </c>
      <c r="E375" s="51">
        <f>((LEN($C375)-LEN(SUBSTITUTE($C375,Table467910111214[[#Headers],[12_0]],"")))/4)*$D375</f>
        <v>0</v>
      </c>
      <c r="F375" s="51">
        <f>((LEN($C375)-LEN(SUBSTITUTE($C375,Table467910111214[[#Headers],[13_0]],"")))/4)*$D375</f>
        <v>0</v>
      </c>
      <c r="G375" s="51">
        <f>((LEN($C375)-LEN(SUBSTITUTE($C375,Table467910111214[[#Headers],[14_0]],"")))/4)*$D375</f>
        <v>0</v>
      </c>
      <c r="H375" s="51">
        <f>((LEN($C375)-LEN(SUBSTITUTE($C375,Table467910111214[[#Headers],[14_1]],"")))/4)*$D375</f>
        <v>0</v>
      </c>
      <c r="I375" s="51">
        <f>((LEN($C375)-LEN(SUBSTITUTE($C375,Table467910111214[[#Headers],[15_0]],"")))/4)*$D375</f>
        <v>0</v>
      </c>
      <c r="J375" s="51">
        <f>((LEN($C375)-LEN(SUBSTITUTE($C375,Table467910111214[[#Headers],[15_1]],"")))/4)*$D375</f>
        <v>0</v>
      </c>
      <c r="K375" s="51">
        <f>((LEN($C375)-LEN(SUBSTITUTE($C375,Table467910111214[[#Headers],[16_0]],"")))/4)*$D375</f>
        <v>0</v>
      </c>
      <c r="L375" s="51">
        <f>((LEN($C375)-LEN(SUBSTITUTE($C375,Table467910111214[[#Headers],[16_1]],"")))/4)*$D375</f>
        <v>0</v>
      </c>
      <c r="M375" s="51">
        <f>((LEN($C375)-LEN(SUBSTITUTE($C375,Table467910111214[[#Headers],[16_2]],"")))/4)*$D375</f>
        <v>0</v>
      </c>
      <c r="N375" s="51">
        <f>((LEN($C375)-LEN(SUBSTITUTE($C375,Table467910111214[[#Headers],[16_3]],"")))/4)*$D375</f>
        <v>0</v>
      </c>
      <c r="O375" s="51">
        <f>((LEN($C375)-LEN(SUBSTITUTE($C375,Table467910111214[[#Headers],[17_0]],"")))/4)*$D375</f>
        <v>0</v>
      </c>
      <c r="P375" s="51">
        <f>((LEN($C375)-LEN(SUBSTITUTE($C375,Table467910111214[[#Headers],[17_1]],"")))/4)*$D375</f>
        <v>0</v>
      </c>
      <c r="Q375" s="51">
        <f>((LEN($C375)-LEN(SUBSTITUTE($C375,Table467910111214[[#Headers],[18_0]],"")))/4)*$D375</f>
        <v>0</v>
      </c>
      <c r="R375" s="51">
        <f>((LEN($C375)-LEN(SUBSTITUTE($C375,Table467910111214[[#Headers],[18_1]],"")))/4)*$D375</f>
        <v>0</v>
      </c>
      <c r="S375" s="51">
        <f>((LEN($C375)-LEN(SUBSTITUTE($C375,Table467910111214[[#Headers],[18_2]],"")))/4)*$D375</f>
        <v>0</v>
      </c>
      <c r="T375" s="51">
        <f>((LEN($C375)-LEN(SUBSTITUTE($C375,Table467910111214[[#Headers],[18_3]],"")))/4)*$D375</f>
        <v>0</v>
      </c>
      <c r="U375" s="51">
        <f>((LEN($C375)-LEN(SUBSTITUTE($C375,Table467910111214[[#Headers],[18_4]],"")))/4)*$D375</f>
        <v>0</v>
      </c>
      <c r="V375" s="51">
        <f>((LEN($C375)-LEN(SUBSTITUTE($C375,Table467910111214[[#Headers],[18_5]],"")))/4)*$D375</f>
        <v>0</v>
      </c>
      <c r="W375" s="51">
        <f>((LEN($C375)-LEN(SUBSTITUTE($C375,Table467910111214[[#Headers],[19_1]],"")))/4)*$D375</f>
        <v>0</v>
      </c>
      <c r="X375" s="51">
        <f>((LEN($C375)-LEN(SUBSTITUTE($C375,Table467910111214[[#Headers],[19_2]],"")))/4)*$D375</f>
        <v>0</v>
      </c>
      <c r="Y375" s="51">
        <f>((LEN($C375)-LEN(SUBSTITUTE($C375,Table467910111214[[#Headers],[20_0]],"")))/4)*$D375</f>
        <v>7.0983828297455803E-4</v>
      </c>
      <c r="Z375" s="51">
        <f>((LEN($C375)-LEN(SUBSTITUTE($C375,Table467910111214[[#Headers],[20_1]],"")))/4)*$D375</f>
        <v>0</v>
      </c>
      <c r="AA375" s="51">
        <f>((LEN($C375)-LEN(SUBSTITUTE($C375,Table467910111214[[#Headers],[20_2]],"")))/4)*$D375</f>
        <v>0</v>
      </c>
      <c r="AB375" s="51">
        <f>((LEN($C375)-LEN(SUBSTITUTE($C375,Table467910111214[[#Headers],[20_3]],"")))/4)*$D375</f>
        <v>0</v>
      </c>
      <c r="AC375" s="51">
        <f>((LEN($C375)-LEN(SUBSTITUTE($C375,Table467910111214[[#Headers],[20_4]],"")))/4)*$D375</f>
        <v>0</v>
      </c>
      <c r="AD375" s="51">
        <f>((LEN($C375)-LEN(SUBSTITUTE($C375,Table467910111214[[#Headers],[20_5]],"")))/4)*$D375</f>
        <v>0</v>
      </c>
      <c r="AE375" s="51">
        <f>((LEN($C375)-LEN(SUBSTITUTE($C375,Table467910111214[[#Headers],[21_0]],"")))/4)*$D375</f>
        <v>0</v>
      </c>
      <c r="AF375" s="51">
        <f>((LEN($C375)-LEN(SUBSTITUTE($C375,Table467910111214[[#Headers],[22_0]],"")))/4)*$D375</f>
        <v>0</v>
      </c>
      <c r="AG375" s="51">
        <f>((LEN($C375)-LEN(SUBSTITUTE($C375,Table467910111214[[#Headers],[22_2]],"")))/4)*$D375</f>
        <v>0</v>
      </c>
      <c r="AH375" s="51">
        <f>((LEN($C375)-LEN(SUBSTITUTE($C375,Table467910111214[[#Headers],[22_5]],"")))/4)*$D375</f>
        <v>0</v>
      </c>
      <c r="AI375" s="51">
        <f>((LEN($C375)-LEN(SUBSTITUTE($C375,Table467910111214[[#Headers],[22_6]],"")))/4)*$D375</f>
        <v>0</v>
      </c>
      <c r="AJ375" s="51">
        <f>((LEN($C375)-LEN(SUBSTITUTE($C375,Table467910111214[[#Headers],[24_0]],"")))/4)*$D375</f>
        <v>0</v>
      </c>
      <c r="AK375" s="51">
        <f>((LEN($C375)-LEN(SUBSTITUTE($C375,Table467910111214[[#Headers],[25_0]],"")))/4)*$D375</f>
        <v>0</v>
      </c>
      <c r="AL375" s="51">
        <f>((LEN($C375)-LEN(SUBSTITUTE($C375,Table467910111214[[#Headers],[26_0]],"")))/4)*$D375</f>
        <v>7.0983828297455803E-4</v>
      </c>
      <c r="AM375" s="51">
        <f t="shared" si="90"/>
        <v>7.0983828297455803E-4</v>
      </c>
      <c r="AN375" s="51">
        <f t="shared" si="91"/>
        <v>0</v>
      </c>
      <c r="AO375" s="51">
        <f>Table467910111214[[#This Row],[Column29]]/$D$379*0.5</f>
        <v>1.3575258066318742E-2</v>
      </c>
      <c r="AP375" s="51">
        <f>Table467910111214[[#This Row],[Column29]]/$D$379*1.5</f>
        <v>4.0725774198956226E-2</v>
      </c>
    </row>
    <row r="376" spans="3:42" s="47" customFormat="1">
      <c r="C376" s="55" t="s">
        <v>640</v>
      </c>
      <c r="D376" s="55">
        <v>3.2419548199778337E-4</v>
      </c>
      <c r="E376" s="55">
        <f>((LEN($C376)-LEN(SUBSTITUTE($C376,Table467910111214[[#Headers],[12_0]],"")))/4)*$D376</f>
        <v>0</v>
      </c>
      <c r="F376" s="55">
        <f>((LEN($C376)-LEN(SUBSTITUTE($C376,Table467910111214[[#Headers],[13_0]],"")))/4)*$D376</f>
        <v>0</v>
      </c>
      <c r="G376" s="55">
        <f>((LEN($C376)-LEN(SUBSTITUTE($C376,Table467910111214[[#Headers],[14_0]],"")))/4)*$D376</f>
        <v>0</v>
      </c>
      <c r="H376" s="55">
        <f>((LEN($C376)-LEN(SUBSTITUTE($C376,Table467910111214[[#Headers],[14_1]],"")))/4)*$D376</f>
        <v>0</v>
      </c>
      <c r="I376" s="55">
        <f>((LEN($C376)-LEN(SUBSTITUTE($C376,Table467910111214[[#Headers],[15_0]],"")))/4)*$D376</f>
        <v>0</v>
      </c>
      <c r="J376" s="55">
        <f>((LEN($C376)-LEN(SUBSTITUTE($C376,Table467910111214[[#Headers],[15_1]],"")))/4)*$D376</f>
        <v>0</v>
      </c>
      <c r="K376" s="55">
        <f>((LEN($C376)-LEN(SUBSTITUTE($C376,Table467910111214[[#Headers],[16_0]],"")))/4)*$D376</f>
        <v>0</v>
      </c>
      <c r="L376" s="55">
        <f>((LEN($C376)-LEN(SUBSTITUTE($C376,Table467910111214[[#Headers],[16_1]],"")))/4)*$D376</f>
        <v>0</v>
      </c>
      <c r="M376" s="55">
        <f>((LEN($C376)-LEN(SUBSTITUTE($C376,Table467910111214[[#Headers],[16_2]],"")))/4)*$D376</f>
        <v>0</v>
      </c>
      <c r="N376" s="55">
        <f>((LEN($C376)-LEN(SUBSTITUTE($C376,Table467910111214[[#Headers],[16_3]],"")))/4)*$D376</f>
        <v>0</v>
      </c>
      <c r="O376" s="55">
        <f>((LEN($C376)-LEN(SUBSTITUTE($C376,Table467910111214[[#Headers],[17_0]],"")))/4)*$D376</f>
        <v>0</v>
      </c>
      <c r="P376" s="55">
        <f>((LEN($C376)-LEN(SUBSTITUTE($C376,Table467910111214[[#Headers],[17_1]],"")))/4)*$D376</f>
        <v>0</v>
      </c>
      <c r="Q376" s="55">
        <f>((LEN($C376)-LEN(SUBSTITUTE($C376,Table467910111214[[#Headers],[18_0]],"")))/4)*$D376</f>
        <v>0</v>
      </c>
      <c r="R376" s="55">
        <f>((LEN($C376)-LEN(SUBSTITUTE($C376,Table467910111214[[#Headers],[18_1]],"")))/4)*$D376</f>
        <v>0</v>
      </c>
      <c r="S376" s="55">
        <f>((LEN($C376)-LEN(SUBSTITUTE($C376,Table467910111214[[#Headers],[18_2]],"")))/4)*$D376</f>
        <v>0</v>
      </c>
      <c r="T376" s="55">
        <f>((LEN($C376)-LEN(SUBSTITUTE($C376,Table467910111214[[#Headers],[18_3]],"")))/4)*$D376</f>
        <v>0</v>
      </c>
      <c r="U376" s="55">
        <f>((LEN($C376)-LEN(SUBSTITUTE($C376,Table467910111214[[#Headers],[18_4]],"")))/4)*$D376</f>
        <v>0</v>
      </c>
      <c r="V376" s="55">
        <f>((LEN($C376)-LEN(SUBSTITUTE($C376,Table467910111214[[#Headers],[18_5]],"")))/4)*$D376</f>
        <v>0</v>
      </c>
      <c r="W376" s="55">
        <f>((LEN($C376)-LEN(SUBSTITUTE($C376,Table467910111214[[#Headers],[19_1]],"")))/4)*$D376</f>
        <v>0</v>
      </c>
      <c r="X376" s="55">
        <f>((LEN($C376)-LEN(SUBSTITUTE($C376,Table467910111214[[#Headers],[19_2]],"")))/4)*$D376</f>
        <v>0</v>
      </c>
      <c r="Y376" s="55">
        <f>((LEN($C376)-LEN(SUBSTITUTE($C376,Table467910111214[[#Headers],[20_0]],"")))/4)*$D376</f>
        <v>0</v>
      </c>
      <c r="Z376" s="55">
        <f>((LEN($C376)-LEN(SUBSTITUTE($C376,Table467910111214[[#Headers],[20_1]],"")))/4)*$D376</f>
        <v>0</v>
      </c>
      <c r="AA376" s="55">
        <f>((LEN($C376)-LEN(SUBSTITUTE($C376,Table467910111214[[#Headers],[20_2]],"")))/4)*$D376</f>
        <v>0</v>
      </c>
      <c r="AB376" s="55">
        <f>((LEN($C376)-LEN(SUBSTITUTE($C376,Table467910111214[[#Headers],[20_3]],"")))/4)*$D376</f>
        <v>0</v>
      </c>
      <c r="AC376" s="55">
        <f>((LEN($C376)-LEN(SUBSTITUTE($C376,Table467910111214[[#Headers],[20_4]],"")))/4)*$D376</f>
        <v>0</v>
      </c>
      <c r="AD376" s="55">
        <f>((LEN($C376)-LEN(SUBSTITUTE($C376,Table467910111214[[#Headers],[20_5]],"")))/4)*$D376</f>
        <v>0</v>
      </c>
      <c r="AE376" s="55">
        <f>((LEN($C376)-LEN(SUBSTITUTE($C376,Table467910111214[[#Headers],[21_0]],"")))/4)*$D376</f>
        <v>3.2419548199778337E-4</v>
      </c>
      <c r="AF376" s="55">
        <f>((LEN($C376)-LEN(SUBSTITUTE($C376,Table467910111214[[#Headers],[22_0]],"")))/4)*$D376</f>
        <v>0</v>
      </c>
      <c r="AG376" s="55">
        <f>((LEN($C376)-LEN(SUBSTITUTE($C376,Table467910111214[[#Headers],[22_2]],"")))/4)*$D376</f>
        <v>0</v>
      </c>
      <c r="AH376" s="55">
        <f>((LEN($C376)-LEN(SUBSTITUTE($C376,Table467910111214[[#Headers],[22_5]],"")))/4)*$D376</f>
        <v>0</v>
      </c>
      <c r="AI376" s="55">
        <f>((LEN($C376)-LEN(SUBSTITUTE($C376,Table467910111214[[#Headers],[22_6]],"")))/4)*$D376</f>
        <v>0</v>
      </c>
      <c r="AJ376" s="55">
        <f>((LEN($C376)-LEN(SUBSTITUTE($C376,Table467910111214[[#Headers],[24_0]],"")))/4)*$D376</f>
        <v>3.2419548199778337E-4</v>
      </c>
      <c r="AK376" s="55">
        <f>((LEN($C376)-LEN(SUBSTITUTE($C376,Table467910111214[[#Headers],[25_0]],"")))/4)*$D376</f>
        <v>0</v>
      </c>
      <c r="AL376" s="55">
        <f>((LEN($C376)-LEN(SUBSTITUTE($C376,Table467910111214[[#Headers],[26_0]],"")))/4)*$D376</f>
        <v>0</v>
      </c>
      <c r="AM376" s="55">
        <f t="shared" si="90"/>
        <v>3.2419548199778337E-4</v>
      </c>
      <c r="AN376" s="55">
        <f t="shared" si="91"/>
        <v>0</v>
      </c>
      <c r="AO376" s="55">
        <f>Table467910111214[[#This Row],[Column29]]/$D$379*0.5</f>
        <v>6.2000563193239924E-3</v>
      </c>
      <c r="AP376" s="55">
        <f>Table467910111214[[#This Row],[Column29]]/$D$379*1.5</f>
        <v>1.8600168957971976E-2</v>
      </c>
    </row>
    <row r="377" spans="3:42">
      <c r="C377" s="51" t="s">
        <v>641</v>
      </c>
      <c r="D377" s="51">
        <v>5.6637526505064727E-4</v>
      </c>
      <c r="E377" s="51">
        <f>((LEN($C377)-LEN(SUBSTITUTE($C377,Table467910111214[[#Headers],[12_0]],"")))/4)*$D377</f>
        <v>0</v>
      </c>
      <c r="F377" s="51">
        <f>((LEN($C377)-LEN(SUBSTITUTE($C377,Table467910111214[[#Headers],[13_0]],"")))/4)*$D377</f>
        <v>0</v>
      </c>
      <c r="G377" s="51">
        <f>((LEN($C377)-LEN(SUBSTITUTE($C377,Table467910111214[[#Headers],[14_0]],"")))/4)*$D377</f>
        <v>0</v>
      </c>
      <c r="H377" s="51">
        <f>((LEN($C377)-LEN(SUBSTITUTE($C377,Table467910111214[[#Headers],[14_1]],"")))/4)*$D377</f>
        <v>0</v>
      </c>
      <c r="I377" s="51">
        <f>((LEN($C377)-LEN(SUBSTITUTE($C377,Table467910111214[[#Headers],[15_0]],"")))/4)*$D377</f>
        <v>0</v>
      </c>
      <c r="J377" s="51">
        <f>((LEN($C377)-LEN(SUBSTITUTE($C377,Table467910111214[[#Headers],[15_1]],"")))/4)*$D377</f>
        <v>0</v>
      </c>
      <c r="K377" s="51">
        <f>((LEN($C377)-LEN(SUBSTITUTE($C377,Table467910111214[[#Headers],[16_0]],"")))/4)*$D377</f>
        <v>0</v>
      </c>
      <c r="L377" s="51">
        <f>((LEN($C377)-LEN(SUBSTITUTE($C377,Table467910111214[[#Headers],[16_1]],"")))/4)*$D377</f>
        <v>0</v>
      </c>
      <c r="M377" s="51">
        <f>((LEN($C377)-LEN(SUBSTITUTE($C377,Table467910111214[[#Headers],[16_2]],"")))/4)*$D377</f>
        <v>0</v>
      </c>
      <c r="N377" s="51">
        <f>((LEN($C377)-LEN(SUBSTITUTE($C377,Table467910111214[[#Headers],[16_3]],"")))/4)*$D377</f>
        <v>0</v>
      </c>
      <c r="O377" s="51">
        <f>((LEN($C377)-LEN(SUBSTITUTE($C377,Table467910111214[[#Headers],[17_0]],"")))/4)*$D377</f>
        <v>0</v>
      </c>
      <c r="P377" s="51">
        <f>((LEN($C377)-LEN(SUBSTITUTE($C377,Table467910111214[[#Headers],[17_1]],"")))/4)*$D377</f>
        <v>0</v>
      </c>
      <c r="Q377" s="51">
        <f>((LEN($C377)-LEN(SUBSTITUTE($C377,Table467910111214[[#Headers],[18_0]],"")))/4)*$D377</f>
        <v>0</v>
      </c>
      <c r="R377" s="51">
        <f>((LEN($C377)-LEN(SUBSTITUTE($C377,Table467910111214[[#Headers],[18_1]],"")))/4)*$D377</f>
        <v>0</v>
      </c>
      <c r="S377" s="51">
        <f>((LEN($C377)-LEN(SUBSTITUTE($C377,Table467910111214[[#Headers],[18_2]],"")))/4)*$D377</f>
        <v>0</v>
      </c>
      <c r="T377" s="51">
        <f>((LEN($C377)-LEN(SUBSTITUTE($C377,Table467910111214[[#Headers],[18_3]],"")))/4)*$D377</f>
        <v>0</v>
      </c>
      <c r="U377" s="51">
        <f>((LEN($C377)-LEN(SUBSTITUTE($C377,Table467910111214[[#Headers],[18_4]],"")))/4)*$D377</f>
        <v>0</v>
      </c>
      <c r="V377" s="51">
        <f>((LEN($C377)-LEN(SUBSTITUTE($C377,Table467910111214[[#Headers],[18_5]],"")))/4)*$D377</f>
        <v>0</v>
      </c>
      <c r="W377" s="51">
        <f>((LEN($C377)-LEN(SUBSTITUTE($C377,Table467910111214[[#Headers],[19_1]],"")))/4)*$D377</f>
        <v>0</v>
      </c>
      <c r="X377" s="51">
        <f>((LEN($C377)-LEN(SUBSTITUTE($C377,Table467910111214[[#Headers],[19_2]],"")))/4)*$D377</f>
        <v>0</v>
      </c>
      <c r="Y377" s="51">
        <f>((LEN($C377)-LEN(SUBSTITUTE($C377,Table467910111214[[#Headers],[20_0]],"")))/4)*$D377</f>
        <v>0</v>
      </c>
      <c r="Z377" s="51">
        <f>((LEN($C377)-LEN(SUBSTITUTE($C377,Table467910111214[[#Headers],[20_1]],"")))/4)*$D377</f>
        <v>0</v>
      </c>
      <c r="AA377" s="51">
        <f>((LEN($C377)-LEN(SUBSTITUTE($C377,Table467910111214[[#Headers],[20_2]],"")))/4)*$D377</f>
        <v>0</v>
      </c>
      <c r="AB377" s="51">
        <f>((LEN($C377)-LEN(SUBSTITUTE($C377,Table467910111214[[#Headers],[20_3]],"")))/4)*$D377</f>
        <v>0</v>
      </c>
      <c r="AC377" s="51">
        <f>((LEN($C377)-LEN(SUBSTITUTE($C377,Table467910111214[[#Headers],[20_4]],"")))/4)*$D377</f>
        <v>0</v>
      </c>
      <c r="AD377" s="51">
        <f>((LEN($C377)-LEN(SUBSTITUTE($C377,Table467910111214[[#Headers],[20_5]],"")))/4)*$D377</f>
        <v>0</v>
      </c>
      <c r="AE377" s="51">
        <f>((LEN($C377)-LEN(SUBSTITUTE($C377,Table467910111214[[#Headers],[21_0]],"")))/4)*$D377</f>
        <v>0</v>
      </c>
      <c r="AF377" s="51">
        <f>((LEN($C377)-LEN(SUBSTITUTE($C377,Table467910111214[[#Headers],[22_0]],"")))/4)*$D377</f>
        <v>5.6637526505064727E-4</v>
      </c>
      <c r="AG377" s="51">
        <f>((LEN($C377)-LEN(SUBSTITUTE($C377,Table467910111214[[#Headers],[22_2]],"")))/4)*$D377</f>
        <v>0</v>
      </c>
      <c r="AH377" s="51">
        <f>((LEN($C377)-LEN(SUBSTITUTE($C377,Table467910111214[[#Headers],[22_5]],"")))/4)*$D377</f>
        <v>0</v>
      </c>
      <c r="AI377" s="51">
        <f>((LEN($C377)-LEN(SUBSTITUTE($C377,Table467910111214[[#Headers],[22_6]],"")))/4)*$D377</f>
        <v>0</v>
      </c>
      <c r="AJ377" s="51">
        <f>((LEN($C377)-LEN(SUBSTITUTE($C377,Table467910111214[[#Headers],[24_0]],"")))/4)*$D377</f>
        <v>0</v>
      </c>
      <c r="AK377" s="51">
        <f>((LEN($C377)-LEN(SUBSTITUTE($C377,Table467910111214[[#Headers],[25_0]],"")))/4)*$D377</f>
        <v>0</v>
      </c>
      <c r="AL377" s="51">
        <f>((LEN($C377)-LEN(SUBSTITUTE($C377,Table467910111214[[#Headers],[26_0]],"")))/4)*$D377</f>
        <v>5.6637526505064727E-4</v>
      </c>
      <c r="AM377" s="51">
        <f t="shared" si="90"/>
        <v>5.6637526505064727E-4</v>
      </c>
      <c r="AN377" s="51">
        <f t="shared" si="91"/>
        <v>0</v>
      </c>
      <c r="AO377" s="51">
        <f>Table467910111214[[#This Row],[Column29]]/$D$379*0.5</f>
        <v>1.0831608508381609E-2</v>
      </c>
      <c r="AP377" s="51">
        <f>Table467910111214[[#This Row],[Column29]]/$D$379*1.5</f>
        <v>3.2494825525144828E-2</v>
      </c>
    </row>
    <row r="378" spans="3:42">
      <c r="C378" s="51" t="s">
        <v>642</v>
      </c>
      <c r="D378" s="51">
        <v>1.7279100683967392E-2</v>
      </c>
      <c r="E378" s="51">
        <f>((LEN($C378)-LEN(SUBSTITUTE($C378,Table467910111214[[#Headers],[12_0]],"")))/4)*$D378</f>
        <v>0</v>
      </c>
      <c r="F378" s="51">
        <f>((LEN($C378)-LEN(SUBSTITUTE($C378,Table467910111214[[#Headers],[13_0]],"")))/4)*$D378</f>
        <v>0</v>
      </c>
      <c r="G378" s="51">
        <f>((LEN($C378)-LEN(SUBSTITUTE($C378,Table467910111214[[#Headers],[14_0]],"")))/4)*$D378</f>
        <v>0</v>
      </c>
      <c r="H378" s="51">
        <f>((LEN($C378)-LEN(SUBSTITUTE($C378,Table467910111214[[#Headers],[14_1]],"")))/4)*$D378</f>
        <v>0</v>
      </c>
      <c r="I378" s="51">
        <f>((LEN($C378)-LEN(SUBSTITUTE($C378,Table467910111214[[#Headers],[15_0]],"")))/4)*$D378</f>
        <v>0</v>
      </c>
      <c r="J378" s="51">
        <f>((LEN($C378)-LEN(SUBSTITUTE($C378,Table467910111214[[#Headers],[15_1]],"")))/4)*$D378</f>
        <v>0</v>
      </c>
      <c r="K378" s="51">
        <f>((LEN($C378)-LEN(SUBSTITUTE($C378,Table467910111214[[#Headers],[16_0]],"")))/4)*$D378</f>
        <v>0</v>
      </c>
      <c r="L378" s="51">
        <f>((LEN($C378)-LEN(SUBSTITUTE($C378,Table467910111214[[#Headers],[16_1]],"")))/4)*$D378</f>
        <v>0</v>
      </c>
      <c r="M378" s="51">
        <f>((LEN($C378)-LEN(SUBSTITUTE($C378,Table467910111214[[#Headers],[16_2]],"")))/4)*$D378</f>
        <v>0</v>
      </c>
      <c r="N378" s="51">
        <f>((LEN($C378)-LEN(SUBSTITUTE($C378,Table467910111214[[#Headers],[16_3]],"")))/4)*$D378</f>
        <v>0</v>
      </c>
      <c r="O378" s="51">
        <f>((LEN($C378)-LEN(SUBSTITUTE($C378,Table467910111214[[#Headers],[17_0]],"")))/4)*$D378</f>
        <v>1.7279100683967392E-2</v>
      </c>
      <c r="P378" s="51">
        <f>((LEN($C378)-LEN(SUBSTITUTE($C378,Table467910111214[[#Headers],[17_1]],"")))/4)*$D378</f>
        <v>0</v>
      </c>
      <c r="Q378" s="51">
        <f>((LEN($C378)-LEN(SUBSTITUTE($C378,Table467910111214[[#Headers],[18_0]],"")))/4)*$D378</f>
        <v>0</v>
      </c>
      <c r="R378" s="51">
        <f>((LEN($C378)-LEN(SUBSTITUTE($C378,Table467910111214[[#Headers],[18_1]],"")))/4)*$D378</f>
        <v>1.7279100683967392E-2</v>
      </c>
      <c r="S378" s="51">
        <f>((LEN($C378)-LEN(SUBSTITUTE($C378,Table467910111214[[#Headers],[18_2]],"")))/4)*$D378</f>
        <v>0</v>
      </c>
      <c r="T378" s="51">
        <f>((LEN($C378)-LEN(SUBSTITUTE($C378,Table467910111214[[#Headers],[18_3]],"")))/4)*$D378</f>
        <v>0</v>
      </c>
      <c r="U378" s="51">
        <f>((LEN($C378)-LEN(SUBSTITUTE($C378,Table467910111214[[#Headers],[18_4]],"")))/4)*$D378</f>
        <v>0</v>
      </c>
      <c r="V378" s="51">
        <f>((LEN($C378)-LEN(SUBSTITUTE($C378,Table467910111214[[#Headers],[18_5]],"")))/4)*$D378</f>
        <v>0</v>
      </c>
      <c r="W378" s="51">
        <f>((LEN($C378)-LEN(SUBSTITUTE($C378,Table467910111214[[#Headers],[19_1]],"")))/4)*$D378</f>
        <v>0</v>
      </c>
      <c r="X378" s="51">
        <f>((LEN($C378)-LEN(SUBSTITUTE($C378,Table467910111214[[#Headers],[19_2]],"")))/4)*$D378</f>
        <v>0</v>
      </c>
      <c r="Y378" s="51">
        <f>((LEN($C378)-LEN(SUBSTITUTE($C378,Table467910111214[[#Headers],[20_0]],"")))/4)*$D378</f>
        <v>0</v>
      </c>
      <c r="Z378" s="51">
        <f>((LEN($C378)-LEN(SUBSTITUTE($C378,Table467910111214[[#Headers],[20_1]],"")))/4)*$D378</f>
        <v>0</v>
      </c>
      <c r="AA378" s="51">
        <f>((LEN($C378)-LEN(SUBSTITUTE($C378,Table467910111214[[#Headers],[20_2]],"")))/4)*$D378</f>
        <v>0</v>
      </c>
      <c r="AB378" s="51">
        <f>((LEN($C378)-LEN(SUBSTITUTE($C378,Table467910111214[[#Headers],[20_3]],"")))/4)*$D378</f>
        <v>0</v>
      </c>
      <c r="AC378" s="51">
        <f>((LEN($C378)-LEN(SUBSTITUTE($C378,Table467910111214[[#Headers],[20_4]],"")))/4)*$D378</f>
        <v>0</v>
      </c>
      <c r="AD378" s="51">
        <f>((LEN($C378)-LEN(SUBSTITUTE($C378,Table467910111214[[#Headers],[20_5]],"")))/4)*$D378</f>
        <v>0</v>
      </c>
      <c r="AE378" s="51">
        <f>((LEN($C378)-LEN(SUBSTITUTE($C378,Table467910111214[[#Headers],[21_0]],"")))/4)*$D378</f>
        <v>0</v>
      </c>
      <c r="AF378" s="51">
        <f>((LEN($C378)-LEN(SUBSTITUTE($C378,Table467910111214[[#Headers],[22_0]],"")))/4)*$D378</f>
        <v>0</v>
      </c>
      <c r="AG378" s="51">
        <f>((LEN($C378)-LEN(SUBSTITUTE($C378,Table467910111214[[#Headers],[22_2]],"")))/4)*$D378</f>
        <v>0</v>
      </c>
      <c r="AH378" s="51">
        <f>((LEN($C378)-LEN(SUBSTITUTE($C378,Table467910111214[[#Headers],[22_5]],"")))/4)*$D378</f>
        <v>0</v>
      </c>
      <c r="AI378" s="51">
        <f>((LEN($C378)-LEN(SUBSTITUTE($C378,Table467910111214[[#Headers],[22_6]],"")))/4)*$D378</f>
        <v>0</v>
      </c>
      <c r="AJ378" s="51">
        <f>((LEN($C378)-LEN(SUBSTITUTE($C378,Table467910111214[[#Headers],[24_0]],"")))/4)*$D378</f>
        <v>0</v>
      </c>
      <c r="AK378" s="51">
        <f>((LEN($C378)-LEN(SUBSTITUTE($C378,Table467910111214[[#Headers],[25_0]],"")))/4)*$D378</f>
        <v>0</v>
      </c>
      <c r="AL378" s="51">
        <f>((LEN($C378)-LEN(SUBSTITUTE($C378,Table467910111214[[#Headers],[26_0]],"")))/4)*$D378</f>
        <v>0</v>
      </c>
      <c r="AM378" s="51">
        <f t="shared" si="90"/>
        <v>1.7279100683967392E-2</v>
      </c>
      <c r="AN378" s="51">
        <f t="shared" si="91"/>
        <v>0</v>
      </c>
      <c r="AO378" s="51">
        <f>Table467910111214[[#This Row],[Column29]]/$D$379*0.5</f>
        <v>0.33045308567440196</v>
      </c>
      <c r="AP378" s="51">
        <f>Table467910111214[[#This Row],[Column29]]/$D$379*1.5</f>
        <v>0.99135925702320593</v>
      </c>
    </row>
    <row r="379" spans="3:42">
      <c r="C379" s="51"/>
      <c r="D379" s="51">
        <f>SUM(D359:D378)</f>
        <v>2.6144559444351241E-2</v>
      </c>
      <c r="E379" s="51">
        <f t="shared" ref="E379:AK379" si="92">SUM(E359:E378)</f>
        <v>0</v>
      </c>
      <c r="F379" s="51">
        <f t="shared" si="92"/>
        <v>0</v>
      </c>
      <c r="G379" s="51">
        <f t="shared" si="92"/>
        <v>0</v>
      </c>
      <c r="H379" s="51">
        <f t="shared" si="92"/>
        <v>0</v>
      </c>
      <c r="I379" s="51">
        <f t="shared" si="92"/>
        <v>0</v>
      </c>
      <c r="J379" s="51">
        <f t="shared" si="92"/>
        <v>0</v>
      </c>
      <c r="K379" s="51">
        <f t="shared" si="92"/>
        <v>1.8471436493078619E-4</v>
      </c>
      <c r="L379" s="51">
        <f t="shared" si="92"/>
        <v>0</v>
      </c>
      <c r="M379" s="51">
        <f t="shared" si="92"/>
        <v>0</v>
      </c>
      <c r="N379" s="51">
        <f t="shared" si="92"/>
        <v>0</v>
      </c>
      <c r="O379" s="51">
        <f t="shared" si="92"/>
        <v>1.8040130742706731E-2</v>
      </c>
      <c r="P379" s="51">
        <f t="shared" si="92"/>
        <v>0</v>
      </c>
      <c r="Q379" s="51">
        <f t="shared" si="92"/>
        <v>2.5692141025407088E-3</v>
      </c>
      <c r="R379" s="51">
        <f t="shared" si="92"/>
        <v>1.815428811619451E-2</v>
      </c>
      <c r="S379" s="51">
        <f t="shared" si="92"/>
        <v>0</v>
      </c>
      <c r="T379" s="51">
        <f t="shared" si="92"/>
        <v>0</v>
      </c>
      <c r="U379" s="51">
        <f t="shared" si="92"/>
        <v>0</v>
      </c>
      <c r="V379" s="51">
        <f t="shared" si="92"/>
        <v>0</v>
      </c>
      <c r="W379" s="51">
        <f t="shared" si="92"/>
        <v>0</v>
      </c>
      <c r="X379" s="51">
        <f t="shared" si="92"/>
        <v>2.089695840354538E-3</v>
      </c>
      <c r="Y379" s="51">
        <f t="shared" si="92"/>
        <v>1.2053414421258932E-3</v>
      </c>
      <c r="Z379" s="51">
        <f t="shared" si="92"/>
        <v>2.8970477241703485E-4</v>
      </c>
      <c r="AA379" s="51">
        <f t="shared" si="92"/>
        <v>0</v>
      </c>
      <c r="AB379" s="51">
        <f t="shared" si="92"/>
        <v>0</v>
      </c>
      <c r="AC379" s="51">
        <f t="shared" si="92"/>
        <v>0</v>
      </c>
      <c r="AD379" s="51">
        <f t="shared" si="92"/>
        <v>0</v>
      </c>
      <c r="AE379" s="51">
        <f t="shared" si="92"/>
        <v>3.2419548199778337E-4</v>
      </c>
      <c r="AF379" s="51">
        <f t="shared" si="92"/>
        <v>5.6637526505064727E-4</v>
      </c>
      <c r="AG379" s="51">
        <f t="shared" si="92"/>
        <v>2.089695840354538E-3</v>
      </c>
      <c r="AH379" s="51">
        <f t="shared" si="92"/>
        <v>0</v>
      </c>
      <c r="AI379" s="51">
        <f t="shared" si="92"/>
        <v>0</v>
      </c>
      <c r="AJ379" s="51">
        <f t="shared" si="92"/>
        <v>3.3193870359219898E-3</v>
      </c>
      <c r="AK379" s="51">
        <f t="shared" si="92"/>
        <v>7.0751789470542136E-4</v>
      </c>
      <c r="AL379" s="51">
        <f>SUM(AL359:AL378)</f>
        <v>2.7488579894018993E-3</v>
      </c>
      <c r="AM379" s="51">
        <f>SUM(AM359:AM378)</f>
        <v>2.6144559444351241E-2</v>
      </c>
      <c r="AN379" s="51">
        <f>SUM(AN359:AN378)</f>
        <v>0</v>
      </c>
      <c r="AO379" s="51">
        <f>Table467910111214[[#This Row],[Column29]]/$D$379*0.5</f>
        <v>0.5</v>
      </c>
      <c r="AP379" s="51">
        <f>Table467910111214[[#This Row],[Column29]]/$D$379*1.5</f>
        <v>1.5</v>
      </c>
    </row>
    <row r="380" spans="3:42">
      <c r="D380" s="44">
        <f>SUM(E379:AI379)</f>
        <v>4.5513355968673168E-2</v>
      </c>
      <c r="E380" s="44">
        <f>E379/$D$380*100</f>
        <v>0</v>
      </c>
      <c r="F380" s="44">
        <f t="shared" ref="F380:AL380" si="93">F379/$D$380*100</f>
        <v>0</v>
      </c>
      <c r="G380" s="44">
        <f t="shared" si="93"/>
        <v>0</v>
      </c>
      <c r="H380" s="44">
        <f t="shared" si="93"/>
        <v>0</v>
      </c>
      <c r="I380" s="44">
        <f t="shared" si="93"/>
        <v>0</v>
      </c>
      <c r="J380" s="44">
        <f t="shared" si="93"/>
        <v>0</v>
      </c>
      <c r="K380" s="44">
        <f t="shared" si="93"/>
        <v>0.40584650593097338</v>
      </c>
      <c r="L380" s="44">
        <f t="shared" si="93"/>
        <v>0</v>
      </c>
      <c r="M380" s="44">
        <f t="shared" si="93"/>
        <v>0</v>
      </c>
      <c r="N380" s="44">
        <f t="shared" si="93"/>
        <v>0</v>
      </c>
      <c r="O380" s="44">
        <f t="shared" si="93"/>
        <v>39.637004037064969</v>
      </c>
      <c r="P380" s="44">
        <f t="shared" si="93"/>
        <v>0</v>
      </c>
      <c r="Q380" s="44">
        <f t="shared" si="93"/>
        <v>5.6449673900318365</v>
      </c>
      <c r="R380" s="44">
        <f t="shared" si="93"/>
        <v>39.887825737768281</v>
      </c>
      <c r="S380" s="44">
        <f t="shared" si="93"/>
        <v>0</v>
      </c>
      <c r="T380" s="44">
        <f t="shared" si="93"/>
        <v>0</v>
      </c>
      <c r="U380" s="44">
        <f t="shared" si="93"/>
        <v>0</v>
      </c>
      <c r="V380" s="44">
        <f t="shared" si="93"/>
        <v>0</v>
      </c>
      <c r="W380" s="44">
        <f t="shared" si="93"/>
        <v>0</v>
      </c>
      <c r="X380" s="44">
        <f t="shared" si="93"/>
        <v>4.5913903641666742</v>
      </c>
      <c r="Y380" s="44">
        <f t="shared" si="93"/>
        <v>2.6483246872753776</v>
      </c>
      <c r="Z380" s="44">
        <f t="shared" si="93"/>
        <v>0.63652694083125527</v>
      </c>
      <c r="AA380" s="44">
        <f t="shared" si="93"/>
        <v>0</v>
      </c>
      <c r="AB380" s="44">
        <f t="shared" si="93"/>
        <v>0</v>
      </c>
      <c r="AC380" s="44">
        <f t="shared" si="93"/>
        <v>0</v>
      </c>
      <c r="AD380" s="44">
        <f t="shared" si="93"/>
        <v>0</v>
      </c>
      <c r="AE380" s="44">
        <f t="shared" si="93"/>
        <v>0.71230845341514049</v>
      </c>
      <c r="AF380" s="44">
        <f t="shared" si="93"/>
        <v>1.2444155193488329</v>
      </c>
      <c r="AG380" s="44">
        <f t="shared" si="93"/>
        <v>4.5913903641666742</v>
      </c>
      <c r="AH380" s="44">
        <f t="shared" si="93"/>
        <v>0</v>
      </c>
      <c r="AI380" s="44">
        <f t="shared" si="93"/>
        <v>0</v>
      </c>
      <c r="AJ380" s="44">
        <f t="shared" si="93"/>
        <v>7.2932152887313402</v>
      </c>
      <c r="AK380" s="44">
        <f t="shared" si="93"/>
        <v>1.5545280712597984</v>
      </c>
      <c r="AL380" s="44">
        <f t="shared" si="93"/>
        <v>6.0396732583155099</v>
      </c>
      <c r="AO380" s="51">
        <f>Table467910111214[[#This Row],[Column29]]/$D$379*0.5</f>
        <v>0</v>
      </c>
      <c r="AP380" s="51">
        <f>Table467910111214[[#This Row],[Column29]]/$D$379*1.5</f>
        <v>0</v>
      </c>
    </row>
    <row r="381" spans="3:42">
      <c r="C381" s="51"/>
      <c r="D381" s="51">
        <f>SUM(E380:AI380)</f>
        <v>100.00000000000003</v>
      </c>
      <c r="E381" s="51">
        <f t="shared" ref="E381:AL381" si="94">IF(E380 &gt; 1, E380, 0)</f>
        <v>0</v>
      </c>
      <c r="F381" s="51">
        <f t="shared" si="94"/>
        <v>0</v>
      </c>
      <c r="G381" s="51">
        <f t="shared" si="94"/>
        <v>0</v>
      </c>
      <c r="H381" s="51">
        <f t="shared" si="94"/>
        <v>0</v>
      </c>
      <c r="I381" s="51">
        <f t="shared" si="94"/>
        <v>0</v>
      </c>
      <c r="J381" s="51">
        <f t="shared" si="94"/>
        <v>0</v>
      </c>
      <c r="K381" s="51">
        <f t="shared" si="94"/>
        <v>0</v>
      </c>
      <c r="L381" s="51">
        <f t="shared" si="94"/>
        <v>0</v>
      </c>
      <c r="M381" s="51">
        <f t="shared" si="94"/>
        <v>0</v>
      </c>
      <c r="N381" s="51">
        <f t="shared" si="94"/>
        <v>0</v>
      </c>
      <c r="O381" s="51">
        <f t="shared" si="94"/>
        <v>39.637004037064969</v>
      </c>
      <c r="P381" s="51">
        <f t="shared" si="94"/>
        <v>0</v>
      </c>
      <c r="Q381" s="51">
        <f t="shared" si="94"/>
        <v>5.6449673900318365</v>
      </c>
      <c r="R381" s="51">
        <f t="shared" si="94"/>
        <v>39.887825737768281</v>
      </c>
      <c r="S381" s="51">
        <f t="shared" si="94"/>
        <v>0</v>
      </c>
      <c r="T381" s="51">
        <f t="shared" si="94"/>
        <v>0</v>
      </c>
      <c r="U381" s="51">
        <f t="shared" si="94"/>
        <v>0</v>
      </c>
      <c r="V381" s="51">
        <f t="shared" si="94"/>
        <v>0</v>
      </c>
      <c r="W381" s="51">
        <f t="shared" si="94"/>
        <v>0</v>
      </c>
      <c r="X381" s="51">
        <f t="shared" si="94"/>
        <v>4.5913903641666742</v>
      </c>
      <c r="Y381" s="51">
        <f t="shared" si="94"/>
        <v>2.6483246872753776</v>
      </c>
      <c r="Z381" s="51">
        <f t="shared" si="94"/>
        <v>0</v>
      </c>
      <c r="AA381" s="51">
        <f t="shared" si="94"/>
        <v>0</v>
      </c>
      <c r="AB381" s="51">
        <f t="shared" si="94"/>
        <v>0</v>
      </c>
      <c r="AC381" s="51">
        <f t="shared" si="94"/>
        <v>0</v>
      </c>
      <c r="AD381" s="51">
        <f t="shared" si="94"/>
        <v>0</v>
      </c>
      <c r="AE381" s="51">
        <f t="shared" si="94"/>
        <v>0</v>
      </c>
      <c r="AF381" s="51">
        <f t="shared" si="94"/>
        <v>1.2444155193488329</v>
      </c>
      <c r="AG381" s="51">
        <f t="shared" si="94"/>
        <v>4.5913903641666742</v>
      </c>
      <c r="AH381" s="51">
        <f t="shared" si="94"/>
        <v>0</v>
      </c>
      <c r="AI381" s="51">
        <f t="shared" si="94"/>
        <v>0</v>
      </c>
      <c r="AJ381" s="51">
        <f t="shared" si="94"/>
        <v>7.2932152887313402</v>
      </c>
      <c r="AK381" s="51">
        <f t="shared" si="94"/>
        <v>1.5545280712597984</v>
      </c>
      <c r="AL381" s="51">
        <f t="shared" si="94"/>
        <v>6.0396732583155099</v>
      </c>
      <c r="AM381" s="51"/>
      <c r="AN381" s="51"/>
      <c r="AO381" s="51">
        <f>Table467910111214[[#This Row],[Column29]]/$D$379*0.5</f>
        <v>0</v>
      </c>
      <c r="AP381" s="51">
        <f>Table467910111214[[#This Row],[Column29]]/$D$379*1.5</f>
        <v>0</v>
      </c>
    </row>
    <row r="382" spans="3:42">
      <c r="D382" s="44">
        <f>SUM(E381:AI381)</f>
        <v>98.24531809982264</v>
      </c>
      <c r="E382" s="48">
        <f>E381/$D$382</f>
        <v>0</v>
      </c>
      <c r="F382" s="48">
        <f t="shared" ref="F382:AL382" si="95">F381/$D$382</f>
        <v>0</v>
      </c>
      <c r="G382" s="48">
        <f t="shared" si="95"/>
        <v>0</v>
      </c>
      <c r="H382" s="48">
        <f t="shared" si="95"/>
        <v>0</v>
      </c>
      <c r="I382" s="48">
        <f t="shared" si="95"/>
        <v>0</v>
      </c>
      <c r="J382" s="48">
        <f t="shared" si="95"/>
        <v>0</v>
      </c>
      <c r="K382" s="47">
        <f t="shared" si="95"/>
        <v>0</v>
      </c>
      <c r="L382" s="48">
        <f t="shared" si="95"/>
        <v>0</v>
      </c>
      <c r="M382" s="48">
        <f t="shared" si="95"/>
        <v>0</v>
      </c>
      <c r="N382" s="48">
        <f t="shared" si="95"/>
        <v>0</v>
      </c>
      <c r="O382" s="48">
        <f t="shared" si="95"/>
        <v>0.4034492920750849</v>
      </c>
      <c r="P382" s="48">
        <f t="shared" si="95"/>
        <v>0</v>
      </c>
      <c r="Q382" s="48">
        <f t="shared" si="95"/>
        <v>5.7457876865910695E-2</v>
      </c>
      <c r="R382" s="48">
        <f t="shared" si="95"/>
        <v>0.40600230636171447</v>
      </c>
      <c r="S382" s="48">
        <f t="shared" si="95"/>
        <v>0</v>
      </c>
      <c r="T382" s="48">
        <f t="shared" si="95"/>
        <v>0</v>
      </c>
      <c r="U382" s="48">
        <f t="shared" si="95"/>
        <v>0</v>
      </c>
      <c r="V382" s="48">
        <f t="shared" si="95"/>
        <v>0</v>
      </c>
      <c r="W382" s="48">
        <f t="shared" si="95"/>
        <v>0</v>
      </c>
      <c r="X382" s="48">
        <f t="shared" si="95"/>
        <v>4.67339355500032E-2</v>
      </c>
      <c r="Y382" s="48">
        <f t="shared" si="95"/>
        <v>2.6956243193029659E-2</v>
      </c>
      <c r="Z382" s="47">
        <f t="shared" si="95"/>
        <v>0</v>
      </c>
      <c r="AA382" s="48">
        <f t="shared" si="95"/>
        <v>0</v>
      </c>
      <c r="AB382" s="48">
        <f t="shared" si="95"/>
        <v>0</v>
      </c>
      <c r="AC382" s="48">
        <f t="shared" si="95"/>
        <v>0</v>
      </c>
      <c r="AD382" s="48">
        <f t="shared" si="95"/>
        <v>0</v>
      </c>
      <c r="AE382" s="47">
        <f t="shared" si="95"/>
        <v>0</v>
      </c>
      <c r="AF382" s="48">
        <f t="shared" si="95"/>
        <v>1.2666410404253954E-2</v>
      </c>
      <c r="AG382" s="48">
        <f t="shared" si="95"/>
        <v>4.67339355500032E-2</v>
      </c>
      <c r="AH382" s="48">
        <f t="shared" si="95"/>
        <v>0</v>
      </c>
      <c r="AI382" s="48">
        <f t="shared" si="95"/>
        <v>0</v>
      </c>
      <c r="AJ382" s="48">
        <f t="shared" si="95"/>
        <v>7.4234736370042922E-2</v>
      </c>
      <c r="AK382" s="48">
        <f t="shared" si="95"/>
        <v>1.5822922672816962E-2</v>
      </c>
      <c r="AL382" s="48">
        <f t="shared" si="95"/>
        <v>6.1475430841181358E-2</v>
      </c>
      <c r="AO382" s="51">
        <f>Table467910111214[[#This Row],[Column29]]/$D$379*0.5</f>
        <v>0</v>
      </c>
      <c r="AP382" s="51">
        <f>Table467910111214[[#This Row],[Column29]]/$D$379*1.5</f>
        <v>0</v>
      </c>
    </row>
    <row r="383" spans="3:42">
      <c r="C383" s="51"/>
      <c r="D383" s="51">
        <f>SUM(E382:AI382)</f>
        <v>1</v>
      </c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>
        <f>Table467910111214[[#This Row],[Column29]]/$D$379*0.5</f>
        <v>0</v>
      </c>
      <c r="AP383" s="51">
        <f>Table467910111214[[#This Row],[Column29]]/$D$379*1.5</f>
        <v>0</v>
      </c>
    </row>
  </sheetData>
  <phoneticPr fontId="5" type="noConversion"/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5193-98F7-4BFE-B523-3B2AD01629FE}">
  <dimension ref="C3:AH315"/>
  <sheetViews>
    <sheetView topLeftCell="A219" zoomScaleNormal="100" workbookViewId="0">
      <selection activeCell="K241" sqref="K241"/>
    </sheetView>
  </sheetViews>
  <sheetFormatPr defaultRowHeight="15"/>
  <cols>
    <col min="2" max="2" width="7.85546875" customWidth="1"/>
    <col min="3" max="3" width="48.5703125" bestFit="1" customWidth="1"/>
    <col min="4" max="6" width="11" customWidth="1"/>
    <col min="7" max="7" width="24.7109375" bestFit="1" customWidth="1"/>
    <col min="8" max="8" width="11" customWidth="1"/>
    <col min="9" max="9" width="22.85546875" customWidth="1"/>
    <col min="10" max="10" width="37.85546875" customWidth="1"/>
    <col min="11" max="11" width="11" customWidth="1"/>
    <col min="12" max="42" width="12" customWidth="1"/>
  </cols>
  <sheetData>
    <row r="3" spans="3:34">
      <c r="C3" s="44" t="s">
        <v>315</v>
      </c>
      <c r="D3" s="44" t="s">
        <v>316</v>
      </c>
      <c r="E3" s="44" t="s">
        <v>317</v>
      </c>
      <c r="F3" s="44" t="s">
        <v>318</v>
      </c>
      <c r="G3" s="44" t="s">
        <v>319</v>
      </c>
      <c r="H3" s="44" t="s">
        <v>320</v>
      </c>
      <c r="I3" s="44" t="s">
        <v>321</v>
      </c>
      <c r="J3" s="44" t="s">
        <v>322</v>
      </c>
      <c r="K3" s="44" t="s">
        <v>323</v>
      </c>
      <c r="L3" s="44" t="s">
        <v>324</v>
      </c>
      <c r="M3" s="44" t="s">
        <v>325</v>
      </c>
      <c r="N3" s="44" t="s">
        <v>326</v>
      </c>
      <c r="O3" s="44" t="s">
        <v>327</v>
      </c>
      <c r="P3" s="44" t="s">
        <v>328</v>
      </c>
      <c r="Q3" s="44" t="s">
        <v>329</v>
      </c>
      <c r="R3" s="44" t="s">
        <v>330</v>
      </c>
      <c r="S3" s="44" t="s">
        <v>331</v>
      </c>
      <c r="T3" s="44" t="s">
        <v>332</v>
      </c>
      <c r="U3" s="44" t="s">
        <v>333</v>
      </c>
      <c r="V3" s="44" t="s">
        <v>334</v>
      </c>
      <c r="W3" s="44" t="s">
        <v>335</v>
      </c>
      <c r="X3" s="44" t="s">
        <v>336</v>
      </c>
      <c r="Y3" s="44" t="s">
        <v>337</v>
      </c>
      <c r="Z3" s="44" t="s">
        <v>338</v>
      </c>
      <c r="AA3" s="44" t="s">
        <v>339</v>
      </c>
      <c r="AB3" s="44" t="s">
        <v>340</v>
      </c>
      <c r="AC3" s="44" t="s">
        <v>341</v>
      </c>
      <c r="AD3" s="44" t="s">
        <v>342</v>
      </c>
      <c r="AE3" s="44" t="s">
        <v>343</v>
      </c>
      <c r="AF3" s="44" t="s">
        <v>344</v>
      </c>
      <c r="AG3" s="45" t="s">
        <v>345</v>
      </c>
      <c r="AH3" s="45" t="s">
        <v>346</v>
      </c>
    </row>
    <row r="4" spans="3:34">
      <c r="C4" s="47" t="s">
        <v>347</v>
      </c>
      <c r="D4" s="47">
        <v>4.8879981526271784E-4</v>
      </c>
      <c r="E4" s="47">
        <f t="shared" ref="E4:AD4" si="0">((LEN($C4)-LEN(SUBSTITUTE($C4,E$3,"")))/4)*$D4</f>
        <v>4.8879981526271784E-4</v>
      </c>
      <c r="F4" s="47">
        <f t="shared" si="0"/>
        <v>0</v>
      </c>
      <c r="G4" s="47">
        <f t="shared" si="0"/>
        <v>4.8879981526271784E-4</v>
      </c>
      <c r="H4" s="47">
        <f t="shared" si="0"/>
        <v>0</v>
      </c>
      <c r="I4" s="47">
        <f t="shared" si="0"/>
        <v>0</v>
      </c>
      <c r="J4" s="47">
        <f t="shared" si="0"/>
        <v>0</v>
      </c>
      <c r="K4" s="47">
        <f t="shared" si="0"/>
        <v>0</v>
      </c>
      <c r="L4" s="47">
        <f t="shared" si="0"/>
        <v>0</v>
      </c>
      <c r="M4" s="47">
        <f t="shared" si="0"/>
        <v>0</v>
      </c>
      <c r="N4" s="47">
        <f t="shared" si="0"/>
        <v>0</v>
      </c>
      <c r="O4" s="47">
        <f t="shared" si="0"/>
        <v>0</v>
      </c>
      <c r="P4" s="47">
        <f t="shared" si="0"/>
        <v>0</v>
      </c>
      <c r="Q4" s="47">
        <f t="shared" si="0"/>
        <v>0</v>
      </c>
      <c r="R4" s="47">
        <f t="shared" si="0"/>
        <v>4.8879981526271784E-4</v>
      </c>
      <c r="S4" s="47">
        <f t="shared" si="0"/>
        <v>0</v>
      </c>
      <c r="T4" s="47">
        <f t="shared" si="0"/>
        <v>0</v>
      </c>
      <c r="U4" s="47">
        <f t="shared" si="0"/>
        <v>0</v>
      </c>
      <c r="V4" s="47">
        <f t="shared" si="0"/>
        <v>0</v>
      </c>
      <c r="W4" s="47">
        <f t="shared" si="0"/>
        <v>0</v>
      </c>
      <c r="X4" s="47">
        <f t="shared" si="0"/>
        <v>0</v>
      </c>
      <c r="Y4" s="47">
        <f t="shared" si="0"/>
        <v>0</v>
      </c>
      <c r="Z4" s="47">
        <f t="shared" si="0"/>
        <v>0</v>
      </c>
      <c r="AA4" s="47">
        <f t="shared" si="0"/>
        <v>0</v>
      </c>
      <c r="AB4" s="47">
        <f t="shared" si="0"/>
        <v>0</v>
      </c>
      <c r="AC4" s="47">
        <f t="shared" si="0"/>
        <v>0</v>
      </c>
      <c r="AD4" s="47">
        <f t="shared" si="0"/>
        <v>0</v>
      </c>
      <c r="AE4" s="47">
        <f>SUM(E4:AD4)/IF(ISNUMBER(SEARCH(";", C4)), IF(ISNUMBER(SEARCH(";", C4, SEARCH(";", C4)+1)), 9, 6), 3)</f>
        <v>4.8879981526271784E-4</v>
      </c>
      <c r="AF4" s="47">
        <f>D4-AE4</f>
        <v>0</v>
      </c>
      <c r="AG4" s="47">
        <f>Table114[[#This Row],[Column2]]/$D$129*0.5</f>
        <v>4.0768488036147275E-4</v>
      </c>
      <c r="AH4" s="47">
        <f>Table114[[#This Row],[Column29]]/$D$129*1.5</f>
        <v>1.2230546410844183E-3</v>
      </c>
    </row>
    <row r="5" spans="3:34">
      <c r="C5" s="47" t="s">
        <v>348</v>
      </c>
      <c r="D5" s="47">
        <f>0.000209321939291137+0.000265526899588005/2</f>
        <v>3.4208538908513949E-4</v>
      </c>
      <c r="E5" s="47">
        <f t="shared" ref="E5:T20" si="1">((LEN($C5)-LEN(SUBSTITUTE($C5,E$3,"")))/4)*$D5</f>
        <v>3.4208538908513949E-4</v>
      </c>
      <c r="F5" s="47">
        <f t="shared" si="1"/>
        <v>0</v>
      </c>
      <c r="G5" s="47">
        <f t="shared" si="1"/>
        <v>0</v>
      </c>
      <c r="H5" s="47">
        <f t="shared" si="1"/>
        <v>0</v>
      </c>
      <c r="I5" s="47">
        <f t="shared" si="1"/>
        <v>3.4208538908513949E-4</v>
      </c>
      <c r="J5" s="47">
        <f t="shared" si="1"/>
        <v>0</v>
      </c>
      <c r="K5" s="47">
        <f t="shared" si="1"/>
        <v>0</v>
      </c>
      <c r="L5" s="47">
        <f t="shared" si="1"/>
        <v>0</v>
      </c>
      <c r="M5" s="47">
        <f t="shared" si="1"/>
        <v>0</v>
      </c>
      <c r="N5" s="47">
        <f t="shared" si="1"/>
        <v>0</v>
      </c>
      <c r="O5" s="47">
        <f t="shared" si="1"/>
        <v>0</v>
      </c>
      <c r="P5" s="47">
        <f t="shared" si="1"/>
        <v>0</v>
      </c>
      <c r="Q5" s="47">
        <f t="shared" si="1"/>
        <v>0</v>
      </c>
      <c r="R5" s="47">
        <f t="shared" si="1"/>
        <v>3.4208538908513949E-4</v>
      </c>
      <c r="S5" s="47">
        <f t="shared" si="1"/>
        <v>0</v>
      </c>
      <c r="T5" s="47">
        <f t="shared" si="1"/>
        <v>0</v>
      </c>
      <c r="U5" s="47">
        <f t="shared" ref="U5:AD30" si="2">((LEN($C5)-LEN(SUBSTITUTE($C5,U$3,"")))/4)*$D5</f>
        <v>0</v>
      </c>
      <c r="V5" s="47">
        <f t="shared" si="2"/>
        <v>0</v>
      </c>
      <c r="W5" s="47">
        <f t="shared" si="2"/>
        <v>0</v>
      </c>
      <c r="X5" s="47">
        <f t="shared" si="2"/>
        <v>0</v>
      </c>
      <c r="Y5" s="47">
        <f t="shared" si="2"/>
        <v>0</v>
      </c>
      <c r="Z5" s="47">
        <f t="shared" si="2"/>
        <v>0</v>
      </c>
      <c r="AA5" s="47">
        <f t="shared" si="2"/>
        <v>0</v>
      </c>
      <c r="AB5" s="47">
        <f t="shared" si="2"/>
        <v>0</v>
      </c>
      <c r="AC5" s="47">
        <f t="shared" si="2"/>
        <v>0</v>
      </c>
      <c r="AD5" s="47">
        <f t="shared" si="2"/>
        <v>0</v>
      </c>
      <c r="AE5" s="47">
        <f t="shared" ref="AE5:AE67" si="3">SUM(E5:AD5)/IF(ISNUMBER(SEARCH(";", C5)), IF(ISNUMBER(SEARCH(";", C5, SEARCH(";", C5)+1)), 9, 6), 3)</f>
        <v>3.4208538908513949E-4</v>
      </c>
      <c r="AF5" s="47">
        <f t="shared" ref="AF5:AF67" si="4">D5-AE5</f>
        <v>0</v>
      </c>
      <c r="AG5" s="47">
        <f>Table114[[#This Row],[Column2]]/$D$129*0.5</f>
        <v>2.8531729466310256E-4</v>
      </c>
      <c r="AH5" s="47">
        <f>Table114[[#This Row],[Column29]]/$D$129*1.5</f>
        <v>8.5595188398930773E-4</v>
      </c>
    </row>
    <row r="6" spans="3:34">
      <c r="C6" s="47" t="s">
        <v>350</v>
      </c>
      <c r="D6" s="47">
        <f>0.000453277822006797+0.00259270445291962/2</f>
        <v>1.7496300484666071E-3</v>
      </c>
      <c r="E6" s="47">
        <f t="shared" si="1"/>
        <v>1.7496300484666071E-3</v>
      </c>
      <c r="F6" s="47">
        <f t="shared" si="1"/>
        <v>0</v>
      </c>
      <c r="G6" s="47">
        <f t="shared" si="1"/>
        <v>0</v>
      </c>
      <c r="H6" s="47">
        <f t="shared" si="1"/>
        <v>0</v>
      </c>
      <c r="I6" s="47">
        <f t="shared" si="1"/>
        <v>0</v>
      </c>
      <c r="J6" s="47">
        <f t="shared" si="1"/>
        <v>0</v>
      </c>
      <c r="K6" s="47">
        <f t="shared" si="1"/>
        <v>3.4992600969332142E-3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  <c r="T6" s="47">
        <f t="shared" si="1"/>
        <v>0</v>
      </c>
      <c r="U6" s="47">
        <f t="shared" si="2"/>
        <v>0</v>
      </c>
      <c r="V6" s="47">
        <f t="shared" si="2"/>
        <v>0</v>
      </c>
      <c r="W6" s="47">
        <f t="shared" si="2"/>
        <v>0</v>
      </c>
      <c r="X6" s="47">
        <f t="shared" si="2"/>
        <v>0</v>
      </c>
      <c r="Y6" s="47">
        <f t="shared" si="2"/>
        <v>0</v>
      </c>
      <c r="Z6" s="47">
        <f t="shared" si="2"/>
        <v>0</v>
      </c>
      <c r="AA6" s="47">
        <f t="shared" si="2"/>
        <v>0</v>
      </c>
      <c r="AB6" s="47">
        <f t="shared" si="2"/>
        <v>0</v>
      </c>
      <c r="AC6" s="47">
        <f t="shared" si="2"/>
        <v>0</v>
      </c>
      <c r="AD6" s="47">
        <f t="shared" si="2"/>
        <v>0</v>
      </c>
      <c r="AE6" s="47">
        <f t="shared" si="3"/>
        <v>1.7496300484666071E-3</v>
      </c>
      <c r="AF6" s="47">
        <f t="shared" si="4"/>
        <v>0</v>
      </c>
      <c r="AG6" s="47">
        <f>Table114[[#This Row],[Column2]]/$D$129*0.5</f>
        <v>1.4592839332448735E-3</v>
      </c>
      <c r="AH6" s="47">
        <f>Table114[[#This Row],[Column29]]/$D$129*1.5</f>
        <v>4.3778517997346209E-3</v>
      </c>
    </row>
    <row r="7" spans="3:34">
      <c r="C7" s="47" t="s">
        <v>352</v>
      </c>
      <c r="D7" s="47">
        <f>0.000865476+0.001172154+0.000463462</f>
        <v>2.5010919999999999E-3</v>
      </c>
      <c r="E7" s="47">
        <f t="shared" si="1"/>
        <v>2.5010919999999999E-3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0</v>
      </c>
      <c r="J7" s="47">
        <f t="shared" si="1"/>
        <v>0</v>
      </c>
      <c r="K7" s="47">
        <f t="shared" si="1"/>
        <v>2.5010919999999999E-3</v>
      </c>
      <c r="L7" s="47">
        <f t="shared" si="1"/>
        <v>2.5010919999999999E-3</v>
      </c>
      <c r="M7" s="47">
        <f t="shared" si="1"/>
        <v>0</v>
      </c>
      <c r="N7" s="47">
        <f t="shared" si="1"/>
        <v>0</v>
      </c>
      <c r="O7" s="47">
        <f t="shared" si="1"/>
        <v>0</v>
      </c>
      <c r="P7" s="47">
        <f t="shared" si="1"/>
        <v>0</v>
      </c>
      <c r="Q7" s="47">
        <f t="shared" si="1"/>
        <v>0</v>
      </c>
      <c r="R7" s="47">
        <f t="shared" si="1"/>
        <v>0</v>
      </c>
      <c r="S7" s="47">
        <f t="shared" si="1"/>
        <v>0</v>
      </c>
      <c r="T7" s="47">
        <f t="shared" si="1"/>
        <v>0</v>
      </c>
      <c r="U7" s="47">
        <f t="shared" si="2"/>
        <v>0</v>
      </c>
      <c r="V7" s="47">
        <f t="shared" si="2"/>
        <v>0</v>
      </c>
      <c r="W7" s="47">
        <f t="shared" si="2"/>
        <v>0</v>
      </c>
      <c r="X7" s="47">
        <f t="shared" si="2"/>
        <v>0</v>
      </c>
      <c r="Y7" s="47">
        <f t="shared" si="2"/>
        <v>0</v>
      </c>
      <c r="Z7" s="47">
        <f t="shared" si="2"/>
        <v>0</v>
      </c>
      <c r="AA7" s="47">
        <f t="shared" si="2"/>
        <v>0</v>
      </c>
      <c r="AB7" s="47">
        <f t="shared" si="2"/>
        <v>0</v>
      </c>
      <c r="AC7" s="47">
        <f t="shared" si="2"/>
        <v>0</v>
      </c>
      <c r="AD7" s="47">
        <f t="shared" si="2"/>
        <v>0</v>
      </c>
      <c r="AE7" s="47">
        <f t="shared" si="3"/>
        <v>2.5010919999999999E-3</v>
      </c>
      <c r="AF7" s="47">
        <f t="shared" si="4"/>
        <v>0</v>
      </c>
      <c r="AG7" s="47">
        <f>Table114[[#This Row],[Column2]]/$D$129*0.5</f>
        <v>2.0860429176819471E-3</v>
      </c>
      <c r="AH7" s="47">
        <f>Table114[[#This Row],[Column29]]/$D$129*1.5</f>
        <v>6.2581287530458409E-3</v>
      </c>
    </row>
    <row r="8" spans="3:34">
      <c r="C8" s="47" t="s">
        <v>355</v>
      </c>
      <c r="D8" s="47">
        <v>2.0057608079030475E-3</v>
      </c>
      <c r="E8" s="47">
        <f t="shared" si="1"/>
        <v>2.0057608079030475E-3</v>
      </c>
      <c r="F8" s="47">
        <f t="shared" si="1"/>
        <v>0</v>
      </c>
      <c r="G8" s="47">
        <f t="shared" si="1"/>
        <v>0</v>
      </c>
      <c r="H8" s="47">
        <f t="shared" si="1"/>
        <v>0</v>
      </c>
      <c r="I8" s="47">
        <f t="shared" si="1"/>
        <v>0</v>
      </c>
      <c r="J8" s="47">
        <f t="shared" si="1"/>
        <v>0</v>
      </c>
      <c r="K8" s="47">
        <f t="shared" si="1"/>
        <v>2.0057608079030475E-3</v>
      </c>
      <c r="L8" s="47">
        <f t="shared" si="1"/>
        <v>0</v>
      </c>
      <c r="M8" s="47">
        <f t="shared" si="1"/>
        <v>0</v>
      </c>
      <c r="N8" s="47">
        <f t="shared" si="1"/>
        <v>0</v>
      </c>
      <c r="O8" s="47">
        <f t="shared" si="1"/>
        <v>0</v>
      </c>
      <c r="P8" s="47">
        <f t="shared" si="1"/>
        <v>0</v>
      </c>
      <c r="Q8" s="47">
        <f t="shared" si="1"/>
        <v>0</v>
      </c>
      <c r="R8" s="47">
        <f t="shared" si="1"/>
        <v>2.0057608079030475E-3</v>
      </c>
      <c r="S8" s="47">
        <f t="shared" si="1"/>
        <v>0</v>
      </c>
      <c r="T8" s="47">
        <f t="shared" si="1"/>
        <v>0</v>
      </c>
      <c r="U8" s="47">
        <f t="shared" si="2"/>
        <v>0</v>
      </c>
      <c r="V8" s="47">
        <f t="shared" si="2"/>
        <v>0</v>
      </c>
      <c r="W8" s="47">
        <f t="shared" si="2"/>
        <v>0</v>
      </c>
      <c r="X8" s="47">
        <f t="shared" si="2"/>
        <v>0</v>
      </c>
      <c r="Y8" s="47">
        <f t="shared" si="2"/>
        <v>0</v>
      </c>
      <c r="Z8" s="47">
        <f t="shared" si="2"/>
        <v>0</v>
      </c>
      <c r="AA8" s="47">
        <f t="shared" si="2"/>
        <v>0</v>
      </c>
      <c r="AB8" s="47">
        <f t="shared" si="2"/>
        <v>0</v>
      </c>
      <c r="AC8" s="47">
        <f t="shared" si="2"/>
        <v>0</v>
      </c>
      <c r="AD8" s="47">
        <f t="shared" si="2"/>
        <v>0</v>
      </c>
      <c r="AE8" s="47">
        <f t="shared" si="3"/>
        <v>2.0057608079030475E-3</v>
      </c>
      <c r="AF8" s="47">
        <f t="shared" si="4"/>
        <v>0</v>
      </c>
      <c r="AG8" s="47">
        <f>Table114[[#This Row],[Column2]]/$D$129*0.5</f>
        <v>1.6729105238392559E-3</v>
      </c>
      <c r="AH8" s="47">
        <f>Table114[[#This Row],[Column29]]/$D$129*1.5</f>
        <v>5.0187315715177674E-3</v>
      </c>
    </row>
    <row r="9" spans="3:34">
      <c r="C9" s="47" t="s">
        <v>357</v>
      </c>
      <c r="D9" s="47">
        <v>2.6675871064446035E-4</v>
      </c>
      <c r="E9" s="47">
        <f t="shared" si="1"/>
        <v>2.6675871064446035E-4</v>
      </c>
      <c r="F9" s="47">
        <f t="shared" si="1"/>
        <v>0</v>
      </c>
      <c r="G9" s="47">
        <f t="shared" si="1"/>
        <v>0</v>
      </c>
      <c r="H9" s="47">
        <f t="shared" si="1"/>
        <v>0</v>
      </c>
      <c r="I9" s="47">
        <f t="shared" si="1"/>
        <v>0</v>
      </c>
      <c r="J9" s="47">
        <f t="shared" si="1"/>
        <v>0</v>
      </c>
      <c r="K9" s="47">
        <f t="shared" si="1"/>
        <v>2.6675871064446035E-4</v>
      </c>
      <c r="L9" s="47">
        <f t="shared" si="1"/>
        <v>0</v>
      </c>
      <c r="M9" s="47">
        <f t="shared" si="1"/>
        <v>0</v>
      </c>
      <c r="N9" s="47">
        <f t="shared" si="1"/>
        <v>0</v>
      </c>
      <c r="O9" s="47">
        <f t="shared" si="1"/>
        <v>0</v>
      </c>
      <c r="P9" s="47">
        <f t="shared" si="1"/>
        <v>0</v>
      </c>
      <c r="Q9" s="47">
        <f t="shared" si="1"/>
        <v>0</v>
      </c>
      <c r="R9" s="47">
        <f t="shared" si="1"/>
        <v>0</v>
      </c>
      <c r="S9" s="47">
        <f t="shared" si="1"/>
        <v>0</v>
      </c>
      <c r="T9" s="47">
        <f t="shared" si="1"/>
        <v>0</v>
      </c>
      <c r="U9" s="47">
        <f t="shared" si="2"/>
        <v>0</v>
      </c>
      <c r="V9" s="47">
        <f t="shared" si="2"/>
        <v>0</v>
      </c>
      <c r="W9" s="47">
        <f t="shared" si="2"/>
        <v>0</v>
      </c>
      <c r="X9" s="47">
        <f t="shared" si="2"/>
        <v>2.6675871064446035E-4</v>
      </c>
      <c r="Y9" s="47">
        <f t="shared" si="2"/>
        <v>0</v>
      </c>
      <c r="Z9" s="47">
        <f t="shared" si="2"/>
        <v>0</v>
      </c>
      <c r="AA9" s="47">
        <f t="shared" si="2"/>
        <v>0</v>
      </c>
      <c r="AB9" s="47">
        <f t="shared" si="2"/>
        <v>0</v>
      </c>
      <c r="AC9" s="47">
        <f t="shared" si="2"/>
        <v>0</v>
      </c>
      <c r="AD9" s="47">
        <f t="shared" si="2"/>
        <v>0</v>
      </c>
      <c r="AE9" s="47">
        <f t="shared" si="3"/>
        <v>2.6675871064446035E-4</v>
      </c>
      <c r="AF9" s="47">
        <f t="shared" si="4"/>
        <v>0</v>
      </c>
      <c r="AG9" s="47">
        <f>Table114[[#This Row],[Column2]]/$D$129*0.5</f>
        <v>2.2249086361870909E-4</v>
      </c>
      <c r="AH9" s="47">
        <f>Table114[[#This Row],[Column29]]/$D$129*1.5</f>
        <v>6.6747259085612727E-4</v>
      </c>
    </row>
    <row r="10" spans="3:34">
      <c r="C10" s="47" t="s">
        <v>359</v>
      </c>
      <c r="D10" s="47">
        <v>3.492685663503998E-3</v>
      </c>
      <c r="E10" s="47">
        <f t="shared" si="1"/>
        <v>3.492685663503998E-3</v>
      </c>
      <c r="F10" s="47">
        <f t="shared" si="1"/>
        <v>0</v>
      </c>
      <c r="G10" s="47">
        <f t="shared" si="1"/>
        <v>0</v>
      </c>
      <c r="H10" s="47">
        <f t="shared" si="1"/>
        <v>0</v>
      </c>
      <c r="I10" s="47">
        <f t="shared" si="1"/>
        <v>0</v>
      </c>
      <c r="J10" s="47">
        <f t="shared" si="1"/>
        <v>0</v>
      </c>
      <c r="K10" s="47">
        <f t="shared" si="1"/>
        <v>0</v>
      </c>
      <c r="L10" s="47">
        <f t="shared" si="1"/>
        <v>3.492685663503998E-3</v>
      </c>
      <c r="M10" s="47">
        <f t="shared" si="1"/>
        <v>0</v>
      </c>
      <c r="N10" s="47">
        <f t="shared" si="1"/>
        <v>0</v>
      </c>
      <c r="O10" s="47">
        <f t="shared" si="1"/>
        <v>0</v>
      </c>
      <c r="P10" s="47">
        <f t="shared" si="1"/>
        <v>0</v>
      </c>
      <c r="Q10" s="47">
        <f t="shared" si="1"/>
        <v>0</v>
      </c>
      <c r="R10" s="47">
        <f t="shared" si="1"/>
        <v>3.492685663503998E-3</v>
      </c>
      <c r="S10" s="47">
        <f t="shared" si="1"/>
        <v>0</v>
      </c>
      <c r="T10" s="47">
        <f t="shared" si="1"/>
        <v>0</v>
      </c>
      <c r="U10" s="47">
        <f t="shared" si="2"/>
        <v>0</v>
      </c>
      <c r="V10" s="47">
        <f t="shared" si="2"/>
        <v>0</v>
      </c>
      <c r="W10" s="47">
        <f t="shared" si="2"/>
        <v>0</v>
      </c>
      <c r="X10" s="47">
        <f t="shared" si="2"/>
        <v>0</v>
      </c>
      <c r="Y10" s="47">
        <f t="shared" si="2"/>
        <v>0</v>
      </c>
      <c r="Z10" s="47">
        <f t="shared" si="2"/>
        <v>0</v>
      </c>
      <c r="AA10" s="47">
        <f t="shared" si="2"/>
        <v>0</v>
      </c>
      <c r="AB10" s="47">
        <f t="shared" si="2"/>
        <v>0</v>
      </c>
      <c r="AC10" s="47">
        <f t="shared" si="2"/>
        <v>0</v>
      </c>
      <c r="AD10" s="47">
        <f t="shared" si="2"/>
        <v>0</v>
      </c>
      <c r="AE10" s="47">
        <f t="shared" si="3"/>
        <v>3.4926856635039984E-3</v>
      </c>
      <c r="AF10" s="47">
        <f t="shared" si="4"/>
        <v>0</v>
      </c>
      <c r="AG10" s="47">
        <f>Table114[[#This Row],[Column2]]/$D$129*0.5</f>
        <v>2.9130844415326531E-3</v>
      </c>
      <c r="AH10" s="47">
        <f>Table114[[#This Row],[Column29]]/$D$129*1.5</f>
        <v>8.7392533245979603E-3</v>
      </c>
    </row>
    <row r="11" spans="3:34">
      <c r="C11" s="47" t="s">
        <v>646</v>
      </c>
      <c r="D11" s="47">
        <f>0.000245445514690908/2</f>
        <v>1.22722757345454E-4</v>
      </c>
      <c r="E11" s="47">
        <f t="shared" si="1"/>
        <v>1.22722757345454E-4</v>
      </c>
      <c r="F11" s="47">
        <f t="shared" si="1"/>
        <v>0</v>
      </c>
      <c r="G11" s="47">
        <f t="shared" si="1"/>
        <v>0</v>
      </c>
      <c r="H11" s="47">
        <f t="shared" si="1"/>
        <v>0</v>
      </c>
      <c r="I11" s="47">
        <f t="shared" si="1"/>
        <v>0</v>
      </c>
      <c r="J11" s="47">
        <f t="shared" si="1"/>
        <v>0</v>
      </c>
      <c r="K11" s="47">
        <f t="shared" si="1"/>
        <v>0</v>
      </c>
      <c r="L11" s="47">
        <f t="shared" si="1"/>
        <v>0</v>
      </c>
      <c r="M11" s="47">
        <f t="shared" si="1"/>
        <v>0</v>
      </c>
      <c r="N11" s="47">
        <f t="shared" si="1"/>
        <v>0</v>
      </c>
      <c r="O11" s="47">
        <f t="shared" si="1"/>
        <v>0</v>
      </c>
      <c r="P11" s="47">
        <f t="shared" si="1"/>
        <v>0</v>
      </c>
      <c r="Q11" s="47">
        <f t="shared" si="1"/>
        <v>0</v>
      </c>
      <c r="R11" s="47">
        <f t="shared" si="1"/>
        <v>2.4544551469090801E-4</v>
      </c>
      <c r="S11" s="47">
        <f t="shared" si="1"/>
        <v>0</v>
      </c>
      <c r="T11" s="47">
        <f t="shared" si="1"/>
        <v>0</v>
      </c>
      <c r="U11" s="47">
        <f t="shared" si="2"/>
        <v>0</v>
      </c>
      <c r="V11" s="47">
        <f t="shared" si="2"/>
        <v>0</v>
      </c>
      <c r="W11" s="47">
        <f t="shared" si="2"/>
        <v>0</v>
      </c>
      <c r="X11" s="47">
        <f t="shared" si="2"/>
        <v>0</v>
      </c>
      <c r="Y11" s="47">
        <f t="shared" si="2"/>
        <v>0</v>
      </c>
      <c r="Z11" s="47">
        <f t="shared" si="2"/>
        <v>0</v>
      </c>
      <c r="AA11" s="47">
        <f t="shared" si="2"/>
        <v>0</v>
      </c>
      <c r="AB11" s="47">
        <f t="shared" si="2"/>
        <v>0</v>
      </c>
      <c r="AC11" s="47">
        <f t="shared" si="2"/>
        <v>0</v>
      </c>
      <c r="AD11" s="47">
        <f t="shared" si="2"/>
        <v>0</v>
      </c>
      <c r="AE11" s="47">
        <f t="shared" si="3"/>
        <v>1.22722757345454E-4</v>
      </c>
      <c r="AF11" s="47">
        <f t="shared" si="4"/>
        <v>0</v>
      </c>
      <c r="AG11" s="47">
        <f>Table114[[#This Row],[Column2]]/$D$129*0.5</f>
        <v>1.023572658658236E-4</v>
      </c>
      <c r="AH11" s="47">
        <f>Table114[[#This Row],[Column29]]/$D$129*1.5</f>
        <v>3.0707179759747083E-4</v>
      </c>
    </row>
    <row r="12" spans="3:34">
      <c r="C12" s="47" t="s">
        <v>361</v>
      </c>
      <c r="D12" s="47">
        <v>4.1037928579652251E-4</v>
      </c>
      <c r="E12" s="47">
        <f t="shared" si="1"/>
        <v>0</v>
      </c>
      <c r="F12" s="47">
        <f t="shared" si="1"/>
        <v>4.1037928579652251E-4</v>
      </c>
      <c r="G12" s="47">
        <f t="shared" si="1"/>
        <v>4.1037928579652251E-4</v>
      </c>
      <c r="H12" s="47">
        <f t="shared" si="1"/>
        <v>0</v>
      </c>
      <c r="I12" s="47">
        <f t="shared" si="1"/>
        <v>0</v>
      </c>
      <c r="J12" s="47">
        <f t="shared" si="1"/>
        <v>0</v>
      </c>
      <c r="K12" s="47">
        <f t="shared" si="1"/>
        <v>0</v>
      </c>
      <c r="L12" s="47">
        <f t="shared" si="1"/>
        <v>0</v>
      </c>
      <c r="M12" s="47">
        <f t="shared" si="1"/>
        <v>0</v>
      </c>
      <c r="N12" s="47">
        <f t="shared" si="1"/>
        <v>0</v>
      </c>
      <c r="O12" s="47">
        <f t="shared" si="1"/>
        <v>0</v>
      </c>
      <c r="P12" s="47">
        <f t="shared" si="1"/>
        <v>0</v>
      </c>
      <c r="Q12" s="47">
        <f t="shared" si="1"/>
        <v>0</v>
      </c>
      <c r="R12" s="47">
        <f t="shared" si="1"/>
        <v>4.1037928579652251E-4</v>
      </c>
      <c r="S12" s="47">
        <f t="shared" si="1"/>
        <v>0</v>
      </c>
      <c r="T12" s="47">
        <f t="shared" si="1"/>
        <v>0</v>
      </c>
      <c r="U12" s="47">
        <f t="shared" si="2"/>
        <v>0</v>
      </c>
      <c r="V12" s="47">
        <f t="shared" si="2"/>
        <v>0</v>
      </c>
      <c r="W12" s="47">
        <f t="shared" si="2"/>
        <v>0</v>
      </c>
      <c r="X12" s="47">
        <f t="shared" si="2"/>
        <v>0</v>
      </c>
      <c r="Y12" s="47">
        <f t="shared" si="2"/>
        <v>0</v>
      </c>
      <c r="Z12" s="47">
        <f t="shared" si="2"/>
        <v>0</v>
      </c>
      <c r="AA12" s="47">
        <f t="shared" si="2"/>
        <v>0</v>
      </c>
      <c r="AB12" s="47">
        <f t="shared" si="2"/>
        <v>0</v>
      </c>
      <c r="AC12" s="47">
        <f t="shared" si="2"/>
        <v>0</v>
      </c>
      <c r="AD12" s="47">
        <f t="shared" si="2"/>
        <v>0</v>
      </c>
      <c r="AE12" s="47">
        <f t="shared" si="3"/>
        <v>4.1037928579652251E-4</v>
      </c>
      <c r="AF12" s="47">
        <f t="shared" si="4"/>
        <v>0</v>
      </c>
      <c r="AG12" s="47">
        <f>Table114[[#This Row],[Column2]]/$D$129*0.5</f>
        <v>3.4227801404315054E-4</v>
      </c>
      <c r="AH12" s="47">
        <f>Table114[[#This Row],[Column29]]/$D$129*1.5</f>
        <v>1.0268340421294517E-3</v>
      </c>
    </row>
    <row r="13" spans="3:34">
      <c r="C13" s="47" t="s">
        <v>647</v>
      </c>
      <c r="D13" s="47">
        <f>0.00212321255979762/2</f>
        <v>1.06160627989881E-3</v>
      </c>
      <c r="E13" s="47">
        <f t="shared" si="1"/>
        <v>0</v>
      </c>
      <c r="F13" s="47">
        <f t="shared" si="1"/>
        <v>1.06160627989881E-3</v>
      </c>
      <c r="G13" s="47">
        <f t="shared" si="1"/>
        <v>0</v>
      </c>
      <c r="H13" s="47">
        <f t="shared" si="1"/>
        <v>0</v>
      </c>
      <c r="I13" s="47">
        <f t="shared" si="1"/>
        <v>0</v>
      </c>
      <c r="J13" s="47">
        <f t="shared" si="1"/>
        <v>0</v>
      </c>
      <c r="K13" s="47">
        <f t="shared" si="1"/>
        <v>1.06160627989881E-3</v>
      </c>
      <c r="L13" s="47">
        <f t="shared" si="1"/>
        <v>1.06160627989881E-3</v>
      </c>
      <c r="M13" s="47">
        <f t="shared" si="1"/>
        <v>0</v>
      </c>
      <c r="N13" s="47">
        <f t="shared" si="1"/>
        <v>0</v>
      </c>
      <c r="O13" s="47">
        <f t="shared" si="1"/>
        <v>0</v>
      </c>
      <c r="P13" s="47">
        <f t="shared" si="1"/>
        <v>0</v>
      </c>
      <c r="Q13" s="47">
        <f t="shared" si="1"/>
        <v>0</v>
      </c>
      <c r="R13" s="47">
        <f t="shared" si="1"/>
        <v>0</v>
      </c>
      <c r="S13" s="47">
        <f t="shared" si="1"/>
        <v>0</v>
      </c>
      <c r="T13" s="47">
        <f t="shared" si="1"/>
        <v>0</v>
      </c>
      <c r="U13" s="47">
        <f t="shared" si="2"/>
        <v>0</v>
      </c>
      <c r="V13" s="47">
        <f t="shared" si="2"/>
        <v>0</v>
      </c>
      <c r="W13" s="47">
        <f t="shared" si="2"/>
        <v>0</v>
      </c>
      <c r="X13" s="47">
        <f t="shared" si="2"/>
        <v>0</v>
      </c>
      <c r="Y13" s="47">
        <f t="shared" si="2"/>
        <v>0</v>
      </c>
      <c r="Z13" s="47">
        <f t="shared" si="2"/>
        <v>0</v>
      </c>
      <c r="AA13" s="47">
        <f t="shared" si="2"/>
        <v>0</v>
      </c>
      <c r="AB13" s="47">
        <f t="shared" si="2"/>
        <v>0</v>
      </c>
      <c r="AC13" s="47">
        <f t="shared" si="2"/>
        <v>0</v>
      </c>
      <c r="AD13" s="47">
        <f t="shared" si="2"/>
        <v>0</v>
      </c>
      <c r="AE13" s="47">
        <f t="shared" si="3"/>
        <v>1.06160627989881E-3</v>
      </c>
      <c r="AF13" s="47">
        <f t="shared" si="4"/>
        <v>0</v>
      </c>
      <c r="AG13" s="47">
        <f>Table114[[#This Row],[Column2]]/$D$129*0.5</f>
        <v>8.854357462858588E-4</v>
      </c>
      <c r="AH13" s="47">
        <f>Table114[[#This Row],[Column29]]/$D$129*1.5</f>
        <v>2.6563072388575762E-3</v>
      </c>
    </row>
    <row r="14" spans="3:34">
      <c r="C14" s="47" t="s">
        <v>648</v>
      </c>
      <c r="D14" s="47">
        <f>0.00156846788286142/2</f>
        <v>7.8423394143071004E-4</v>
      </c>
      <c r="E14" s="47">
        <f t="shared" si="1"/>
        <v>0</v>
      </c>
      <c r="F14" s="47">
        <f t="shared" si="1"/>
        <v>7.8423394143071004E-4</v>
      </c>
      <c r="G14" s="47">
        <f t="shared" si="1"/>
        <v>0</v>
      </c>
      <c r="H14" s="47">
        <f t="shared" si="1"/>
        <v>0</v>
      </c>
      <c r="I14" s="47">
        <f t="shared" si="1"/>
        <v>0</v>
      </c>
      <c r="J14" s="47">
        <f t="shared" si="1"/>
        <v>0</v>
      </c>
      <c r="K14" s="47">
        <f t="shared" si="1"/>
        <v>7.8423394143071004E-4</v>
      </c>
      <c r="L14" s="47">
        <f t="shared" si="1"/>
        <v>0</v>
      </c>
      <c r="M14" s="47">
        <f t="shared" si="1"/>
        <v>0</v>
      </c>
      <c r="N14" s="47">
        <f t="shared" si="1"/>
        <v>0</v>
      </c>
      <c r="O14" s="47">
        <f t="shared" si="1"/>
        <v>0</v>
      </c>
      <c r="P14" s="47">
        <f t="shared" si="1"/>
        <v>0</v>
      </c>
      <c r="Q14" s="47">
        <f t="shared" si="1"/>
        <v>0</v>
      </c>
      <c r="R14" s="47">
        <f t="shared" si="1"/>
        <v>7.8423394143071004E-4</v>
      </c>
      <c r="S14" s="47">
        <f t="shared" si="1"/>
        <v>0</v>
      </c>
      <c r="T14" s="47">
        <f t="shared" si="1"/>
        <v>0</v>
      </c>
      <c r="U14" s="47">
        <f t="shared" si="2"/>
        <v>0</v>
      </c>
      <c r="V14" s="47">
        <f t="shared" si="2"/>
        <v>0</v>
      </c>
      <c r="W14" s="47">
        <f t="shared" si="2"/>
        <v>0</v>
      </c>
      <c r="X14" s="47">
        <f t="shared" si="2"/>
        <v>0</v>
      </c>
      <c r="Y14" s="47">
        <f t="shared" si="2"/>
        <v>0</v>
      </c>
      <c r="Z14" s="47">
        <f t="shared" si="2"/>
        <v>0</v>
      </c>
      <c r="AA14" s="47">
        <f t="shared" si="2"/>
        <v>0</v>
      </c>
      <c r="AB14" s="47">
        <f t="shared" si="2"/>
        <v>0</v>
      </c>
      <c r="AC14" s="47">
        <f t="shared" si="2"/>
        <v>0</v>
      </c>
      <c r="AD14" s="47">
        <f t="shared" si="2"/>
        <v>0</v>
      </c>
      <c r="AE14" s="47">
        <f t="shared" si="3"/>
        <v>7.8423394143071004E-4</v>
      </c>
      <c r="AF14" s="47">
        <f t="shared" si="4"/>
        <v>0</v>
      </c>
      <c r="AG14" s="47">
        <f>Table114[[#This Row],[Column2]]/$D$129*0.5</f>
        <v>6.5409255610242713E-4</v>
      </c>
      <c r="AH14" s="47">
        <f>Table114[[#This Row],[Column29]]/$D$129*1.5</f>
        <v>1.9622776683072812E-3</v>
      </c>
    </row>
    <row r="15" spans="3:34">
      <c r="C15" s="44" t="s">
        <v>364</v>
      </c>
      <c r="D15" s="44">
        <v>5.2377895225073521E-3</v>
      </c>
      <c r="E15" s="44">
        <f t="shared" si="1"/>
        <v>0</v>
      </c>
      <c r="F15" s="44">
        <f t="shared" si="1"/>
        <v>0</v>
      </c>
      <c r="G15" s="44">
        <f t="shared" si="1"/>
        <v>1.0475579045014704E-2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5.2377895225073521E-3</v>
      </c>
      <c r="L15" s="44">
        <f t="shared" si="1"/>
        <v>0</v>
      </c>
      <c r="M15" s="44">
        <f t="shared" si="1"/>
        <v>0</v>
      </c>
      <c r="N15" s="44">
        <f t="shared" si="1"/>
        <v>0</v>
      </c>
      <c r="O15" s="44">
        <f t="shared" si="1"/>
        <v>0</v>
      </c>
      <c r="P15" s="44">
        <f t="shared" si="1"/>
        <v>0</v>
      </c>
      <c r="Q15" s="44">
        <f t="shared" si="1"/>
        <v>0</v>
      </c>
      <c r="R15" s="44">
        <f t="shared" si="1"/>
        <v>0</v>
      </c>
      <c r="S15" s="44">
        <f t="shared" si="1"/>
        <v>0</v>
      </c>
      <c r="T15" s="44">
        <f t="shared" si="1"/>
        <v>0</v>
      </c>
      <c r="U15" s="44">
        <f t="shared" si="2"/>
        <v>0</v>
      </c>
      <c r="V15" s="44">
        <f t="shared" si="2"/>
        <v>0</v>
      </c>
      <c r="W15" s="44">
        <f t="shared" si="2"/>
        <v>0</v>
      </c>
      <c r="X15" s="44">
        <f t="shared" si="2"/>
        <v>0</v>
      </c>
      <c r="Y15" s="44">
        <f t="shared" si="2"/>
        <v>0</v>
      </c>
      <c r="Z15" s="44">
        <f t="shared" si="2"/>
        <v>0</v>
      </c>
      <c r="AA15" s="44">
        <f t="shared" si="2"/>
        <v>0</v>
      </c>
      <c r="AB15" s="44">
        <f t="shared" si="2"/>
        <v>0</v>
      </c>
      <c r="AC15" s="44">
        <f t="shared" si="2"/>
        <v>0</v>
      </c>
      <c r="AD15" s="44">
        <f t="shared" si="2"/>
        <v>0</v>
      </c>
      <c r="AE15" s="44">
        <f t="shared" si="3"/>
        <v>5.2377895225073521E-3</v>
      </c>
      <c r="AF15" s="44">
        <f t="shared" si="4"/>
        <v>0</v>
      </c>
      <c r="AG15" s="44">
        <f>Table114[[#This Row],[Column2]]/$D$129*0.5</f>
        <v>4.3685932935434478E-3</v>
      </c>
      <c r="AH15" s="44">
        <f>Table114[[#This Row],[Column29]]/$D$129*1.5</f>
        <v>1.3105779880630344E-2</v>
      </c>
    </row>
    <row r="16" spans="3:34">
      <c r="C16" s="44" t="s">
        <v>645</v>
      </c>
      <c r="D16" s="44">
        <f>0.00234430832104697/2</f>
        <v>1.172154160523485E-3</v>
      </c>
      <c r="E16" s="44">
        <f t="shared" si="1"/>
        <v>0</v>
      </c>
      <c r="F16" s="44">
        <f t="shared" si="1"/>
        <v>0</v>
      </c>
      <c r="G16" s="44">
        <f t="shared" si="1"/>
        <v>2.3443083210469701E-3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1.172154160523485E-3</v>
      </c>
      <c r="M16" s="44">
        <f t="shared" si="1"/>
        <v>0</v>
      </c>
      <c r="N16" s="44">
        <f t="shared" si="1"/>
        <v>0</v>
      </c>
      <c r="O16" s="44">
        <f t="shared" si="1"/>
        <v>0</v>
      </c>
      <c r="P16" s="44">
        <f t="shared" si="1"/>
        <v>0</v>
      </c>
      <c r="Q16" s="44">
        <f t="shared" si="1"/>
        <v>0</v>
      </c>
      <c r="R16" s="44">
        <f t="shared" si="1"/>
        <v>0</v>
      </c>
      <c r="S16" s="44">
        <f t="shared" si="1"/>
        <v>0</v>
      </c>
      <c r="T16" s="44">
        <f t="shared" si="1"/>
        <v>0</v>
      </c>
      <c r="U16" s="44">
        <f t="shared" si="2"/>
        <v>0</v>
      </c>
      <c r="V16" s="44">
        <f t="shared" si="2"/>
        <v>0</v>
      </c>
      <c r="W16" s="44">
        <f t="shared" si="2"/>
        <v>0</v>
      </c>
      <c r="X16" s="44">
        <f t="shared" si="2"/>
        <v>0</v>
      </c>
      <c r="Y16" s="44">
        <f t="shared" si="2"/>
        <v>0</v>
      </c>
      <c r="Z16" s="44">
        <f t="shared" si="2"/>
        <v>0</v>
      </c>
      <c r="AA16" s="44">
        <f t="shared" si="2"/>
        <v>0</v>
      </c>
      <c r="AB16" s="44">
        <f t="shared" si="2"/>
        <v>0</v>
      </c>
      <c r="AC16" s="44">
        <f t="shared" si="2"/>
        <v>0</v>
      </c>
      <c r="AD16" s="44">
        <f t="shared" si="2"/>
        <v>0</v>
      </c>
      <c r="AE16" s="44">
        <f t="shared" si="3"/>
        <v>1.172154160523485E-3</v>
      </c>
      <c r="AF16" s="44">
        <f t="shared" si="4"/>
        <v>0</v>
      </c>
      <c r="AG16" s="44">
        <f>Table114[[#This Row],[Column2]]/$D$129*0.5</f>
        <v>9.7763852149039066E-4</v>
      </c>
      <c r="AH16" s="44">
        <f>Table114[[#This Row],[Column29]]/$D$129*1.5</f>
        <v>2.932915564471172E-3</v>
      </c>
    </row>
    <row r="17" spans="3:34">
      <c r="C17" s="44" t="s">
        <v>366</v>
      </c>
      <c r="D17">
        <v>3.1536941254443726E-3</v>
      </c>
      <c r="E17" s="44">
        <f t="shared" si="1"/>
        <v>0</v>
      </c>
      <c r="F17" s="44">
        <f t="shared" si="1"/>
        <v>0</v>
      </c>
      <c r="G17" s="44">
        <f t="shared" si="1"/>
        <v>6.3073882508887453E-3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  <c r="N17" s="44">
        <f t="shared" si="1"/>
        <v>0</v>
      </c>
      <c r="O17" s="44">
        <f t="shared" si="1"/>
        <v>0</v>
      </c>
      <c r="P17" s="44">
        <f t="shared" si="1"/>
        <v>0</v>
      </c>
      <c r="Q17" s="44">
        <f t="shared" si="1"/>
        <v>0</v>
      </c>
      <c r="R17" s="44">
        <f t="shared" si="1"/>
        <v>3.1536941254443726E-3</v>
      </c>
      <c r="S17" s="44">
        <f t="shared" si="1"/>
        <v>0</v>
      </c>
      <c r="T17" s="44">
        <f t="shared" si="1"/>
        <v>0</v>
      </c>
      <c r="U17" s="44">
        <f t="shared" si="2"/>
        <v>0</v>
      </c>
      <c r="V17" s="44">
        <f t="shared" si="2"/>
        <v>0</v>
      </c>
      <c r="W17" s="44">
        <f t="shared" si="2"/>
        <v>0</v>
      </c>
      <c r="X17" s="44">
        <f t="shared" si="2"/>
        <v>0</v>
      </c>
      <c r="Y17" s="44">
        <f t="shared" si="2"/>
        <v>0</v>
      </c>
      <c r="Z17" s="44">
        <f t="shared" si="2"/>
        <v>0</v>
      </c>
      <c r="AA17" s="44">
        <f t="shared" si="2"/>
        <v>0</v>
      </c>
      <c r="AB17" s="44">
        <f t="shared" si="2"/>
        <v>0</v>
      </c>
      <c r="AC17" s="44">
        <f t="shared" si="2"/>
        <v>0</v>
      </c>
      <c r="AD17" s="44">
        <f t="shared" si="2"/>
        <v>0</v>
      </c>
      <c r="AE17" s="44">
        <f t="shared" si="3"/>
        <v>3.1536941254443726E-3</v>
      </c>
      <c r="AF17" s="44">
        <f t="shared" si="4"/>
        <v>0</v>
      </c>
      <c r="AG17" s="44">
        <f>Table114[[#This Row],[Column2]]/$D$129*0.5</f>
        <v>2.6303475821434778E-3</v>
      </c>
      <c r="AH17" s="44">
        <f>Table114[[#This Row],[Column29]]/$D$129*1.5</f>
        <v>7.891042746430434E-3</v>
      </c>
    </row>
    <row r="18" spans="3:34">
      <c r="C18" s="47" t="s">
        <v>367</v>
      </c>
      <c r="D18" s="47">
        <v>1.4206648794711557E-3</v>
      </c>
      <c r="E18" s="47">
        <f t="shared" si="1"/>
        <v>0</v>
      </c>
      <c r="F18" s="47">
        <f t="shared" si="1"/>
        <v>0</v>
      </c>
      <c r="G18" s="47">
        <f t="shared" si="1"/>
        <v>1.4206648794711557E-3</v>
      </c>
      <c r="H18" s="47">
        <f t="shared" si="1"/>
        <v>1.4206648794711557E-3</v>
      </c>
      <c r="I18" s="47">
        <f t="shared" si="1"/>
        <v>0</v>
      </c>
      <c r="J18" s="47">
        <f t="shared" si="1"/>
        <v>0</v>
      </c>
      <c r="K18" s="47">
        <f t="shared" si="1"/>
        <v>1.4206648794711557E-3</v>
      </c>
      <c r="L18" s="47">
        <f t="shared" si="1"/>
        <v>0</v>
      </c>
      <c r="M18" s="47">
        <f t="shared" si="1"/>
        <v>0</v>
      </c>
      <c r="N18" s="47">
        <f t="shared" si="1"/>
        <v>0</v>
      </c>
      <c r="O18" s="47">
        <f t="shared" si="1"/>
        <v>0</v>
      </c>
      <c r="P18" s="47">
        <f t="shared" si="1"/>
        <v>0</v>
      </c>
      <c r="Q18" s="47">
        <f t="shared" si="1"/>
        <v>0</v>
      </c>
      <c r="R18" s="47">
        <f t="shared" si="1"/>
        <v>0</v>
      </c>
      <c r="S18" s="47">
        <f t="shared" si="1"/>
        <v>0</v>
      </c>
      <c r="T18" s="47">
        <f t="shared" si="1"/>
        <v>0</v>
      </c>
      <c r="U18" s="47">
        <f t="shared" si="2"/>
        <v>0</v>
      </c>
      <c r="V18" s="47">
        <f t="shared" si="2"/>
        <v>0</v>
      </c>
      <c r="W18" s="47">
        <f t="shared" si="2"/>
        <v>0</v>
      </c>
      <c r="X18" s="47">
        <f t="shared" si="2"/>
        <v>0</v>
      </c>
      <c r="Y18" s="47">
        <f t="shared" si="2"/>
        <v>0</v>
      </c>
      <c r="Z18" s="47">
        <f t="shared" si="2"/>
        <v>0</v>
      </c>
      <c r="AA18" s="47">
        <f t="shared" si="2"/>
        <v>0</v>
      </c>
      <c r="AB18" s="47">
        <f t="shared" si="2"/>
        <v>0</v>
      </c>
      <c r="AC18" s="47">
        <f t="shared" si="2"/>
        <v>0</v>
      </c>
      <c r="AD18" s="47">
        <f t="shared" si="2"/>
        <v>0</v>
      </c>
      <c r="AE18" s="47">
        <f t="shared" si="3"/>
        <v>1.4206648794711557E-3</v>
      </c>
      <c r="AF18" s="47">
        <f t="shared" si="4"/>
        <v>0</v>
      </c>
      <c r="AG18" s="47">
        <f>Table114[[#This Row],[Column2]]/$D$129*0.5</f>
        <v>1.1849095955767646E-3</v>
      </c>
      <c r="AH18" s="47">
        <f>Table114[[#This Row],[Column29]]/$D$129*1.5</f>
        <v>3.5547287867302938E-3</v>
      </c>
    </row>
    <row r="19" spans="3:34">
      <c r="C19" s="44" t="s">
        <v>649</v>
      </c>
      <c r="D19" s="44">
        <f>0.00266268850898754/2</f>
        <v>1.33134425449377E-3</v>
      </c>
      <c r="E19" s="44">
        <f t="shared" si="1"/>
        <v>0</v>
      </c>
      <c r="F19" s="44">
        <f t="shared" si="1"/>
        <v>0</v>
      </c>
      <c r="G19" s="44">
        <f t="shared" si="1"/>
        <v>1.33134425449377E-3</v>
      </c>
      <c r="H19" s="44">
        <f t="shared" si="1"/>
        <v>0</v>
      </c>
      <c r="I19" s="44">
        <f t="shared" si="1"/>
        <v>2.6626885089875399E-3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  <c r="N19" s="44">
        <f t="shared" si="1"/>
        <v>0</v>
      </c>
      <c r="O19" s="44">
        <f t="shared" si="1"/>
        <v>0</v>
      </c>
      <c r="P19" s="44">
        <f t="shared" si="1"/>
        <v>0</v>
      </c>
      <c r="Q19" s="44">
        <f t="shared" si="1"/>
        <v>0</v>
      </c>
      <c r="R19" s="44">
        <f t="shared" si="1"/>
        <v>0</v>
      </c>
      <c r="S19" s="44">
        <f t="shared" si="1"/>
        <v>0</v>
      </c>
      <c r="T19" s="44">
        <f t="shared" si="1"/>
        <v>0</v>
      </c>
      <c r="U19" s="44">
        <f t="shared" si="2"/>
        <v>0</v>
      </c>
      <c r="V19" s="44">
        <f t="shared" si="2"/>
        <v>0</v>
      </c>
      <c r="W19" s="44">
        <f t="shared" si="2"/>
        <v>0</v>
      </c>
      <c r="X19" s="44">
        <f t="shared" si="2"/>
        <v>0</v>
      </c>
      <c r="Y19" s="44">
        <f t="shared" si="2"/>
        <v>0</v>
      </c>
      <c r="Z19" s="44">
        <f t="shared" si="2"/>
        <v>0</v>
      </c>
      <c r="AA19" s="44">
        <f t="shared" si="2"/>
        <v>0</v>
      </c>
      <c r="AB19" s="44">
        <f t="shared" si="2"/>
        <v>0</v>
      </c>
      <c r="AC19" s="44">
        <f t="shared" si="2"/>
        <v>0</v>
      </c>
      <c r="AD19" s="44">
        <f t="shared" si="2"/>
        <v>0</v>
      </c>
      <c r="AE19" s="44">
        <f t="shared" si="3"/>
        <v>1.33134425449377E-3</v>
      </c>
      <c r="AF19" s="44">
        <f t="shared" si="4"/>
        <v>0</v>
      </c>
      <c r="AG19" s="44">
        <f>Table114[[#This Row],[Column2]]/$D$129*0.5</f>
        <v>1.1104114735016866E-3</v>
      </c>
      <c r="AH19" s="44">
        <f>Table114[[#This Row],[Column29]]/$D$129*1.5</f>
        <v>3.3312344205050598E-3</v>
      </c>
    </row>
    <row r="20" spans="3:34">
      <c r="C20" s="44" t="s">
        <v>368</v>
      </c>
      <c r="D20" s="44">
        <v>2.8059366761457863E-3</v>
      </c>
      <c r="E20" s="44">
        <f t="shared" si="1"/>
        <v>0</v>
      </c>
      <c r="F20" s="44">
        <f t="shared" si="1"/>
        <v>0</v>
      </c>
      <c r="G20" s="44">
        <f t="shared" si="1"/>
        <v>2.8059366761457863E-3</v>
      </c>
      <c r="H20" s="44">
        <f t="shared" si="1"/>
        <v>0</v>
      </c>
      <c r="I20" s="44">
        <f t="shared" si="1"/>
        <v>2.8059366761457863E-3</v>
      </c>
      <c r="J20" s="44">
        <f t="shared" si="1"/>
        <v>0</v>
      </c>
      <c r="K20" s="44">
        <f t="shared" si="1"/>
        <v>0</v>
      </c>
      <c r="L20" s="44">
        <f t="shared" si="1"/>
        <v>2.8059366761457863E-3</v>
      </c>
      <c r="M20" s="44">
        <f t="shared" si="1"/>
        <v>0</v>
      </c>
      <c r="N20" s="44">
        <f t="shared" si="1"/>
        <v>0</v>
      </c>
      <c r="O20" s="44">
        <f t="shared" si="1"/>
        <v>0</v>
      </c>
      <c r="P20" s="44">
        <f t="shared" si="1"/>
        <v>0</v>
      </c>
      <c r="Q20" s="44">
        <f t="shared" si="1"/>
        <v>0</v>
      </c>
      <c r="R20" s="44">
        <f t="shared" si="1"/>
        <v>0</v>
      </c>
      <c r="S20" s="44">
        <f t="shared" si="1"/>
        <v>0</v>
      </c>
      <c r="T20" s="44">
        <f t="shared" ref="T20:Y51" si="5">((LEN($C20)-LEN(SUBSTITUTE($C20,T$3,"")))/4)*$D20</f>
        <v>0</v>
      </c>
      <c r="U20" s="44">
        <f t="shared" si="2"/>
        <v>0</v>
      </c>
      <c r="V20" s="44">
        <f t="shared" si="2"/>
        <v>0</v>
      </c>
      <c r="W20" s="44">
        <f t="shared" si="2"/>
        <v>0</v>
      </c>
      <c r="X20" s="44">
        <f t="shared" si="2"/>
        <v>0</v>
      </c>
      <c r="Y20" s="44">
        <f t="shared" si="2"/>
        <v>0</v>
      </c>
      <c r="Z20" s="44">
        <f t="shared" si="2"/>
        <v>0</v>
      </c>
      <c r="AA20" s="44">
        <f t="shared" si="2"/>
        <v>0</v>
      </c>
      <c r="AB20" s="44">
        <f t="shared" si="2"/>
        <v>0</v>
      </c>
      <c r="AC20" s="44">
        <f t="shared" si="2"/>
        <v>0</v>
      </c>
      <c r="AD20" s="44">
        <f t="shared" si="2"/>
        <v>0</v>
      </c>
      <c r="AE20" s="44">
        <f t="shared" si="3"/>
        <v>2.8059366761457858E-3</v>
      </c>
      <c r="AF20" s="44">
        <f t="shared" si="4"/>
        <v>0</v>
      </c>
      <c r="AG20" s="44">
        <f>Table114[[#This Row],[Column2]]/$D$129*0.5</f>
        <v>2.3402994894781721E-3</v>
      </c>
      <c r="AH20" s="44">
        <f>Table114[[#This Row],[Column29]]/$D$129*1.5</f>
        <v>7.0208984684345145E-3</v>
      </c>
    </row>
    <row r="21" spans="3:34">
      <c r="C21" s="44" t="s">
        <v>669</v>
      </c>
      <c r="D21" s="44">
        <f>0.00945753017700753/2</f>
        <v>4.7287650885037653E-3</v>
      </c>
      <c r="E21" s="44">
        <f t="shared" ref="E21:S37" si="6">((LEN($C21)-LEN(SUBSTITUTE($C21,E$3,"")))/4)*$D21</f>
        <v>0</v>
      </c>
      <c r="F21" s="44">
        <f t="shared" si="6"/>
        <v>0</v>
      </c>
      <c r="G21" s="44">
        <f t="shared" si="6"/>
        <v>4.7287650885037653E-3</v>
      </c>
      <c r="H21" s="44">
        <f t="shared" si="6"/>
        <v>0</v>
      </c>
      <c r="I21" s="44">
        <f t="shared" si="6"/>
        <v>4.7287650885037653E-3</v>
      </c>
      <c r="J21" s="44">
        <f t="shared" si="6"/>
        <v>0</v>
      </c>
      <c r="K21" s="44">
        <f t="shared" si="6"/>
        <v>0</v>
      </c>
      <c r="L21" s="44">
        <f t="shared" si="6"/>
        <v>0</v>
      </c>
      <c r="M21" s="44">
        <f t="shared" si="6"/>
        <v>0</v>
      </c>
      <c r="N21" s="44">
        <f t="shared" si="6"/>
        <v>0</v>
      </c>
      <c r="O21" s="44">
        <f t="shared" si="6"/>
        <v>0</v>
      </c>
      <c r="P21" s="44">
        <f t="shared" si="6"/>
        <v>4.7287650885037653E-3</v>
      </c>
      <c r="Q21" s="44">
        <f t="shared" si="6"/>
        <v>0</v>
      </c>
      <c r="R21" s="44">
        <f t="shared" si="6"/>
        <v>0</v>
      </c>
      <c r="S21" s="44">
        <f t="shared" si="6"/>
        <v>0</v>
      </c>
      <c r="T21" s="44">
        <f t="shared" si="5"/>
        <v>0</v>
      </c>
      <c r="U21" s="44">
        <f t="shared" si="2"/>
        <v>0</v>
      </c>
      <c r="V21" s="44">
        <f t="shared" si="2"/>
        <v>0</v>
      </c>
      <c r="W21" s="44">
        <f t="shared" si="2"/>
        <v>0</v>
      </c>
      <c r="X21" s="44">
        <f t="shared" si="2"/>
        <v>0</v>
      </c>
      <c r="Y21" s="44">
        <f t="shared" si="2"/>
        <v>0</v>
      </c>
      <c r="Z21" s="44">
        <f t="shared" si="2"/>
        <v>0</v>
      </c>
      <c r="AA21" s="44">
        <f t="shared" si="2"/>
        <v>0</v>
      </c>
      <c r="AB21" s="44">
        <f t="shared" si="2"/>
        <v>0</v>
      </c>
      <c r="AC21" s="44">
        <f t="shared" si="2"/>
        <v>0</v>
      </c>
      <c r="AD21" s="44">
        <f t="shared" si="2"/>
        <v>0</v>
      </c>
      <c r="AE21" s="44">
        <f t="shared" si="3"/>
        <v>4.7287650885037653E-3</v>
      </c>
      <c r="AF21" s="44">
        <f t="shared" si="4"/>
        <v>0</v>
      </c>
      <c r="AG21" s="44">
        <f>Table114[[#This Row],[Column2]]/$D$129*0.5</f>
        <v>3.9440400122246304E-3</v>
      </c>
      <c r="AH21" s="44">
        <f>Table114[[#This Row],[Column29]]/$D$129*1.5</f>
        <v>1.1832120036673891E-2</v>
      </c>
    </row>
    <row r="22" spans="3:34">
      <c r="C22" s="44" t="s">
        <v>370</v>
      </c>
      <c r="D22" s="54">
        <v>3.3937254008406317E-3</v>
      </c>
      <c r="E22" s="44">
        <f t="shared" si="6"/>
        <v>0</v>
      </c>
      <c r="F22" s="44">
        <f t="shared" si="6"/>
        <v>0</v>
      </c>
      <c r="G22" s="44">
        <f t="shared" si="6"/>
        <v>3.3937254008406317E-3</v>
      </c>
      <c r="H22" s="44">
        <f t="shared" si="6"/>
        <v>0</v>
      </c>
      <c r="I22" s="44">
        <f t="shared" si="6"/>
        <v>3.3937254008406317E-3</v>
      </c>
      <c r="J22" s="44">
        <f t="shared" si="6"/>
        <v>0</v>
      </c>
      <c r="K22" s="44">
        <f t="shared" si="6"/>
        <v>0</v>
      </c>
      <c r="L22" s="44">
        <f t="shared" si="6"/>
        <v>0</v>
      </c>
      <c r="M22" s="44">
        <f t="shared" si="6"/>
        <v>0</v>
      </c>
      <c r="N22" s="44">
        <f t="shared" si="6"/>
        <v>0</v>
      </c>
      <c r="O22" s="44">
        <f t="shared" si="6"/>
        <v>0</v>
      </c>
      <c r="P22" s="44">
        <f t="shared" si="6"/>
        <v>0</v>
      </c>
      <c r="Q22" s="44">
        <f t="shared" si="6"/>
        <v>0</v>
      </c>
      <c r="R22" s="44">
        <f t="shared" si="6"/>
        <v>3.3937254008406317E-3</v>
      </c>
      <c r="S22" s="44">
        <f t="shared" si="6"/>
        <v>0</v>
      </c>
      <c r="T22" s="44">
        <f t="shared" si="5"/>
        <v>0</v>
      </c>
      <c r="U22" s="44">
        <f t="shared" si="2"/>
        <v>0</v>
      </c>
      <c r="V22" s="44">
        <f t="shared" si="2"/>
        <v>0</v>
      </c>
      <c r="W22" s="44">
        <f t="shared" si="2"/>
        <v>0</v>
      </c>
      <c r="X22" s="44">
        <f t="shared" si="2"/>
        <v>0</v>
      </c>
      <c r="Y22" s="44">
        <f t="shared" si="2"/>
        <v>0</v>
      </c>
      <c r="Z22" s="44">
        <f t="shared" si="2"/>
        <v>0</v>
      </c>
      <c r="AA22" s="44">
        <f t="shared" si="2"/>
        <v>0</v>
      </c>
      <c r="AB22" s="44">
        <f t="shared" si="2"/>
        <v>0</v>
      </c>
      <c r="AC22" s="44">
        <f t="shared" si="2"/>
        <v>0</v>
      </c>
      <c r="AD22" s="44">
        <f t="shared" si="2"/>
        <v>0</v>
      </c>
      <c r="AE22" s="44">
        <f t="shared" si="3"/>
        <v>3.3937254008406317E-3</v>
      </c>
      <c r="AF22" s="44">
        <f t="shared" si="4"/>
        <v>0</v>
      </c>
      <c r="AG22" s="44">
        <f>Table114[[#This Row],[Column2]]/$D$129*0.5</f>
        <v>2.8305463521457533E-3</v>
      </c>
      <c r="AH22" s="44">
        <f>Table114[[#This Row],[Column29]]/$D$129*1.5</f>
        <v>8.4916390564372599E-3</v>
      </c>
    </row>
    <row r="23" spans="3:34">
      <c r="C23" s="44" t="s">
        <v>371</v>
      </c>
      <c r="D23" s="44">
        <v>7.7000795606708659E-3</v>
      </c>
      <c r="E23" s="44">
        <f t="shared" si="6"/>
        <v>0</v>
      </c>
      <c r="F23" s="44">
        <f t="shared" si="6"/>
        <v>0</v>
      </c>
      <c r="G23" s="44">
        <f t="shared" si="6"/>
        <v>7.7000795606708659E-3</v>
      </c>
      <c r="H23" s="44">
        <f t="shared" si="6"/>
        <v>0</v>
      </c>
      <c r="I23" s="44">
        <f t="shared" si="6"/>
        <v>0</v>
      </c>
      <c r="J23" s="44">
        <f t="shared" si="6"/>
        <v>0</v>
      </c>
      <c r="K23" s="44">
        <f t="shared" si="6"/>
        <v>1.5400159121341732E-2</v>
      </c>
      <c r="L23" s="44">
        <f t="shared" si="6"/>
        <v>0</v>
      </c>
      <c r="M23" s="44">
        <f t="shared" si="6"/>
        <v>0</v>
      </c>
      <c r="N23" s="44">
        <f t="shared" si="6"/>
        <v>0</v>
      </c>
      <c r="O23" s="44">
        <f t="shared" si="6"/>
        <v>0</v>
      </c>
      <c r="P23" s="44">
        <f t="shared" si="6"/>
        <v>0</v>
      </c>
      <c r="Q23" s="44">
        <f t="shared" si="6"/>
        <v>0</v>
      </c>
      <c r="R23" s="44">
        <f t="shared" si="6"/>
        <v>0</v>
      </c>
      <c r="S23" s="44">
        <f t="shared" si="6"/>
        <v>0</v>
      </c>
      <c r="T23" s="44">
        <f t="shared" si="5"/>
        <v>0</v>
      </c>
      <c r="U23" s="44">
        <f t="shared" si="2"/>
        <v>0</v>
      </c>
      <c r="V23" s="44">
        <f t="shared" si="2"/>
        <v>0</v>
      </c>
      <c r="W23" s="44">
        <f t="shared" si="2"/>
        <v>0</v>
      </c>
      <c r="X23" s="44">
        <f t="shared" si="2"/>
        <v>0</v>
      </c>
      <c r="Y23" s="44">
        <f t="shared" si="2"/>
        <v>0</v>
      </c>
      <c r="Z23" s="44">
        <f t="shared" si="2"/>
        <v>0</v>
      </c>
      <c r="AA23" s="44">
        <f t="shared" si="2"/>
        <v>0</v>
      </c>
      <c r="AB23" s="44">
        <f t="shared" si="2"/>
        <v>0</v>
      </c>
      <c r="AC23" s="44">
        <f t="shared" si="2"/>
        <v>0</v>
      </c>
      <c r="AD23" s="44">
        <f t="shared" si="2"/>
        <v>0</v>
      </c>
      <c r="AE23" s="44">
        <f t="shared" si="3"/>
        <v>7.7000795606708659E-3</v>
      </c>
      <c r="AF23" s="44">
        <f t="shared" si="4"/>
        <v>0</v>
      </c>
      <c r="AG23" s="44">
        <f>Table114[[#This Row],[Column2]]/$D$129*0.5</f>
        <v>6.4222733242619533E-3</v>
      </c>
      <c r="AH23" s="44">
        <f>Table114[[#This Row],[Column29]]/$D$129*1.5</f>
        <v>1.926681997278586E-2</v>
      </c>
    </row>
    <row r="24" spans="3:34">
      <c r="C24" s="44" t="s">
        <v>372</v>
      </c>
      <c r="D24" s="44">
        <v>1.9021640657167195E-2</v>
      </c>
      <c r="E24" s="44">
        <f t="shared" si="6"/>
        <v>0</v>
      </c>
      <c r="F24" s="44">
        <f t="shared" si="6"/>
        <v>0</v>
      </c>
      <c r="G24" s="44">
        <f t="shared" si="6"/>
        <v>1.9021640657167195E-2</v>
      </c>
      <c r="H24" s="44">
        <f t="shared" si="6"/>
        <v>0</v>
      </c>
      <c r="I24" s="44">
        <f t="shared" si="6"/>
        <v>0</v>
      </c>
      <c r="J24" s="44">
        <f t="shared" si="6"/>
        <v>0</v>
      </c>
      <c r="K24" s="44">
        <f t="shared" si="6"/>
        <v>1.9021640657167195E-2</v>
      </c>
      <c r="L24" s="44">
        <f t="shared" si="6"/>
        <v>1.9021640657167195E-2</v>
      </c>
      <c r="M24" s="44">
        <f t="shared" si="6"/>
        <v>0</v>
      </c>
      <c r="N24" s="44">
        <f t="shared" si="6"/>
        <v>0</v>
      </c>
      <c r="O24" s="44">
        <f t="shared" si="6"/>
        <v>0</v>
      </c>
      <c r="P24" s="44">
        <f t="shared" si="6"/>
        <v>0</v>
      </c>
      <c r="Q24" s="44">
        <f t="shared" si="6"/>
        <v>0</v>
      </c>
      <c r="R24" s="44">
        <f t="shared" si="6"/>
        <v>0</v>
      </c>
      <c r="S24" s="44">
        <f t="shared" si="6"/>
        <v>0</v>
      </c>
      <c r="T24" s="44">
        <f t="shared" si="5"/>
        <v>0</v>
      </c>
      <c r="U24" s="44">
        <f t="shared" si="2"/>
        <v>0</v>
      </c>
      <c r="V24" s="44">
        <f t="shared" si="2"/>
        <v>0</v>
      </c>
      <c r="W24" s="44">
        <f t="shared" si="2"/>
        <v>0</v>
      </c>
      <c r="X24" s="44">
        <f t="shared" si="2"/>
        <v>0</v>
      </c>
      <c r="Y24" s="44">
        <f t="shared" si="2"/>
        <v>0</v>
      </c>
      <c r="Z24" s="44">
        <f t="shared" si="2"/>
        <v>0</v>
      </c>
      <c r="AA24" s="44">
        <f t="shared" si="2"/>
        <v>0</v>
      </c>
      <c r="AB24" s="44">
        <f t="shared" si="2"/>
        <v>0</v>
      </c>
      <c r="AC24" s="44">
        <f t="shared" si="2"/>
        <v>0</v>
      </c>
      <c r="AD24" s="44">
        <f t="shared" si="2"/>
        <v>0</v>
      </c>
      <c r="AE24" s="44">
        <f t="shared" si="3"/>
        <v>1.9021640657167195E-2</v>
      </c>
      <c r="AF24" s="44">
        <f t="shared" si="4"/>
        <v>0</v>
      </c>
      <c r="AG24" s="44">
        <f>Table114[[#This Row],[Column2]]/$D$129*0.5</f>
        <v>1.5865053654793428E-2</v>
      </c>
      <c r="AH24" s="44">
        <f>Table114[[#This Row],[Column29]]/$D$129*1.5</f>
        <v>4.7595160964380281E-2</v>
      </c>
    </row>
    <row r="25" spans="3:34">
      <c r="C25" s="44" t="s">
        <v>374</v>
      </c>
      <c r="D25" s="44">
        <v>5.5435603577343572E-3</v>
      </c>
      <c r="E25" s="44">
        <f t="shared" si="6"/>
        <v>0</v>
      </c>
      <c r="F25" s="44">
        <f t="shared" si="6"/>
        <v>0</v>
      </c>
      <c r="G25" s="44">
        <f t="shared" si="6"/>
        <v>5.5435603577343572E-3</v>
      </c>
      <c r="H25" s="44">
        <f t="shared" si="6"/>
        <v>0</v>
      </c>
      <c r="I25" s="44">
        <f t="shared" si="6"/>
        <v>0</v>
      </c>
      <c r="J25" s="44">
        <f t="shared" si="6"/>
        <v>0</v>
      </c>
      <c r="K25" s="44">
        <f t="shared" si="6"/>
        <v>5.5435603577343572E-3</v>
      </c>
      <c r="L25" s="44">
        <f t="shared" si="6"/>
        <v>0</v>
      </c>
      <c r="M25" s="44">
        <f t="shared" si="6"/>
        <v>0</v>
      </c>
      <c r="N25" s="44">
        <f t="shared" si="6"/>
        <v>0</v>
      </c>
      <c r="O25" s="44">
        <f t="shared" si="6"/>
        <v>0</v>
      </c>
      <c r="P25" s="44">
        <f t="shared" si="6"/>
        <v>0</v>
      </c>
      <c r="Q25" s="44">
        <f t="shared" si="6"/>
        <v>5.5435603577343572E-3</v>
      </c>
      <c r="R25" s="44">
        <f t="shared" si="6"/>
        <v>0</v>
      </c>
      <c r="S25" s="44">
        <f t="shared" si="6"/>
        <v>0</v>
      </c>
      <c r="T25" s="44">
        <f t="shared" si="5"/>
        <v>0</v>
      </c>
      <c r="U25" s="44">
        <f t="shared" si="2"/>
        <v>0</v>
      </c>
      <c r="V25" s="44">
        <f t="shared" si="2"/>
        <v>0</v>
      </c>
      <c r="W25" s="44">
        <f t="shared" si="2"/>
        <v>0</v>
      </c>
      <c r="X25" s="44">
        <f t="shared" si="2"/>
        <v>0</v>
      </c>
      <c r="Y25" s="44">
        <f t="shared" si="2"/>
        <v>0</v>
      </c>
      <c r="Z25" s="44">
        <f t="shared" si="2"/>
        <v>0</v>
      </c>
      <c r="AA25" s="44">
        <f t="shared" si="2"/>
        <v>0</v>
      </c>
      <c r="AB25" s="44">
        <f t="shared" si="2"/>
        <v>0</v>
      </c>
      <c r="AC25" s="44">
        <f t="shared" si="2"/>
        <v>0</v>
      </c>
      <c r="AD25" s="44">
        <f t="shared" si="2"/>
        <v>0</v>
      </c>
      <c r="AE25" s="44">
        <f t="shared" si="3"/>
        <v>5.5435603577343564E-3</v>
      </c>
      <c r="AF25" s="44">
        <f t="shared" si="4"/>
        <v>0</v>
      </c>
      <c r="AG25" s="44">
        <f>Table114[[#This Row],[Column2]]/$D$129*0.5</f>
        <v>4.6236223309634979E-3</v>
      </c>
      <c r="AH25" s="44">
        <f>Table114[[#This Row],[Column29]]/$D$129*1.5</f>
        <v>1.3870866992890491E-2</v>
      </c>
    </row>
    <row r="26" spans="3:34">
      <c r="C26" s="44" t="s">
        <v>376</v>
      </c>
      <c r="D26" s="44">
        <v>1.4083114378918061E-2</v>
      </c>
      <c r="E26" s="44">
        <f t="shared" si="6"/>
        <v>0</v>
      </c>
      <c r="F26" s="44">
        <f t="shared" si="6"/>
        <v>0</v>
      </c>
      <c r="G26" s="44">
        <f t="shared" si="6"/>
        <v>1.4083114378918061E-2</v>
      </c>
      <c r="H26" s="44">
        <f t="shared" si="6"/>
        <v>0</v>
      </c>
      <c r="I26" s="44">
        <f t="shared" si="6"/>
        <v>0</v>
      </c>
      <c r="J26" s="44">
        <f t="shared" si="6"/>
        <v>0</v>
      </c>
      <c r="K26" s="44">
        <f t="shared" si="6"/>
        <v>1.4083114378918061E-2</v>
      </c>
      <c r="L26" s="44">
        <f t="shared" si="6"/>
        <v>0</v>
      </c>
      <c r="M26" s="44">
        <f t="shared" si="6"/>
        <v>0</v>
      </c>
      <c r="N26" s="44">
        <f t="shared" si="6"/>
        <v>0</v>
      </c>
      <c r="O26" s="44">
        <f t="shared" si="6"/>
        <v>0</v>
      </c>
      <c r="P26" s="44">
        <f t="shared" si="6"/>
        <v>0</v>
      </c>
      <c r="Q26" s="44">
        <f t="shared" si="6"/>
        <v>0</v>
      </c>
      <c r="R26" s="44">
        <f t="shared" si="6"/>
        <v>1.4083114378918061E-2</v>
      </c>
      <c r="S26" s="44">
        <f t="shared" si="6"/>
        <v>0</v>
      </c>
      <c r="T26" s="44">
        <f t="shared" si="5"/>
        <v>0</v>
      </c>
      <c r="U26" s="44">
        <f t="shared" si="2"/>
        <v>0</v>
      </c>
      <c r="V26" s="44">
        <f t="shared" si="2"/>
        <v>0</v>
      </c>
      <c r="W26" s="44">
        <f t="shared" si="2"/>
        <v>0</v>
      </c>
      <c r="X26" s="44">
        <f t="shared" si="2"/>
        <v>0</v>
      </c>
      <c r="Y26" s="44">
        <f t="shared" si="2"/>
        <v>0</v>
      </c>
      <c r="Z26" s="44">
        <f t="shared" si="2"/>
        <v>0</v>
      </c>
      <c r="AA26" s="44">
        <f t="shared" si="2"/>
        <v>0</v>
      </c>
      <c r="AB26" s="44">
        <f t="shared" si="2"/>
        <v>0</v>
      </c>
      <c r="AC26" s="44">
        <f t="shared" si="2"/>
        <v>0</v>
      </c>
      <c r="AD26" s="44">
        <f t="shared" si="2"/>
        <v>0</v>
      </c>
      <c r="AE26" s="44">
        <f t="shared" si="3"/>
        <v>1.4083114378918063E-2</v>
      </c>
      <c r="AF26" s="44">
        <f t="shared" si="4"/>
        <v>0</v>
      </c>
      <c r="AG26" s="44">
        <f>Table114[[#This Row],[Column2]]/$D$129*0.5</f>
        <v>1.1746061723857745E-2</v>
      </c>
      <c r="AH26" s="44">
        <f>Table114[[#This Row],[Column29]]/$D$129*1.5</f>
        <v>3.5238185171573233E-2</v>
      </c>
    </row>
    <row r="27" spans="3:34">
      <c r="C27" s="44" t="s">
        <v>378</v>
      </c>
      <c r="D27" s="44">
        <v>8.9323632888106252E-3</v>
      </c>
      <c r="E27" s="44">
        <f t="shared" si="6"/>
        <v>0</v>
      </c>
      <c r="F27" s="44">
        <f t="shared" si="6"/>
        <v>0</v>
      </c>
      <c r="G27" s="44">
        <f t="shared" si="6"/>
        <v>8.9323632888106252E-3</v>
      </c>
      <c r="H27" s="44">
        <f t="shared" si="6"/>
        <v>0</v>
      </c>
      <c r="I27" s="44">
        <f t="shared" si="6"/>
        <v>0</v>
      </c>
      <c r="J27" s="44">
        <f t="shared" si="6"/>
        <v>0</v>
      </c>
      <c r="K27" s="44">
        <f t="shared" si="6"/>
        <v>8.9323632888106252E-3</v>
      </c>
      <c r="L27" s="44">
        <f t="shared" si="6"/>
        <v>0</v>
      </c>
      <c r="M27" s="44">
        <f t="shared" si="6"/>
        <v>0</v>
      </c>
      <c r="N27" s="44">
        <f t="shared" si="6"/>
        <v>0</v>
      </c>
      <c r="O27" s="44">
        <f t="shared" si="6"/>
        <v>0</v>
      </c>
      <c r="P27" s="44">
        <f t="shared" si="6"/>
        <v>0</v>
      </c>
      <c r="Q27" s="44">
        <f t="shared" si="6"/>
        <v>0</v>
      </c>
      <c r="R27" s="44">
        <f t="shared" si="6"/>
        <v>0</v>
      </c>
      <c r="S27" s="44">
        <f t="shared" si="6"/>
        <v>8.9323632888106252E-3</v>
      </c>
      <c r="T27" s="44">
        <f t="shared" si="5"/>
        <v>0</v>
      </c>
      <c r="U27" s="44">
        <f t="shared" si="2"/>
        <v>0</v>
      </c>
      <c r="V27" s="44">
        <f t="shared" si="2"/>
        <v>0</v>
      </c>
      <c r="W27" s="44">
        <f t="shared" si="2"/>
        <v>0</v>
      </c>
      <c r="X27" s="44">
        <f t="shared" si="2"/>
        <v>0</v>
      </c>
      <c r="Y27" s="44">
        <f t="shared" si="2"/>
        <v>0</v>
      </c>
      <c r="Z27" s="44">
        <f t="shared" si="2"/>
        <v>0</v>
      </c>
      <c r="AA27" s="44">
        <f t="shared" si="2"/>
        <v>0</v>
      </c>
      <c r="AB27" s="44">
        <f t="shared" si="2"/>
        <v>0</v>
      </c>
      <c r="AC27" s="44">
        <f t="shared" si="2"/>
        <v>0</v>
      </c>
      <c r="AD27" s="44">
        <f t="shared" si="2"/>
        <v>0</v>
      </c>
      <c r="AE27" s="44">
        <f t="shared" si="3"/>
        <v>8.9323632888106252E-3</v>
      </c>
      <c r="AF27" s="44">
        <f t="shared" si="4"/>
        <v>0</v>
      </c>
      <c r="AG27" s="44">
        <f>Table114[[#This Row],[Column2]]/$D$129*0.5</f>
        <v>7.4500630831595277E-3</v>
      </c>
      <c r="AH27" s="44">
        <f>Table114[[#This Row],[Column29]]/$D$129*1.5</f>
        <v>2.2350189249478583E-2</v>
      </c>
    </row>
    <row r="28" spans="3:34">
      <c r="C28" s="44" t="s">
        <v>380</v>
      </c>
      <c r="D28" s="44">
        <v>9.6768355152097047E-3</v>
      </c>
      <c r="E28" s="44">
        <f t="shared" si="6"/>
        <v>0</v>
      </c>
      <c r="F28" s="44">
        <f t="shared" si="6"/>
        <v>0</v>
      </c>
      <c r="G28" s="44">
        <f t="shared" si="6"/>
        <v>9.6768355152097047E-3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1.9353671030419409E-2</v>
      </c>
      <c r="M28" s="44">
        <f t="shared" si="6"/>
        <v>0</v>
      </c>
      <c r="N28" s="44">
        <f t="shared" si="6"/>
        <v>0</v>
      </c>
      <c r="O28" s="44">
        <f t="shared" si="6"/>
        <v>0</v>
      </c>
      <c r="P28" s="44">
        <f t="shared" si="6"/>
        <v>0</v>
      </c>
      <c r="Q28" s="44">
        <f t="shared" si="6"/>
        <v>0</v>
      </c>
      <c r="R28" s="44">
        <f t="shared" si="6"/>
        <v>0</v>
      </c>
      <c r="S28" s="44">
        <f t="shared" si="6"/>
        <v>0</v>
      </c>
      <c r="T28" s="44">
        <f t="shared" si="5"/>
        <v>0</v>
      </c>
      <c r="U28" s="44">
        <f t="shared" si="2"/>
        <v>0</v>
      </c>
      <c r="V28" s="44">
        <f t="shared" si="2"/>
        <v>0</v>
      </c>
      <c r="W28" s="44">
        <f t="shared" si="2"/>
        <v>0</v>
      </c>
      <c r="X28" s="44">
        <f t="shared" si="2"/>
        <v>0</v>
      </c>
      <c r="Y28" s="44">
        <f t="shared" si="2"/>
        <v>0</v>
      </c>
      <c r="Z28" s="44">
        <f t="shared" si="2"/>
        <v>0</v>
      </c>
      <c r="AA28" s="44">
        <f t="shared" si="2"/>
        <v>0</v>
      </c>
      <c r="AB28" s="44">
        <f t="shared" si="2"/>
        <v>0</v>
      </c>
      <c r="AC28" s="44">
        <f t="shared" si="2"/>
        <v>0</v>
      </c>
      <c r="AD28" s="44">
        <f t="shared" si="2"/>
        <v>0</v>
      </c>
      <c r="AE28" s="44">
        <f t="shared" si="3"/>
        <v>9.6768355152097047E-3</v>
      </c>
      <c r="AF28" s="44">
        <f t="shared" si="4"/>
        <v>0</v>
      </c>
      <c r="AG28" s="44">
        <f>Table114[[#This Row],[Column2]]/$D$129*0.5</f>
        <v>8.0709922674081312E-3</v>
      </c>
      <c r="AH28" s="44">
        <f>Table114[[#This Row],[Column29]]/$D$129*1.5</f>
        <v>2.4212976802224395E-2</v>
      </c>
    </row>
    <row r="29" spans="3:34">
      <c r="C29" s="44" t="s">
        <v>381</v>
      </c>
      <c r="D29" s="44">
        <v>8.4275928999671197E-4</v>
      </c>
      <c r="E29" s="44">
        <f t="shared" si="6"/>
        <v>0</v>
      </c>
      <c r="F29" s="44">
        <f t="shared" si="6"/>
        <v>0</v>
      </c>
      <c r="G29" s="44">
        <f t="shared" si="6"/>
        <v>8.4275928999671197E-4</v>
      </c>
      <c r="H29" s="44">
        <f t="shared" si="6"/>
        <v>0</v>
      </c>
      <c r="I29" s="44">
        <f t="shared" si="6"/>
        <v>0</v>
      </c>
      <c r="J29" s="44">
        <f t="shared" si="6"/>
        <v>0</v>
      </c>
      <c r="K29" s="44">
        <f t="shared" si="6"/>
        <v>0</v>
      </c>
      <c r="L29" s="44">
        <f t="shared" si="6"/>
        <v>8.4275928999671197E-4</v>
      </c>
      <c r="M29" s="44">
        <f t="shared" si="6"/>
        <v>0</v>
      </c>
      <c r="N29" s="44">
        <f t="shared" si="6"/>
        <v>0</v>
      </c>
      <c r="O29" s="44">
        <f t="shared" si="6"/>
        <v>0</v>
      </c>
      <c r="P29" s="44">
        <f t="shared" si="6"/>
        <v>0</v>
      </c>
      <c r="Q29" s="44">
        <f t="shared" si="6"/>
        <v>8.4275928999671197E-4</v>
      </c>
      <c r="R29" s="44">
        <f t="shared" si="6"/>
        <v>0</v>
      </c>
      <c r="S29" s="44">
        <f t="shared" si="6"/>
        <v>0</v>
      </c>
      <c r="T29" s="44">
        <f t="shared" si="5"/>
        <v>0</v>
      </c>
      <c r="U29" s="44">
        <f t="shared" si="2"/>
        <v>0</v>
      </c>
      <c r="V29" s="44">
        <f t="shared" si="2"/>
        <v>0</v>
      </c>
      <c r="W29" s="44">
        <f t="shared" si="2"/>
        <v>0</v>
      </c>
      <c r="X29" s="44">
        <f t="shared" si="2"/>
        <v>0</v>
      </c>
      <c r="Y29" s="44">
        <f t="shared" si="2"/>
        <v>0</v>
      </c>
      <c r="Z29" s="44">
        <f t="shared" si="2"/>
        <v>0</v>
      </c>
      <c r="AA29" s="44">
        <f t="shared" si="2"/>
        <v>0</v>
      </c>
      <c r="AB29" s="44">
        <f t="shared" si="2"/>
        <v>0</v>
      </c>
      <c r="AC29" s="44">
        <f t="shared" si="2"/>
        <v>0</v>
      </c>
      <c r="AD29" s="44">
        <f t="shared" si="2"/>
        <v>0</v>
      </c>
      <c r="AE29" s="44">
        <f t="shared" si="3"/>
        <v>8.4275928999671208E-4</v>
      </c>
      <c r="AF29" s="44">
        <f t="shared" si="4"/>
        <v>0</v>
      </c>
      <c r="AG29" s="44">
        <f>Table114[[#This Row],[Column2]]/$D$129*0.5</f>
        <v>7.0290579003423593E-4</v>
      </c>
      <c r="AH29" s="44">
        <f>Table114[[#This Row],[Column29]]/$D$129*1.5</f>
        <v>2.108717370102708E-3</v>
      </c>
    </row>
    <row r="30" spans="3:34">
      <c r="C30" s="44" t="s">
        <v>382</v>
      </c>
      <c r="D30" s="44">
        <v>2.8403514717893347E-2</v>
      </c>
      <c r="E30" s="44">
        <f t="shared" si="6"/>
        <v>0</v>
      </c>
      <c r="F30" s="44">
        <f t="shared" si="6"/>
        <v>0</v>
      </c>
      <c r="G30" s="44">
        <f t="shared" si="6"/>
        <v>2.8403514717893347E-2</v>
      </c>
      <c r="H30" s="44">
        <f t="shared" si="6"/>
        <v>0</v>
      </c>
      <c r="I30" s="44">
        <f t="shared" si="6"/>
        <v>0</v>
      </c>
      <c r="J30" s="44">
        <f t="shared" si="6"/>
        <v>0</v>
      </c>
      <c r="K30" s="44">
        <f t="shared" si="6"/>
        <v>0</v>
      </c>
      <c r="L30" s="44">
        <f t="shared" si="6"/>
        <v>2.8403514717893347E-2</v>
      </c>
      <c r="M30" s="44">
        <f t="shared" si="6"/>
        <v>0</v>
      </c>
      <c r="N30" s="44">
        <f t="shared" si="6"/>
        <v>0</v>
      </c>
      <c r="O30" s="44">
        <f t="shared" si="6"/>
        <v>0</v>
      </c>
      <c r="P30" s="44">
        <f t="shared" si="6"/>
        <v>0</v>
      </c>
      <c r="Q30" s="44">
        <f t="shared" si="6"/>
        <v>0</v>
      </c>
      <c r="R30" s="44">
        <f t="shared" si="6"/>
        <v>2.8403514717893347E-2</v>
      </c>
      <c r="S30" s="44">
        <f t="shared" si="6"/>
        <v>0</v>
      </c>
      <c r="T30" s="44">
        <f t="shared" si="5"/>
        <v>0</v>
      </c>
      <c r="U30" s="44">
        <f t="shared" si="2"/>
        <v>0</v>
      </c>
      <c r="V30" s="44">
        <f t="shared" si="2"/>
        <v>0</v>
      </c>
      <c r="W30" s="44">
        <f t="shared" si="2"/>
        <v>0</v>
      </c>
      <c r="X30" s="44">
        <f t="shared" si="2"/>
        <v>0</v>
      </c>
      <c r="Y30" s="44">
        <f t="shared" si="2"/>
        <v>0</v>
      </c>
      <c r="Z30" s="44">
        <f t="shared" ref="Z30:AD60" si="7">((LEN($C30)-LEN(SUBSTITUTE($C30,Z$3,"")))/4)*$D30</f>
        <v>0</v>
      </c>
      <c r="AA30" s="44">
        <f t="shared" si="7"/>
        <v>0</v>
      </c>
      <c r="AB30" s="44">
        <f t="shared" si="7"/>
        <v>0</v>
      </c>
      <c r="AC30" s="44">
        <f t="shared" si="7"/>
        <v>0</v>
      </c>
      <c r="AD30" s="44">
        <f t="shared" si="7"/>
        <v>0</v>
      </c>
      <c r="AE30" s="44">
        <f t="shared" si="3"/>
        <v>2.8403514717893347E-2</v>
      </c>
      <c r="AF30" s="44">
        <f t="shared" si="4"/>
        <v>0</v>
      </c>
      <c r="AG30" s="44">
        <f>Table114[[#This Row],[Column2]]/$D$129*0.5</f>
        <v>2.3690032479627442E-2</v>
      </c>
      <c r="AH30" s="44">
        <f>Table114[[#This Row],[Column29]]/$D$129*1.5</f>
        <v>7.1070097438882318E-2</v>
      </c>
    </row>
    <row r="31" spans="3:34">
      <c r="C31" s="47" t="s">
        <v>385</v>
      </c>
      <c r="D31" s="47">
        <v>8.2015698944919494E-4</v>
      </c>
      <c r="E31" s="47">
        <f t="shared" si="6"/>
        <v>0</v>
      </c>
      <c r="F31" s="47">
        <f t="shared" si="6"/>
        <v>0</v>
      </c>
      <c r="G31" s="47">
        <f t="shared" si="6"/>
        <v>8.2015698944919494E-4</v>
      </c>
      <c r="H31" s="47">
        <f t="shared" si="6"/>
        <v>0</v>
      </c>
      <c r="I31" s="47">
        <f t="shared" si="6"/>
        <v>0</v>
      </c>
      <c r="J31" s="47">
        <f t="shared" si="6"/>
        <v>0</v>
      </c>
      <c r="K31" s="47">
        <f t="shared" si="6"/>
        <v>0</v>
      </c>
      <c r="L31" s="47">
        <f t="shared" si="6"/>
        <v>8.2015698944919494E-4</v>
      </c>
      <c r="M31" s="47">
        <f t="shared" si="6"/>
        <v>0</v>
      </c>
      <c r="N31" s="47">
        <f t="shared" si="6"/>
        <v>0</v>
      </c>
      <c r="O31" s="47">
        <f t="shared" si="6"/>
        <v>0</v>
      </c>
      <c r="P31" s="47">
        <f t="shared" si="6"/>
        <v>0</v>
      </c>
      <c r="Q31" s="47">
        <f t="shared" si="6"/>
        <v>0</v>
      </c>
      <c r="R31" s="47">
        <f t="shared" si="6"/>
        <v>0</v>
      </c>
      <c r="S31" s="47">
        <f t="shared" si="6"/>
        <v>0</v>
      </c>
      <c r="T31" s="47">
        <f t="shared" si="5"/>
        <v>0</v>
      </c>
      <c r="U31" s="47">
        <f t="shared" si="5"/>
        <v>0</v>
      </c>
      <c r="V31" s="47">
        <f t="shared" si="5"/>
        <v>0</v>
      </c>
      <c r="W31" s="47">
        <f t="shared" si="5"/>
        <v>8.2015698944919494E-4</v>
      </c>
      <c r="X31" s="47">
        <f t="shared" si="5"/>
        <v>0</v>
      </c>
      <c r="Y31" s="47">
        <f t="shared" si="5"/>
        <v>0</v>
      </c>
      <c r="Z31" s="47">
        <f t="shared" si="7"/>
        <v>0</v>
      </c>
      <c r="AA31" s="47">
        <f t="shared" si="7"/>
        <v>0</v>
      </c>
      <c r="AB31" s="47">
        <f t="shared" si="7"/>
        <v>0</v>
      </c>
      <c r="AC31" s="47">
        <f t="shared" si="7"/>
        <v>0</v>
      </c>
      <c r="AD31" s="47">
        <f t="shared" si="7"/>
        <v>0</v>
      </c>
      <c r="AE31" s="47">
        <f t="shared" si="3"/>
        <v>8.2015698944919483E-4</v>
      </c>
      <c r="AF31" s="47">
        <f t="shared" si="4"/>
        <v>0</v>
      </c>
      <c r="AG31" s="47">
        <f>Table114[[#This Row],[Column2]]/$D$129*0.5</f>
        <v>6.8405427678303737E-4</v>
      </c>
      <c r="AH31" s="47">
        <f>Table114[[#This Row],[Column29]]/$D$129*1.5</f>
        <v>2.0521628303491117E-3</v>
      </c>
    </row>
    <row r="32" spans="3:34">
      <c r="C32" s="44" t="s">
        <v>386</v>
      </c>
      <c r="D32" s="44">
        <v>1.5843525161359398E-3</v>
      </c>
      <c r="E32" s="44">
        <f t="shared" si="6"/>
        <v>0</v>
      </c>
      <c r="F32" s="44">
        <f t="shared" si="6"/>
        <v>0</v>
      </c>
      <c r="G32" s="44">
        <f t="shared" si="6"/>
        <v>1.5843525161359398E-3</v>
      </c>
      <c r="H32" s="44">
        <f t="shared" si="6"/>
        <v>0</v>
      </c>
      <c r="I32" s="44">
        <f t="shared" si="6"/>
        <v>0</v>
      </c>
      <c r="J32" s="44">
        <f t="shared" si="6"/>
        <v>0</v>
      </c>
      <c r="K32" s="44">
        <f t="shared" si="6"/>
        <v>0</v>
      </c>
      <c r="L32" s="44">
        <f t="shared" si="6"/>
        <v>1.5843525161359398E-3</v>
      </c>
      <c r="M32" s="44">
        <f t="shared" si="6"/>
        <v>0</v>
      </c>
      <c r="N32" s="44">
        <f t="shared" si="6"/>
        <v>0</v>
      </c>
      <c r="O32" s="44">
        <f t="shared" si="6"/>
        <v>0</v>
      </c>
      <c r="P32" s="44">
        <f t="shared" si="6"/>
        <v>0</v>
      </c>
      <c r="Q32" s="44">
        <f t="shared" si="6"/>
        <v>0</v>
      </c>
      <c r="R32" s="44">
        <f t="shared" si="6"/>
        <v>0</v>
      </c>
      <c r="S32" s="44">
        <f t="shared" si="6"/>
        <v>0</v>
      </c>
      <c r="T32" s="44">
        <f t="shared" si="5"/>
        <v>0</v>
      </c>
      <c r="U32" s="44">
        <f t="shared" si="5"/>
        <v>0</v>
      </c>
      <c r="V32" s="44">
        <f t="shared" si="5"/>
        <v>0</v>
      </c>
      <c r="W32" s="44">
        <f t="shared" si="5"/>
        <v>0</v>
      </c>
      <c r="X32" s="44">
        <f t="shared" si="5"/>
        <v>1.5843525161359398E-3</v>
      </c>
      <c r="Y32" s="44">
        <f t="shared" si="5"/>
        <v>0</v>
      </c>
      <c r="Z32" s="44">
        <f t="shared" si="7"/>
        <v>0</v>
      </c>
      <c r="AA32" s="44">
        <f t="shared" si="7"/>
        <v>0</v>
      </c>
      <c r="AB32" s="44">
        <f t="shared" si="7"/>
        <v>0</v>
      </c>
      <c r="AC32" s="44">
        <f t="shared" si="7"/>
        <v>0</v>
      </c>
      <c r="AD32" s="44">
        <f t="shared" si="7"/>
        <v>0</v>
      </c>
      <c r="AE32" s="44">
        <f t="shared" si="3"/>
        <v>1.5843525161359396E-3</v>
      </c>
      <c r="AF32" s="44">
        <f t="shared" si="4"/>
        <v>0</v>
      </c>
      <c r="AG32" s="44">
        <f>Table114[[#This Row],[Column2]]/$D$129*0.5</f>
        <v>1.3214337359029377E-3</v>
      </c>
      <c r="AH32" s="44">
        <f>Table114[[#This Row],[Column29]]/$D$129*1.5</f>
        <v>3.9643012077088119E-3</v>
      </c>
    </row>
    <row r="33" spans="3:34">
      <c r="C33" s="47" t="s">
        <v>668</v>
      </c>
      <c r="D33" s="47">
        <f>0.000944999607682502/2</f>
        <v>4.7249980384125103E-4</v>
      </c>
      <c r="E33" s="47">
        <f t="shared" si="6"/>
        <v>0</v>
      </c>
      <c r="F33" s="47">
        <f t="shared" si="6"/>
        <v>0</v>
      </c>
      <c r="G33" s="47">
        <f t="shared" si="6"/>
        <v>4.7249980384125103E-4</v>
      </c>
      <c r="H33" s="47">
        <f t="shared" si="6"/>
        <v>0</v>
      </c>
      <c r="I33" s="47">
        <f t="shared" si="6"/>
        <v>0</v>
      </c>
      <c r="J33" s="47">
        <f t="shared" si="6"/>
        <v>0</v>
      </c>
      <c r="K33" s="47">
        <f t="shared" si="6"/>
        <v>0</v>
      </c>
      <c r="L33" s="47">
        <f t="shared" si="6"/>
        <v>4.7249980384125103E-4</v>
      </c>
      <c r="M33" s="47">
        <f t="shared" si="6"/>
        <v>0</v>
      </c>
      <c r="N33" s="47">
        <f t="shared" si="6"/>
        <v>0</v>
      </c>
      <c r="O33" s="47">
        <f t="shared" si="6"/>
        <v>0</v>
      </c>
      <c r="P33" s="47">
        <f t="shared" si="6"/>
        <v>0</v>
      </c>
      <c r="Q33" s="47">
        <f t="shared" si="6"/>
        <v>0</v>
      </c>
      <c r="R33" s="47">
        <f t="shared" si="6"/>
        <v>0</v>
      </c>
      <c r="S33" s="47">
        <f t="shared" si="6"/>
        <v>0</v>
      </c>
      <c r="T33" s="47">
        <f t="shared" si="5"/>
        <v>0</v>
      </c>
      <c r="U33" s="47">
        <f t="shared" si="5"/>
        <v>0</v>
      </c>
      <c r="V33" s="47">
        <f t="shared" si="5"/>
        <v>0</v>
      </c>
      <c r="W33" s="47">
        <f t="shared" si="5"/>
        <v>0</v>
      </c>
      <c r="X33" s="47">
        <f t="shared" si="5"/>
        <v>0</v>
      </c>
      <c r="Y33" s="47">
        <f t="shared" si="5"/>
        <v>4.7249980384125103E-4</v>
      </c>
      <c r="Z33" s="47">
        <f t="shared" si="7"/>
        <v>0</v>
      </c>
      <c r="AA33" s="47">
        <f t="shared" si="7"/>
        <v>0</v>
      </c>
      <c r="AB33" s="47">
        <f t="shared" si="7"/>
        <v>0</v>
      </c>
      <c r="AC33" s="47">
        <f t="shared" si="7"/>
        <v>0</v>
      </c>
      <c r="AD33" s="47">
        <f t="shared" si="7"/>
        <v>0</v>
      </c>
      <c r="AE33" s="47">
        <f t="shared" si="3"/>
        <v>4.7249980384125103E-4</v>
      </c>
      <c r="AF33" s="47">
        <f t="shared" si="4"/>
        <v>0</v>
      </c>
      <c r="AG33" s="47">
        <f>Table114[[#This Row],[Column2]]/$D$129*0.5</f>
        <v>3.940898093349429E-4</v>
      </c>
      <c r="AH33" s="47">
        <f>Table114[[#This Row],[Column29]]/$D$129*1.5</f>
        <v>1.1822694280048287E-3</v>
      </c>
    </row>
    <row r="34" spans="3:34">
      <c r="C34" s="44" t="s">
        <v>389</v>
      </c>
      <c r="D34" s="44">
        <v>4.0649764863025061E-4</v>
      </c>
      <c r="E34" s="44">
        <f t="shared" si="6"/>
        <v>0</v>
      </c>
      <c r="F34" s="44">
        <f t="shared" si="6"/>
        <v>0</v>
      </c>
      <c r="G34" s="44">
        <f t="shared" si="6"/>
        <v>4.0649764863025061E-4</v>
      </c>
      <c r="H34" s="44">
        <f t="shared" si="6"/>
        <v>0</v>
      </c>
      <c r="I34" s="44">
        <f t="shared" si="6"/>
        <v>0</v>
      </c>
      <c r="J34" s="44">
        <f t="shared" si="6"/>
        <v>0</v>
      </c>
      <c r="K34" s="44">
        <f t="shared" si="6"/>
        <v>0</v>
      </c>
      <c r="L34" s="44">
        <f t="shared" si="6"/>
        <v>4.0649764863025061E-4</v>
      </c>
      <c r="M34" s="44">
        <f t="shared" si="6"/>
        <v>0</v>
      </c>
      <c r="N34" s="44">
        <f t="shared" si="6"/>
        <v>0</v>
      </c>
      <c r="O34" s="44">
        <f t="shared" si="6"/>
        <v>0</v>
      </c>
      <c r="P34" s="44">
        <f t="shared" si="6"/>
        <v>0</v>
      </c>
      <c r="Q34" s="44">
        <f t="shared" si="6"/>
        <v>0</v>
      </c>
      <c r="R34" s="44">
        <f t="shared" si="6"/>
        <v>0</v>
      </c>
      <c r="S34" s="44">
        <f t="shared" si="6"/>
        <v>0</v>
      </c>
      <c r="T34" s="44">
        <f t="shared" si="5"/>
        <v>0</v>
      </c>
      <c r="U34" s="44">
        <f t="shared" si="5"/>
        <v>0</v>
      </c>
      <c r="V34" s="44">
        <f t="shared" si="5"/>
        <v>0</v>
      </c>
      <c r="W34" s="44">
        <f t="shared" si="5"/>
        <v>0</v>
      </c>
      <c r="X34" s="44">
        <f t="shared" si="5"/>
        <v>0</v>
      </c>
      <c r="Y34" s="44">
        <f t="shared" si="5"/>
        <v>0</v>
      </c>
      <c r="Z34" s="44">
        <f t="shared" si="7"/>
        <v>0</v>
      </c>
      <c r="AA34" s="44">
        <f t="shared" si="7"/>
        <v>0</v>
      </c>
      <c r="AB34" s="44">
        <f t="shared" si="7"/>
        <v>0</v>
      </c>
      <c r="AC34" s="44">
        <f t="shared" si="7"/>
        <v>0</v>
      </c>
      <c r="AD34" s="44">
        <f t="shared" si="7"/>
        <v>4.0649764863025061E-4</v>
      </c>
      <c r="AE34" s="44">
        <f t="shared" si="3"/>
        <v>4.0649764863025061E-4</v>
      </c>
      <c r="AF34" s="44">
        <f t="shared" si="4"/>
        <v>0</v>
      </c>
      <c r="AG34" s="44">
        <f>Table114[[#This Row],[Column2]]/$D$129*0.5</f>
        <v>3.3904052349113865E-4</v>
      </c>
      <c r="AH34" s="44">
        <f>Table114[[#This Row],[Column29]]/$D$129*1.5</f>
        <v>1.0171215704734161E-3</v>
      </c>
    </row>
    <row r="35" spans="3:34">
      <c r="C35" s="47" t="s">
        <v>672</v>
      </c>
      <c r="D35" s="47">
        <f>0.00244821015132054/2</f>
        <v>1.22410507566027E-3</v>
      </c>
      <c r="E35" s="47">
        <f t="shared" si="6"/>
        <v>0</v>
      </c>
      <c r="F35" s="47">
        <f t="shared" si="6"/>
        <v>0</v>
      </c>
      <c r="G35" s="47">
        <f t="shared" si="6"/>
        <v>1.22410507566027E-3</v>
      </c>
      <c r="H35" s="47">
        <f t="shared" si="6"/>
        <v>0</v>
      </c>
      <c r="I35" s="47">
        <f t="shared" si="6"/>
        <v>0</v>
      </c>
      <c r="J35" s="47">
        <f t="shared" si="6"/>
        <v>0</v>
      </c>
      <c r="K35" s="47">
        <f t="shared" si="6"/>
        <v>0</v>
      </c>
      <c r="L35" s="47">
        <f t="shared" si="6"/>
        <v>0</v>
      </c>
      <c r="M35" s="47">
        <f t="shared" si="6"/>
        <v>0</v>
      </c>
      <c r="N35" s="47">
        <f t="shared" si="6"/>
        <v>0</v>
      </c>
      <c r="O35" s="47">
        <f t="shared" si="6"/>
        <v>1.22410507566027E-3</v>
      </c>
      <c r="P35" s="47">
        <f t="shared" si="6"/>
        <v>0</v>
      </c>
      <c r="Q35" s="47">
        <f t="shared" si="6"/>
        <v>0</v>
      </c>
      <c r="R35" s="47">
        <f t="shared" si="6"/>
        <v>1.22410507566027E-3</v>
      </c>
      <c r="S35" s="47">
        <f t="shared" si="6"/>
        <v>0</v>
      </c>
      <c r="T35" s="47">
        <f t="shared" si="5"/>
        <v>0</v>
      </c>
      <c r="U35" s="47">
        <f t="shared" si="5"/>
        <v>0</v>
      </c>
      <c r="V35" s="47">
        <f t="shared" si="5"/>
        <v>0</v>
      </c>
      <c r="W35" s="47">
        <f t="shared" si="5"/>
        <v>0</v>
      </c>
      <c r="X35" s="47">
        <f t="shared" si="5"/>
        <v>0</v>
      </c>
      <c r="Y35" s="47">
        <f t="shared" si="5"/>
        <v>0</v>
      </c>
      <c r="Z35" s="47">
        <f t="shared" si="7"/>
        <v>0</v>
      </c>
      <c r="AA35" s="47">
        <f t="shared" si="7"/>
        <v>0</v>
      </c>
      <c r="AB35" s="47">
        <f t="shared" si="7"/>
        <v>0</v>
      </c>
      <c r="AC35" s="47">
        <f t="shared" si="7"/>
        <v>0</v>
      </c>
      <c r="AD35" s="47">
        <f t="shared" si="7"/>
        <v>0</v>
      </c>
      <c r="AE35" s="47">
        <f t="shared" si="3"/>
        <v>1.22410507566027E-3</v>
      </c>
      <c r="AF35" s="47">
        <f t="shared" si="4"/>
        <v>0</v>
      </c>
      <c r="AG35" s="47">
        <f>Table114[[#This Row],[Column2]]/$D$129*0.5</f>
        <v>1.0209683304651049E-3</v>
      </c>
      <c r="AH35" s="47">
        <f>Table114[[#This Row],[Column29]]/$D$129*1.5</f>
        <v>3.0629049913953148E-3</v>
      </c>
    </row>
    <row r="36" spans="3:34">
      <c r="C36" s="44" t="s">
        <v>391</v>
      </c>
      <c r="D36" s="44">
        <v>2.1021285379941097E-3</v>
      </c>
      <c r="E36" s="44">
        <f t="shared" si="6"/>
        <v>0</v>
      </c>
      <c r="F36" s="44">
        <f t="shared" si="6"/>
        <v>0</v>
      </c>
      <c r="G36" s="44">
        <f t="shared" si="6"/>
        <v>2.1021285379941097E-3</v>
      </c>
      <c r="H36" s="44">
        <f t="shared" si="6"/>
        <v>0</v>
      </c>
      <c r="I36" s="44">
        <f t="shared" si="6"/>
        <v>0</v>
      </c>
      <c r="J36" s="44">
        <f t="shared" si="6"/>
        <v>0</v>
      </c>
      <c r="K36" s="44">
        <f t="shared" si="6"/>
        <v>0</v>
      </c>
      <c r="L36" s="44">
        <f t="shared" si="6"/>
        <v>0</v>
      </c>
      <c r="M36" s="44">
        <f t="shared" si="6"/>
        <v>0</v>
      </c>
      <c r="N36" s="44">
        <f t="shared" si="6"/>
        <v>0</v>
      </c>
      <c r="O36" s="44">
        <f t="shared" si="6"/>
        <v>0</v>
      </c>
      <c r="P36" s="44">
        <f t="shared" si="6"/>
        <v>0</v>
      </c>
      <c r="Q36" s="44">
        <f t="shared" si="6"/>
        <v>0</v>
      </c>
      <c r="R36" s="44">
        <f t="shared" si="6"/>
        <v>4.2042570759882195E-3</v>
      </c>
      <c r="S36" s="44">
        <f t="shared" si="6"/>
        <v>0</v>
      </c>
      <c r="T36" s="44">
        <f t="shared" si="5"/>
        <v>0</v>
      </c>
      <c r="U36" s="44">
        <f t="shared" si="5"/>
        <v>0</v>
      </c>
      <c r="V36" s="44">
        <f t="shared" si="5"/>
        <v>0</v>
      </c>
      <c r="W36" s="44">
        <f t="shared" si="5"/>
        <v>0</v>
      </c>
      <c r="X36" s="44">
        <f t="shared" si="5"/>
        <v>0</v>
      </c>
      <c r="Y36" s="44">
        <f t="shared" si="5"/>
        <v>0</v>
      </c>
      <c r="Z36" s="44">
        <f t="shared" si="7"/>
        <v>0</v>
      </c>
      <c r="AA36" s="44">
        <f t="shared" si="7"/>
        <v>0</v>
      </c>
      <c r="AB36" s="44">
        <f t="shared" si="7"/>
        <v>0</v>
      </c>
      <c r="AC36" s="44">
        <f t="shared" si="7"/>
        <v>0</v>
      </c>
      <c r="AD36" s="44">
        <f t="shared" si="7"/>
        <v>0</v>
      </c>
      <c r="AE36" s="44">
        <f t="shared" si="3"/>
        <v>2.1021285379941097E-3</v>
      </c>
      <c r="AF36" s="44">
        <f t="shared" si="4"/>
        <v>0</v>
      </c>
      <c r="AG36" s="44">
        <f>Table114[[#This Row],[Column2]]/$D$129*0.5</f>
        <v>1.7532863040382834E-3</v>
      </c>
      <c r="AH36" s="44">
        <f>Table114[[#This Row],[Column29]]/$D$129*1.5</f>
        <v>5.2598589121148499E-3</v>
      </c>
    </row>
    <row r="37" spans="3:34">
      <c r="C37" s="44" t="s">
        <v>392</v>
      </c>
      <c r="D37" s="44">
        <v>5.0505255951573957E-3</v>
      </c>
      <c r="E37" s="44">
        <f t="shared" si="6"/>
        <v>0</v>
      </c>
      <c r="F37" s="44">
        <f t="shared" si="6"/>
        <v>0</v>
      </c>
      <c r="G37" s="44">
        <f t="shared" si="6"/>
        <v>5.0505255951573957E-3</v>
      </c>
      <c r="H37" s="44">
        <f t="shared" si="6"/>
        <v>0</v>
      </c>
      <c r="I37" s="44">
        <f t="shared" si="6"/>
        <v>0</v>
      </c>
      <c r="J37" s="44">
        <f t="shared" si="6"/>
        <v>0</v>
      </c>
      <c r="K37" s="44">
        <f t="shared" si="6"/>
        <v>0</v>
      </c>
      <c r="L37" s="44">
        <f t="shared" si="6"/>
        <v>0</v>
      </c>
      <c r="M37" s="44">
        <f t="shared" si="6"/>
        <v>0</v>
      </c>
      <c r="N37" s="44">
        <f t="shared" si="6"/>
        <v>0</v>
      </c>
      <c r="O37" s="44">
        <f t="shared" si="6"/>
        <v>0</v>
      </c>
      <c r="P37" s="44">
        <f t="shared" si="6"/>
        <v>0</v>
      </c>
      <c r="Q37" s="44">
        <f t="shared" si="6"/>
        <v>0</v>
      </c>
      <c r="R37" s="44">
        <f t="shared" si="6"/>
        <v>5.0505255951573957E-3</v>
      </c>
      <c r="S37" s="44">
        <f t="shared" si="6"/>
        <v>5.0505255951573957E-3</v>
      </c>
      <c r="T37" s="44">
        <f t="shared" si="5"/>
        <v>0</v>
      </c>
      <c r="U37" s="44">
        <f t="shared" si="5"/>
        <v>0</v>
      </c>
      <c r="V37" s="44">
        <f t="shared" si="5"/>
        <v>0</v>
      </c>
      <c r="W37" s="44">
        <f t="shared" si="5"/>
        <v>0</v>
      </c>
      <c r="X37" s="44">
        <f t="shared" si="5"/>
        <v>0</v>
      </c>
      <c r="Y37" s="44">
        <f t="shared" si="5"/>
        <v>0</v>
      </c>
      <c r="Z37" s="44">
        <f t="shared" si="7"/>
        <v>0</v>
      </c>
      <c r="AA37" s="44">
        <f t="shared" si="7"/>
        <v>0</v>
      </c>
      <c r="AB37" s="44">
        <f t="shared" si="7"/>
        <v>0</v>
      </c>
      <c r="AC37" s="44">
        <f t="shared" si="7"/>
        <v>0</v>
      </c>
      <c r="AD37" s="44">
        <f t="shared" si="7"/>
        <v>0</v>
      </c>
      <c r="AE37" s="44">
        <f t="shared" si="3"/>
        <v>5.0505255951573957E-3</v>
      </c>
      <c r="AF37" s="44">
        <f t="shared" si="4"/>
        <v>0</v>
      </c>
      <c r="AG37" s="44">
        <f>Table114[[#This Row],[Column2]]/$D$129*0.5</f>
        <v>4.2124052807131791E-3</v>
      </c>
      <c r="AH37" s="44">
        <f>Table114[[#This Row],[Column29]]/$D$129*1.5</f>
        <v>1.2637215842139537E-2</v>
      </c>
    </row>
    <row r="38" spans="3:34">
      <c r="C38" s="44" t="s">
        <v>394</v>
      </c>
      <c r="D38" s="44">
        <v>3.5851431096600326E-3</v>
      </c>
      <c r="E38" s="44">
        <f t="shared" ref="E38:T54" si="8">((LEN($C38)-LEN(SUBSTITUTE($C38,E$3,"")))/4)*$D38</f>
        <v>0</v>
      </c>
      <c r="F38" s="44">
        <f t="shared" si="8"/>
        <v>0</v>
      </c>
      <c r="G38" s="44">
        <f t="shared" si="8"/>
        <v>3.5851431096600326E-3</v>
      </c>
      <c r="H38" s="44">
        <f t="shared" si="8"/>
        <v>0</v>
      </c>
      <c r="I38" s="44">
        <f t="shared" si="8"/>
        <v>0</v>
      </c>
      <c r="J38" s="44">
        <f t="shared" si="8"/>
        <v>0</v>
      </c>
      <c r="K38" s="44">
        <f t="shared" si="8"/>
        <v>0</v>
      </c>
      <c r="L38" s="44">
        <f t="shared" si="8"/>
        <v>0</v>
      </c>
      <c r="M38" s="44">
        <f t="shared" si="8"/>
        <v>0</v>
      </c>
      <c r="N38" s="44">
        <f t="shared" si="8"/>
        <v>0</v>
      </c>
      <c r="O38" s="44">
        <f t="shared" si="8"/>
        <v>0</v>
      </c>
      <c r="P38" s="44">
        <f t="shared" si="8"/>
        <v>0</v>
      </c>
      <c r="Q38" s="44">
        <f t="shared" si="8"/>
        <v>0</v>
      </c>
      <c r="R38" s="44">
        <f t="shared" si="8"/>
        <v>3.5851431096600326E-3</v>
      </c>
      <c r="S38" s="44">
        <f t="shared" si="8"/>
        <v>0</v>
      </c>
      <c r="T38" s="44">
        <f t="shared" si="5"/>
        <v>0</v>
      </c>
      <c r="U38" s="44">
        <f t="shared" si="5"/>
        <v>0</v>
      </c>
      <c r="V38" s="44">
        <f t="shared" si="5"/>
        <v>0</v>
      </c>
      <c r="W38" s="44">
        <f t="shared" si="5"/>
        <v>0</v>
      </c>
      <c r="X38" s="44">
        <f t="shared" si="5"/>
        <v>0</v>
      </c>
      <c r="Y38" s="44">
        <f t="shared" si="5"/>
        <v>0</v>
      </c>
      <c r="Z38" s="44">
        <f t="shared" si="7"/>
        <v>3.5851431096600326E-3</v>
      </c>
      <c r="AA38" s="44">
        <f t="shared" si="7"/>
        <v>0</v>
      </c>
      <c r="AB38" s="44">
        <f t="shared" si="7"/>
        <v>0</v>
      </c>
      <c r="AC38" s="44">
        <f t="shared" si="7"/>
        <v>0</v>
      </c>
      <c r="AD38" s="44">
        <f t="shared" si="7"/>
        <v>0</v>
      </c>
      <c r="AE38" s="44">
        <f t="shared" si="3"/>
        <v>3.5851431096600322E-3</v>
      </c>
      <c r="AF38" s="44">
        <f t="shared" si="4"/>
        <v>0</v>
      </c>
      <c r="AG38" s="44">
        <f>Table114[[#This Row],[Column2]]/$D$129*0.5</f>
        <v>2.9901988382604648E-3</v>
      </c>
      <c r="AH38" s="44">
        <f>Table114[[#This Row],[Column29]]/$D$129*1.5</f>
        <v>8.9705965147813954E-3</v>
      </c>
    </row>
    <row r="39" spans="3:34">
      <c r="C39" s="44" t="s">
        <v>395</v>
      </c>
      <c r="D39" s="44">
        <v>5.8415344973986039E-3</v>
      </c>
      <c r="E39" s="44">
        <f t="shared" si="8"/>
        <v>0</v>
      </c>
      <c r="F39" s="44">
        <f t="shared" si="8"/>
        <v>0</v>
      </c>
      <c r="G39" s="44">
        <f t="shared" si="8"/>
        <v>5.8415344973986039E-3</v>
      </c>
      <c r="H39" s="44">
        <f t="shared" si="8"/>
        <v>0</v>
      </c>
      <c r="I39" s="44">
        <f t="shared" si="8"/>
        <v>0</v>
      </c>
      <c r="J39" s="44">
        <f t="shared" si="8"/>
        <v>0</v>
      </c>
      <c r="K39" s="44">
        <f t="shared" si="8"/>
        <v>0</v>
      </c>
      <c r="L39" s="44">
        <f t="shared" si="8"/>
        <v>0</v>
      </c>
      <c r="M39" s="44">
        <f t="shared" si="8"/>
        <v>0</v>
      </c>
      <c r="N39" s="44">
        <f t="shared" si="8"/>
        <v>0</v>
      </c>
      <c r="O39" s="44">
        <f t="shared" si="8"/>
        <v>0</v>
      </c>
      <c r="P39" s="44">
        <f t="shared" si="8"/>
        <v>0</v>
      </c>
      <c r="Q39" s="44">
        <f t="shared" si="8"/>
        <v>0</v>
      </c>
      <c r="R39" s="44">
        <f t="shared" si="8"/>
        <v>5.8415344973986039E-3</v>
      </c>
      <c r="S39" s="44">
        <f t="shared" si="8"/>
        <v>0</v>
      </c>
      <c r="T39" s="44">
        <f t="shared" si="5"/>
        <v>0</v>
      </c>
      <c r="U39" s="44">
        <f t="shared" si="5"/>
        <v>0</v>
      </c>
      <c r="V39" s="44">
        <f t="shared" si="5"/>
        <v>0</v>
      </c>
      <c r="W39" s="44">
        <f t="shared" si="5"/>
        <v>0</v>
      </c>
      <c r="X39" s="44">
        <f t="shared" si="5"/>
        <v>0</v>
      </c>
      <c r="Y39" s="44">
        <f t="shared" si="5"/>
        <v>0</v>
      </c>
      <c r="Z39" s="44">
        <f t="shared" si="7"/>
        <v>0</v>
      </c>
      <c r="AA39" s="44">
        <f t="shared" si="7"/>
        <v>5.8415344973986039E-3</v>
      </c>
      <c r="AB39" s="44">
        <f t="shared" si="7"/>
        <v>0</v>
      </c>
      <c r="AC39" s="44">
        <f t="shared" si="7"/>
        <v>0</v>
      </c>
      <c r="AD39" s="44">
        <f t="shared" si="7"/>
        <v>0</v>
      </c>
      <c r="AE39" s="44">
        <f t="shared" si="3"/>
        <v>5.8415344973986039E-3</v>
      </c>
      <c r="AF39" s="44">
        <f t="shared" si="4"/>
        <v>0</v>
      </c>
      <c r="AG39" s="44">
        <f>Table114[[#This Row],[Column2]]/$D$129*0.5</f>
        <v>4.8721485122071194E-3</v>
      </c>
      <c r="AH39" s="44">
        <f>Table114[[#This Row],[Column29]]/$D$129*1.5</f>
        <v>1.4616445536621357E-2</v>
      </c>
    </row>
    <row r="40" spans="3:34">
      <c r="C40" s="44" t="s">
        <v>396</v>
      </c>
      <c r="D40" s="44">
        <v>2.9576642868554513E-3</v>
      </c>
      <c r="E40" s="44">
        <f t="shared" si="8"/>
        <v>0</v>
      </c>
      <c r="F40" s="44">
        <f t="shared" si="8"/>
        <v>0</v>
      </c>
      <c r="G40" s="44">
        <f t="shared" si="8"/>
        <v>2.9576642868554513E-3</v>
      </c>
      <c r="H40" s="44">
        <f t="shared" si="8"/>
        <v>0</v>
      </c>
      <c r="I40" s="44">
        <f t="shared" si="8"/>
        <v>0</v>
      </c>
      <c r="J40" s="44">
        <f t="shared" si="8"/>
        <v>0</v>
      </c>
      <c r="K40" s="44">
        <f t="shared" si="8"/>
        <v>0</v>
      </c>
      <c r="L40" s="44">
        <f t="shared" si="8"/>
        <v>0</v>
      </c>
      <c r="M40" s="44">
        <f t="shared" si="8"/>
        <v>0</v>
      </c>
      <c r="N40" s="44">
        <f t="shared" si="8"/>
        <v>0</v>
      </c>
      <c r="O40" s="44">
        <f t="shared" si="8"/>
        <v>0</v>
      </c>
      <c r="P40" s="44">
        <f t="shared" si="8"/>
        <v>0</v>
      </c>
      <c r="Q40" s="44">
        <f t="shared" si="8"/>
        <v>0</v>
      </c>
      <c r="R40" s="44">
        <f t="shared" si="8"/>
        <v>2.9576642868554513E-3</v>
      </c>
      <c r="S40" s="44">
        <f t="shared" si="8"/>
        <v>0</v>
      </c>
      <c r="T40" s="44">
        <f t="shared" si="5"/>
        <v>0</v>
      </c>
      <c r="U40" s="44">
        <f t="shared" si="5"/>
        <v>0</v>
      </c>
      <c r="V40" s="44">
        <f t="shared" si="5"/>
        <v>0</v>
      </c>
      <c r="W40" s="44">
        <f t="shared" si="5"/>
        <v>0</v>
      </c>
      <c r="X40" s="44">
        <f t="shared" si="5"/>
        <v>0</v>
      </c>
      <c r="Y40" s="44">
        <f t="shared" si="5"/>
        <v>0</v>
      </c>
      <c r="Z40" s="44">
        <f t="shared" si="7"/>
        <v>0</v>
      </c>
      <c r="AA40" s="44">
        <f t="shared" si="7"/>
        <v>0</v>
      </c>
      <c r="AB40" s="44">
        <f t="shared" si="7"/>
        <v>0</v>
      </c>
      <c r="AC40" s="44">
        <f t="shared" si="7"/>
        <v>2.9576642868554513E-3</v>
      </c>
      <c r="AD40" s="44">
        <f t="shared" si="7"/>
        <v>0</v>
      </c>
      <c r="AE40" s="44">
        <f t="shared" si="3"/>
        <v>2.9576642868554513E-3</v>
      </c>
      <c r="AF40" s="44">
        <f t="shared" si="4"/>
        <v>0</v>
      </c>
      <c r="AG40" s="44">
        <f>Table114[[#This Row],[Column2]]/$D$129*0.5</f>
        <v>2.4668483360370756E-3</v>
      </c>
      <c r="AH40" s="44">
        <f>Table114[[#This Row],[Column29]]/$D$129*1.5</f>
        <v>7.4005450081112267E-3</v>
      </c>
    </row>
    <row r="41" spans="3:34">
      <c r="C41" s="44" t="s">
        <v>653</v>
      </c>
      <c r="D41" s="44">
        <f>0.000944999607682502/2</f>
        <v>4.7249980384125103E-4</v>
      </c>
      <c r="E41" s="44">
        <f t="shared" si="8"/>
        <v>0</v>
      </c>
      <c r="F41" s="44">
        <f t="shared" si="8"/>
        <v>0</v>
      </c>
      <c r="G41" s="44">
        <f t="shared" si="8"/>
        <v>4.7249980384125103E-4</v>
      </c>
      <c r="H41" s="44">
        <f t="shared" si="8"/>
        <v>0</v>
      </c>
      <c r="I41" s="44">
        <f t="shared" si="8"/>
        <v>0</v>
      </c>
      <c r="J41" s="44">
        <f t="shared" si="8"/>
        <v>0</v>
      </c>
      <c r="K41" s="44">
        <f t="shared" si="8"/>
        <v>0</v>
      </c>
      <c r="L41" s="44">
        <f t="shared" si="8"/>
        <v>0</v>
      </c>
      <c r="M41" s="44">
        <f t="shared" si="8"/>
        <v>0</v>
      </c>
      <c r="N41" s="44">
        <f t="shared" si="8"/>
        <v>0</v>
      </c>
      <c r="O41" s="44">
        <f t="shared" si="8"/>
        <v>0</v>
      </c>
      <c r="P41" s="44">
        <f t="shared" si="8"/>
        <v>0</v>
      </c>
      <c r="Q41" s="44">
        <f t="shared" si="8"/>
        <v>0</v>
      </c>
      <c r="R41" s="44">
        <f t="shared" si="8"/>
        <v>0</v>
      </c>
      <c r="S41" s="44">
        <f t="shared" si="8"/>
        <v>9.4499960768250205E-4</v>
      </c>
      <c r="T41" s="44">
        <f t="shared" si="5"/>
        <v>0</v>
      </c>
      <c r="U41" s="44">
        <f t="shared" si="5"/>
        <v>0</v>
      </c>
      <c r="V41" s="44">
        <f t="shared" si="5"/>
        <v>0</v>
      </c>
      <c r="W41" s="44">
        <f t="shared" si="5"/>
        <v>0</v>
      </c>
      <c r="X41" s="44">
        <f t="shared" si="5"/>
        <v>0</v>
      </c>
      <c r="Y41" s="44">
        <f t="shared" si="5"/>
        <v>0</v>
      </c>
      <c r="Z41" s="44">
        <f t="shared" si="7"/>
        <v>0</v>
      </c>
      <c r="AA41" s="44">
        <f t="shared" si="7"/>
        <v>0</v>
      </c>
      <c r="AB41" s="44">
        <f t="shared" si="7"/>
        <v>0</v>
      </c>
      <c r="AC41" s="44">
        <f t="shared" si="7"/>
        <v>0</v>
      </c>
      <c r="AD41" s="44">
        <f t="shared" si="7"/>
        <v>0</v>
      </c>
      <c r="AE41" s="44">
        <f t="shared" si="3"/>
        <v>4.7249980384125103E-4</v>
      </c>
      <c r="AF41" s="44">
        <f t="shared" si="4"/>
        <v>0</v>
      </c>
      <c r="AG41" s="44">
        <f>Table114[[#This Row],[Column2]]/$D$129*0.5</f>
        <v>3.940898093349429E-4</v>
      </c>
      <c r="AH41" s="44">
        <f>Table114[[#This Row],[Column29]]/$D$129*1.5</f>
        <v>1.1822694280048287E-3</v>
      </c>
    </row>
    <row r="42" spans="3:34">
      <c r="C42" s="44" t="s">
        <v>667</v>
      </c>
      <c r="D42" s="44">
        <f>0.00088498462714125/2</f>
        <v>4.4249231357062498E-4</v>
      </c>
      <c r="E42" s="44">
        <f t="shared" si="8"/>
        <v>0</v>
      </c>
      <c r="F42" s="44">
        <f t="shared" si="8"/>
        <v>0</v>
      </c>
      <c r="G42" s="44">
        <f t="shared" si="8"/>
        <v>4.4249231357062498E-4</v>
      </c>
      <c r="H42" s="44">
        <f t="shared" si="8"/>
        <v>0</v>
      </c>
      <c r="I42" s="44">
        <f t="shared" si="8"/>
        <v>0</v>
      </c>
      <c r="J42" s="44">
        <f t="shared" si="8"/>
        <v>0</v>
      </c>
      <c r="K42" s="44">
        <f t="shared" si="8"/>
        <v>0</v>
      </c>
      <c r="L42" s="44">
        <f t="shared" si="8"/>
        <v>0</v>
      </c>
      <c r="M42" s="44">
        <f t="shared" si="8"/>
        <v>0</v>
      </c>
      <c r="N42" s="44">
        <f t="shared" si="8"/>
        <v>0</v>
      </c>
      <c r="O42" s="44">
        <f t="shared" si="8"/>
        <v>0</v>
      </c>
      <c r="P42" s="44">
        <f t="shared" si="8"/>
        <v>0</v>
      </c>
      <c r="Q42" s="44">
        <f t="shared" si="8"/>
        <v>0</v>
      </c>
      <c r="R42" s="44">
        <f t="shared" si="8"/>
        <v>0</v>
      </c>
      <c r="S42" s="44">
        <f t="shared" si="8"/>
        <v>4.4249231357062498E-4</v>
      </c>
      <c r="T42" s="44">
        <f t="shared" si="5"/>
        <v>4.4249231357062498E-4</v>
      </c>
      <c r="U42" s="44">
        <f t="shared" si="5"/>
        <v>0</v>
      </c>
      <c r="V42" s="44">
        <f t="shared" si="5"/>
        <v>0</v>
      </c>
      <c r="W42" s="44">
        <f t="shared" si="5"/>
        <v>0</v>
      </c>
      <c r="X42" s="44">
        <f t="shared" si="5"/>
        <v>0</v>
      </c>
      <c r="Y42" s="44">
        <f t="shared" si="5"/>
        <v>0</v>
      </c>
      <c r="Z42" s="44">
        <f t="shared" si="7"/>
        <v>0</v>
      </c>
      <c r="AA42" s="44">
        <f t="shared" si="7"/>
        <v>0</v>
      </c>
      <c r="AB42" s="44">
        <f t="shared" si="7"/>
        <v>0</v>
      </c>
      <c r="AC42" s="44">
        <f t="shared" si="7"/>
        <v>0</v>
      </c>
      <c r="AD42" s="44">
        <f t="shared" si="7"/>
        <v>0</v>
      </c>
      <c r="AE42" s="44">
        <f t="shared" si="3"/>
        <v>4.4249231357062498E-4</v>
      </c>
      <c r="AF42" s="44">
        <f t="shared" si="4"/>
        <v>0</v>
      </c>
      <c r="AG42" s="44">
        <f>Table114[[#This Row],[Column2]]/$D$129*0.5</f>
        <v>3.6906197646975863E-4</v>
      </c>
      <c r="AH42" s="44">
        <f>Table114[[#This Row],[Column29]]/$D$129*1.5</f>
        <v>1.1071859294092758E-3</v>
      </c>
    </row>
    <row r="43" spans="3:34">
      <c r="C43" s="44" t="s">
        <v>398</v>
      </c>
      <c r="D43" s="44">
        <v>2.9288456374881481E-4</v>
      </c>
      <c r="E43" s="44">
        <f t="shared" si="8"/>
        <v>0</v>
      </c>
      <c r="F43" s="44">
        <f t="shared" si="8"/>
        <v>0</v>
      </c>
      <c r="G43" s="44">
        <f t="shared" si="8"/>
        <v>2.9288456374881481E-4</v>
      </c>
      <c r="H43" s="44">
        <f t="shared" si="8"/>
        <v>0</v>
      </c>
      <c r="I43" s="44">
        <f t="shared" si="8"/>
        <v>0</v>
      </c>
      <c r="J43" s="44">
        <f t="shared" si="8"/>
        <v>0</v>
      </c>
      <c r="K43" s="44">
        <f t="shared" si="8"/>
        <v>0</v>
      </c>
      <c r="L43" s="44">
        <f t="shared" si="8"/>
        <v>0</v>
      </c>
      <c r="M43" s="44">
        <f t="shared" si="8"/>
        <v>0</v>
      </c>
      <c r="N43" s="44">
        <f t="shared" si="8"/>
        <v>0</v>
      </c>
      <c r="O43" s="44">
        <f t="shared" si="8"/>
        <v>0</v>
      </c>
      <c r="P43" s="44">
        <f t="shared" si="8"/>
        <v>0</v>
      </c>
      <c r="Q43" s="44">
        <f t="shared" si="8"/>
        <v>0</v>
      </c>
      <c r="R43" s="44">
        <f t="shared" si="8"/>
        <v>0</v>
      </c>
      <c r="S43" s="44">
        <f t="shared" si="8"/>
        <v>0</v>
      </c>
      <c r="T43" s="44">
        <f t="shared" si="5"/>
        <v>2.9288456374881481E-4</v>
      </c>
      <c r="U43" s="44">
        <f t="shared" si="5"/>
        <v>0</v>
      </c>
      <c r="V43" s="44">
        <f t="shared" si="5"/>
        <v>0</v>
      </c>
      <c r="W43" s="44">
        <f t="shared" si="5"/>
        <v>0</v>
      </c>
      <c r="X43" s="44">
        <f t="shared" si="5"/>
        <v>0</v>
      </c>
      <c r="Y43" s="44">
        <f t="shared" si="5"/>
        <v>0</v>
      </c>
      <c r="Z43" s="44">
        <f t="shared" si="7"/>
        <v>0</v>
      </c>
      <c r="AA43" s="44">
        <f t="shared" si="7"/>
        <v>2.9288456374881481E-4</v>
      </c>
      <c r="AB43" s="44">
        <f t="shared" si="7"/>
        <v>0</v>
      </c>
      <c r="AC43" s="44">
        <f t="shared" si="7"/>
        <v>0</v>
      </c>
      <c r="AD43" s="44">
        <f t="shared" si="7"/>
        <v>0</v>
      </c>
      <c r="AE43" s="44">
        <f t="shared" si="3"/>
        <v>2.9288456374881481E-4</v>
      </c>
      <c r="AF43" s="44">
        <f t="shared" si="4"/>
        <v>0</v>
      </c>
      <c r="AG43" s="44">
        <f>Table114[[#This Row],[Column2]]/$D$129*0.5</f>
        <v>2.4428120593188168E-4</v>
      </c>
      <c r="AH43" s="44">
        <f>Table114[[#This Row],[Column29]]/$D$129*1.5</f>
        <v>7.328436177956451E-4</v>
      </c>
    </row>
    <row r="44" spans="3:34">
      <c r="C44" s="47" t="s">
        <v>399</v>
      </c>
      <c r="D44" s="47">
        <v>5.3056680410717917E-4</v>
      </c>
      <c r="E44" s="47">
        <f t="shared" si="8"/>
        <v>0</v>
      </c>
      <c r="F44" s="47">
        <f t="shared" si="8"/>
        <v>0</v>
      </c>
      <c r="G44" s="47">
        <f t="shared" si="8"/>
        <v>0</v>
      </c>
      <c r="H44" s="47">
        <f t="shared" si="8"/>
        <v>5.3056680410717917E-4</v>
      </c>
      <c r="I44" s="47">
        <f t="shared" si="8"/>
        <v>5.3056680410717917E-4</v>
      </c>
      <c r="J44" s="47">
        <f t="shared" si="8"/>
        <v>0</v>
      </c>
      <c r="K44" s="47">
        <f t="shared" si="8"/>
        <v>5.3056680410717917E-4</v>
      </c>
      <c r="L44" s="47">
        <f t="shared" si="8"/>
        <v>0</v>
      </c>
      <c r="M44" s="47">
        <f t="shared" si="8"/>
        <v>0</v>
      </c>
      <c r="N44" s="47">
        <f t="shared" si="8"/>
        <v>0</v>
      </c>
      <c r="O44" s="47">
        <f t="shared" si="8"/>
        <v>0</v>
      </c>
      <c r="P44" s="47">
        <f t="shared" si="8"/>
        <v>0</v>
      </c>
      <c r="Q44" s="47">
        <f t="shared" si="8"/>
        <v>0</v>
      </c>
      <c r="R44" s="47">
        <f t="shared" si="8"/>
        <v>0</v>
      </c>
      <c r="S44" s="47">
        <f t="shared" si="8"/>
        <v>0</v>
      </c>
      <c r="T44" s="47">
        <f t="shared" si="5"/>
        <v>0</v>
      </c>
      <c r="U44" s="47">
        <f t="shared" si="5"/>
        <v>0</v>
      </c>
      <c r="V44" s="47">
        <f t="shared" si="5"/>
        <v>0</v>
      </c>
      <c r="W44" s="47">
        <f t="shared" si="5"/>
        <v>0</v>
      </c>
      <c r="X44" s="47">
        <f t="shared" si="5"/>
        <v>0</v>
      </c>
      <c r="Y44" s="47">
        <f t="shared" si="5"/>
        <v>0</v>
      </c>
      <c r="Z44" s="47">
        <f t="shared" si="7"/>
        <v>0</v>
      </c>
      <c r="AA44" s="47">
        <f t="shared" si="7"/>
        <v>0</v>
      </c>
      <c r="AB44" s="47">
        <f t="shared" si="7"/>
        <v>0</v>
      </c>
      <c r="AC44" s="47">
        <f t="shared" si="7"/>
        <v>0</v>
      </c>
      <c r="AD44" s="47">
        <f t="shared" si="7"/>
        <v>0</v>
      </c>
      <c r="AE44" s="47">
        <f t="shared" si="3"/>
        <v>5.3056680410717917E-4</v>
      </c>
      <c r="AF44" s="47">
        <f t="shared" si="4"/>
        <v>0</v>
      </c>
      <c r="AG44" s="47">
        <f>Table114[[#This Row],[Column2]]/$D$129*0.5</f>
        <v>4.4252075655950521E-4</v>
      </c>
      <c r="AH44" s="47">
        <f>Table114[[#This Row],[Column29]]/$D$129*1.5</f>
        <v>1.3275622696785156E-3</v>
      </c>
    </row>
    <row r="45" spans="3:34">
      <c r="C45" s="47" t="s">
        <v>400</v>
      </c>
      <c r="D45" s="47">
        <v>1.5780645503942646E-3</v>
      </c>
      <c r="E45" s="47">
        <f t="shared" si="8"/>
        <v>0</v>
      </c>
      <c r="F45" s="47">
        <f t="shared" si="8"/>
        <v>0</v>
      </c>
      <c r="G45" s="47">
        <f t="shared" si="8"/>
        <v>0</v>
      </c>
      <c r="H45" s="47">
        <f t="shared" si="8"/>
        <v>1.5780645503942646E-3</v>
      </c>
      <c r="I45" s="47">
        <f t="shared" si="8"/>
        <v>0</v>
      </c>
      <c r="J45" s="47">
        <f t="shared" si="8"/>
        <v>0</v>
      </c>
      <c r="K45" s="47">
        <f t="shared" si="8"/>
        <v>3.1561291007885291E-3</v>
      </c>
      <c r="L45" s="47">
        <f t="shared" si="8"/>
        <v>0</v>
      </c>
      <c r="M45" s="47">
        <f t="shared" si="8"/>
        <v>0</v>
      </c>
      <c r="N45" s="47">
        <f t="shared" si="8"/>
        <v>0</v>
      </c>
      <c r="O45" s="47">
        <f t="shared" si="8"/>
        <v>0</v>
      </c>
      <c r="P45" s="47">
        <f t="shared" si="8"/>
        <v>0</v>
      </c>
      <c r="Q45" s="47">
        <f t="shared" si="8"/>
        <v>0</v>
      </c>
      <c r="R45" s="47">
        <f t="shared" si="8"/>
        <v>0</v>
      </c>
      <c r="S45" s="47">
        <f t="shared" si="8"/>
        <v>0</v>
      </c>
      <c r="T45" s="47">
        <f t="shared" si="5"/>
        <v>0</v>
      </c>
      <c r="U45" s="47">
        <f t="shared" si="5"/>
        <v>0</v>
      </c>
      <c r="V45" s="47">
        <f t="shared" si="5"/>
        <v>0</v>
      </c>
      <c r="W45" s="47">
        <f t="shared" si="5"/>
        <v>0</v>
      </c>
      <c r="X45" s="47">
        <f t="shared" si="5"/>
        <v>0</v>
      </c>
      <c r="Y45" s="47">
        <f t="shared" si="5"/>
        <v>0</v>
      </c>
      <c r="Z45" s="47">
        <f t="shared" si="7"/>
        <v>0</v>
      </c>
      <c r="AA45" s="47">
        <f t="shared" si="7"/>
        <v>0</v>
      </c>
      <c r="AB45" s="47">
        <f t="shared" si="7"/>
        <v>0</v>
      </c>
      <c r="AC45" s="47">
        <f t="shared" si="7"/>
        <v>0</v>
      </c>
      <c r="AD45" s="47">
        <f t="shared" si="7"/>
        <v>0</v>
      </c>
      <c r="AE45" s="47">
        <f t="shared" si="3"/>
        <v>1.5780645503942646E-3</v>
      </c>
      <c r="AF45" s="47">
        <f t="shared" si="4"/>
        <v>0</v>
      </c>
      <c r="AG45" s="47">
        <f>Table114[[#This Row],[Column2]]/$D$129*0.5</f>
        <v>1.3161892401378685E-3</v>
      </c>
      <c r="AH45" s="47">
        <f>Table114[[#This Row],[Column29]]/$D$129*1.5</f>
        <v>3.9485677204136056E-3</v>
      </c>
    </row>
    <row r="46" spans="3:34">
      <c r="C46" s="47" t="s">
        <v>652</v>
      </c>
      <c r="D46" s="47">
        <f>0.0039749110453375/2</f>
        <v>1.9874555226687498E-3</v>
      </c>
      <c r="E46" s="47">
        <f t="shared" si="8"/>
        <v>0</v>
      </c>
      <c r="F46" s="47">
        <f t="shared" si="8"/>
        <v>0</v>
      </c>
      <c r="G46" s="47">
        <f t="shared" si="8"/>
        <v>0</v>
      </c>
      <c r="H46" s="47">
        <f t="shared" si="8"/>
        <v>1.9874555226687498E-3</v>
      </c>
      <c r="I46" s="47">
        <f t="shared" si="8"/>
        <v>0</v>
      </c>
      <c r="J46" s="47">
        <f t="shared" si="8"/>
        <v>0</v>
      </c>
      <c r="K46" s="47">
        <f t="shared" si="8"/>
        <v>1.9874555226687498E-3</v>
      </c>
      <c r="L46" s="47">
        <f t="shared" si="8"/>
        <v>0</v>
      </c>
      <c r="M46" s="47">
        <f t="shared" si="8"/>
        <v>0</v>
      </c>
      <c r="N46" s="47">
        <f t="shared" si="8"/>
        <v>0</v>
      </c>
      <c r="O46" s="47">
        <f t="shared" si="8"/>
        <v>0</v>
      </c>
      <c r="P46" s="47">
        <f t="shared" si="8"/>
        <v>0</v>
      </c>
      <c r="Q46" s="47">
        <f t="shared" si="8"/>
        <v>0</v>
      </c>
      <c r="R46" s="47">
        <f t="shared" si="8"/>
        <v>1.9874555226687498E-3</v>
      </c>
      <c r="S46" s="47">
        <f t="shared" si="8"/>
        <v>0</v>
      </c>
      <c r="T46" s="47">
        <f t="shared" si="5"/>
        <v>0</v>
      </c>
      <c r="U46" s="47">
        <f t="shared" si="5"/>
        <v>0</v>
      </c>
      <c r="V46" s="47">
        <f t="shared" si="5"/>
        <v>0</v>
      </c>
      <c r="W46" s="47">
        <f t="shared" si="5"/>
        <v>0</v>
      </c>
      <c r="X46" s="47">
        <f t="shared" si="5"/>
        <v>0</v>
      </c>
      <c r="Y46" s="47">
        <f t="shared" si="5"/>
        <v>0</v>
      </c>
      <c r="Z46" s="47">
        <f t="shared" si="7"/>
        <v>0</v>
      </c>
      <c r="AA46" s="47">
        <f t="shared" si="7"/>
        <v>0</v>
      </c>
      <c r="AB46" s="47">
        <f t="shared" si="7"/>
        <v>0</v>
      </c>
      <c r="AC46" s="47">
        <f t="shared" si="7"/>
        <v>0</v>
      </c>
      <c r="AD46" s="47">
        <f t="shared" si="7"/>
        <v>0</v>
      </c>
      <c r="AE46" s="47">
        <f t="shared" si="3"/>
        <v>1.9874555226687498E-3</v>
      </c>
      <c r="AF46" s="47">
        <f t="shared" si="4"/>
        <v>0</v>
      </c>
      <c r="AG46" s="47">
        <f>Table114[[#This Row],[Column2]]/$D$129*0.5</f>
        <v>1.6576429484685162E-3</v>
      </c>
      <c r="AH46" s="47">
        <f>Table114[[#This Row],[Column29]]/$D$129*1.5</f>
        <v>4.9729288454055482E-3</v>
      </c>
    </row>
    <row r="47" spans="3:34">
      <c r="C47" s="44" t="s">
        <v>650</v>
      </c>
      <c r="D47" s="44">
        <f>0.00951342002284809/2</f>
        <v>4.7567100114240448E-3</v>
      </c>
      <c r="E47" s="44">
        <f t="shared" si="8"/>
        <v>0</v>
      </c>
      <c r="F47" s="44">
        <f t="shared" si="8"/>
        <v>0</v>
      </c>
      <c r="G47" s="44">
        <f t="shared" si="8"/>
        <v>0</v>
      </c>
      <c r="H47" s="44">
        <f t="shared" si="8"/>
        <v>0</v>
      </c>
      <c r="I47" s="44">
        <f t="shared" si="8"/>
        <v>9.5134200228480896E-3</v>
      </c>
      <c r="J47" s="44">
        <f t="shared" si="8"/>
        <v>0</v>
      </c>
      <c r="K47" s="44">
        <f t="shared" si="8"/>
        <v>0</v>
      </c>
      <c r="L47" s="44">
        <f t="shared" si="8"/>
        <v>4.7567100114240448E-3</v>
      </c>
      <c r="M47" s="44">
        <f t="shared" si="8"/>
        <v>0</v>
      </c>
      <c r="N47" s="44">
        <f t="shared" si="8"/>
        <v>0</v>
      </c>
      <c r="O47" s="44">
        <f t="shared" si="8"/>
        <v>0</v>
      </c>
      <c r="P47" s="44">
        <f t="shared" si="8"/>
        <v>0</v>
      </c>
      <c r="Q47" s="44">
        <f t="shared" si="8"/>
        <v>0</v>
      </c>
      <c r="R47" s="44">
        <f t="shared" si="8"/>
        <v>0</v>
      </c>
      <c r="S47" s="44">
        <f t="shared" si="8"/>
        <v>0</v>
      </c>
      <c r="T47" s="44">
        <f t="shared" si="5"/>
        <v>0</v>
      </c>
      <c r="U47" s="44">
        <f t="shared" si="5"/>
        <v>0</v>
      </c>
      <c r="V47" s="44">
        <f t="shared" si="5"/>
        <v>0</v>
      </c>
      <c r="W47" s="44">
        <f t="shared" si="5"/>
        <v>0</v>
      </c>
      <c r="X47" s="44">
        <f t="shared" si="5"/>
        <v>0</v>
      </c>
      <c r="Y47" s="44">
        <f t="shared" si="5"/>
        <v>0</v>
      </c>
      <c r="Z47" s="44">
        <f t="shared" si="7"/>
        <v>0</v>
      </c>
      <c r="AA47" s="44">
        <f t="shared" si="7"/>
        <v>0</v>
      </c>
      <c r="AB47" s="44">
        <f t="shared" si="7"/>
        <v>0</v>
      </c>
      <c r="AC47" s="44">
        <f t="shared" si="7"/>
        <v>0</v>
      </c>
      <c r="AD47" s="44">
        <f t="shared" si="7"/>
        <v>0</v>
      </c>
      <c r="AE47" s="44">
        <f t="shared" si="3"/>
        <v>4.7567100114240448E-3</v>
      </c>
      <c r="AF47" s="44">
        <f t="shared" si="4"/>
        <v>0</v>
      </c>
      <c r="AG47" s="44">
        <f>Table114[[#This Row],[Column2]]/$D$129*0.5</f>
        <v>3.9673475549071935E-3</v>
      </c>
      <c r="AH47" s="44">
        <f>Table114[[#This Row],[Column29]]/$D$129*1.5</f>
        <v>1.1902042664721581E-2</v>
      </c>
    </row>
    <row r="48" spans="3:34">
      <c r="C48" s="47" t="s">
        <v>401</v>
      </c>
      <c r="D48" s="47">
        <v>8.7011695415752154E-4</v>
      </c>
      <c r="E48" s="47">
        <f t="shared" si="8"/>
        <v>0</v>
      </c>
      <c r="F48" s="47">
        <f t="shared" si="8"/>
        <v>0</v>
      </c>
      <c r="G48" s="47">
        <f t="shared" si="8"/>
        <v>0</v>
      </c>
      <c r="H48" s="47">
        <f t="shared" si="8"/>
        <v>0</v>
      </c>
      <c r="I48" s="47">
        <f t="shared" si="8"/>
        <v>8.7011695415752154E-4</v>
      </c>
      <c r="J48" s="47">
        <f t="shared" si="8"/>
        <v>8.7011695415752154E-4</v>
      </c>
      <c r="K48" s="47">
        <f t="shared" si="8"/>
        <v>8.7011695415752154E-4</v>
      </c>
      <c r="L48" s="47">
        <f t="shared" si="8"/>
        <v>0</v>
      </c>
      <c r="M48" s="47">
        <f t="shared" si="8"/>
        <v>0</v>
      </c>
      <c r="N48" s="47">
        <f t="shared" si="8"/>
        <v>0</v>
      </c>
      <c r="O48" s="47">
        <f t="shared" si="8"/>
        <v>0</v>
      </c>
      <c r="P48" s="47">
        <f t="shared" si="8"/>
        <v>0</v>
      </c>
      <c r="Q48" s="47">
        <f t="shared" si="8"/>
        <v>0</v>
      </c>
      <c r="R48" s="47">
        <f t="shared" si="8"/>
        <v>0</v>
      </c>
      <c r="S48" s="47">
        <f t="shared" si="8"/>
        <v>0</v>
      </c>
      <c r="T48" s="47">
        <f t="shared" si="5"/>
        <v>0</v>
      </c>
      <c r="U48" s="47">
        <f t="shared" si="5"/>
        <v>0</v>
      </c>
      <c r="V48" s="47">
        <f t="shared" si="5"/>
        <v>0</v>
      </c>
      <c r="W48" s="47">
        <f t="shared" si="5"/>
        <v>0</v>
      </c>
      <c r="X48" s="47">
        <f t="shared" si="5"/>
        <v>0</v>
      </c>
      <c r="Y48" s="47">
        <f t="shared" si="5"/>
        <v>0</v>
      </c>
      <c r="Z48" s="47">
        <f t="shared" si="7"/>
        <v>0</v>
      </c>
      <c r="AA48" s="47">
        <f t="shared" si="7"/>
        <v>0</v>
      </c>
      <c r="AB48" s="47">
        <f t="shared" si="7"/>
        <v>0</v>
      </c>
      <c r="AC48" s="47">
        <f t="shared" si="7"/>
        <v>0</v>
      </c>
      <c r="AD48" s="47">
        <f t="shared" si="7"/>
        <v>0</v>
      </c>
      <c r="AE48" s="47">
        <f t="shared" si="3"/>
        <v>8.7011695415752154E-4</v>
      </c>
      <c r="AF48" s="47">
        <f t="shared" si="4"/>
        <v>0</v>
      </c>
      <c r="AG48" s="47">
        <f>Table114[[#This Row],[Column2]]/$D$129*0.5</f>
        <v>7.2572352787313914E-4</v>
      </c>
      <c r="AH48" s="47">
        <f>Table114[[#This Row],[Column29]]/$D$129*1.5</f>
        <v>2.1771705836194175E-3</v>
      </c>
    </row>
    <row r="49" spans="3:34">
      <c r="C49" s="47" t="s">
        <v>670</v>
      </c>
      <c r="D49" s="47">
        <f>0.0129691083845053/3</f>
        <v>4.3230361281684331E-3</v>
      </c>
      <c r="E49" s="47">
        <f t="shared" si="8"/>
        <v>0</v>
      </c>
      <c r="F49" s="47">
        <f t="shared" si="8"/>
        <v>0</v>
      </c>
      <c r="G49" s="47">
        <f t="shared" si="8"/>
        <v>0</v>
      </c>
      <c r="H49" s="47">
        <f t="shared" si="8"/>
        <v>0</v>
      </c>
      <c r="I49" s="47">
        <f t="shared" si="8"/>
        <v>4.3230361281684331E-3</v>
      </c>
      <c r="J49" s="47">
        <f t="shared" si="8"/>
        <v>0</v>
      </c>
      <c r="K49" s="47">
        <f t="shared" si="8"/>
        <v>4.3230361281684331E-3</v>
      </c>
      <c r="L49" s="47">
        <f t="shared" si="8"/>
        <v>0</v>
      </c>
      <c r="M49" s="47">
        <f t="shared" si="8"/>
        <v>0</v>
      </c>
      <c r="N49" s="47">
        <f t="shared" si="8"/>
        <v>0</v>
      </c>
      <c r="O49" s="47">
        <f t="shared" si="8"/>
        <v>4.3230361281684331E-3</v>
      </c>
      <c r="P49" s="47">
        <f t="shared" si="8"/>
        <v>0</v>
      </c>
      <c r="Q49" s="47">
        <f t="shared" si="8"/>
        <v>0</v>
      </c>
      <c r="R49" s="47">
        <f t="shared" si="8"/>
        <v>0</v>
      </c>
      <c r="S49" s="47">
        <f t="shared" si="8"/>
        <v>0</v>
      </c>
      <c r="T49" s="47">
        <f t="shared" si="5"/>
        <v>0</v>
      </c>
      <c r="U49" s="47">
        <f t="shared" si="5"/>
        <v>0</v>
      </c>
      <c r="V49" s="47">
        <f t="shared" si="5"/>
        <v>0</v>
      </c>
      <c r="W49" s="47">
        <f t="shared" si="5"/>
        <v>0</v>
      </c>
      <c r="X49" s="47">
        <f t="shared" si="5"/>
        <v>0</v>
      </c>
      <c r="Y49" s="47">
        <f t="shared" si="5"/>
        <v>0</v>
      </c>
      <c r="Z49" s="47">
        <f t="shared" si="7"/>
        <v>0</v>
      </c>
      <c r="AA49" s="47">
        <f t="shared" si="7"/>
        <v>0</v>
      </c>
      <c r="AB49" s="47">
        <f t="shared" si="7"/>
        <v>0</v>
      </c>
      <c r="AC49" s="47">
        <f t="shared" si="7"/>
        <v>0</v>
      </c>
      <c r="AD49" s="47">
        <f t="shared" si="7"/>
        <v>0</v>
      </c>
      <c r="AE49" s="47">
        <f t="shared" si="3"/>
        <v>4.3230361281684331E-3</v>
      </c>
      <c r="AF49" s="47">
        <f t="shared" si="4"/>
        <v>0</v>
      </c>
      <c r="AG49" s="47">
        <f>Table114[[#This Row],[Column2]]/$D$129*0.5</f>
        <v>3.6056406153987721E-3</v>
      </c>
      <c r="AH49" s="47">
        <f>Table114[[#This Row],[Column29]]/$D$129*1.5</f>
        <v>1.0816921846196316E-2</v>
      </c>
    </row>
    <row r="50" spans="3:34">
      <c r="C50" s="44" t="s">
        <v>671</v>
      </c>
      <c r="D50" s="44">
        <f>0.0235758896304169/3</f>
        <v>7.8586298768056322E-3</v>
      </c>
      <c r="E50" s="44">
        <f t="shared" si="8"/>
        <v>0</v>
      </c>
      <c r="F50" s="44">
        <f t="shared" si="8"/>
        <v>0</v>
      </c>
      <c r="G50" s="44">
        <f t="shared" si="8"/>
        <v>0</v>
      </c>
      <c r="H50" s="44">
        <f t="shared" si="8"/>
        <v>0</v>
      </c>
      <c r="I50" s="44">
        <f t="shared" si="8"/>
        <v>7.8586298768056322E-3</v>
      </c>
      <c r="J50" s="44">
        <f t="shared" si="8"/>
        <v>0</v>
      </c>
      <c r="K50" s="44">
        <f t="shared" si="8"/>
        <v>7.8586298768056322E-3</v>
      </c>
      <c r="L50" s="44">
        <f t="shared" si="8"/>
        <v>0</v>
      </c>
      <c r="M50" s="44">
        <f t="shared" si="8"/>
        <v>0</v>
      </c>
      <c r="N50" s="44">
        <f t="shared" si="8"/>
        <v>0</v>
      </c>
      <c r="O50" s="44">
        <f t="shared" si="8"/>
        <v>0</v>
      </c>
      <c r="P50" s="44">
        <f t="shared" si="8"/>
        <v>7.8586298768056322E-3</v>
      </c>
      <c r="Q50" s="44">
        <f t="shared" si="8"/>
        <v>0</v>
      </c>
      <c r="R50" s="44">
        <f t="shared" si="8"/>
        <v>0</v>
      </c>
      <c r="S50" s="44">
        <f t="shared" si="8"/>
        <v>0</v>
      </c>
      <c r="T50" s="44">
        <f t="shared" si="5"/>
        <v>0</v>
      </c>
      <c r="U50" s="44">
        <f t="shared" si="5"/>
        <v>0</v>
      </c>
      <c r="V50" s="44">
        <f t="shared" si="5"/>
        <v>0</v>
      </c>
      <c r="W50" s="44">
        <f t="shared" si="5"/>
        <v>0</v>
      </c>
      <c r="X50" s="44">
        <f t="shared" si="5"/>
        <v>0</v>
      </c>
      <c r="Y50" s="44">
        <f t="shared" si="5"/>
        <v>0</v>
      </c>
      <c r="Z50" s="44">
        <f t="shared" si="7"/>
        <v>0</v>
      </c>
      <c r="AA50" s="44">
        <f t="shared" si="7"/>
        <v>0</v>
      </c>
      <c r="AB50" s="44">
        <f t="shared" si="7"/>
        <v>0</v>
      </c>
      <c r="AC50" s="44">
        <f t="shared" si="7"/>
        <v>0</v>
      </c>
      <c r="AD50" s="44">
        <f t="shared" si="7"/>
        <v>0</v>
      </c>
      <c r="AE50" s="44">
        <f t="shared" si="3"/>
        <v>7.8586298768056322E-3</v>
      </c>
      <c r="AF50" s="44">
        <f t="shared" si="4"/>
        <v>0</v>
      </c>
      <c r="AG50" s="44">
        <f>Table114[[#This Row],[Column2]]/$D$129*0.5</f>
        <v>6.554512667744386E-3</v>
      </c>
      <c r="AH50" s="44">
        <f>Table114[[#This Row],[Column29]]/$D$129*1.5</f>
        <v>1.9663538003233158E-2</v>
      </c>
    </row>
    <row r="51" spans="3:34">
      <c r="C51" s="44" t="s">
        <v>402</v>
      </c>
      <c r="D51" s="44">
        <v>5.6887612796293905E-3</v>
      </c>
      <c r="E51" s="44">
        <f t="shared" si="8"/>
        <v>0</v>
      </c>
      <c r="F51" s="44">
        <f t="shared" si="8"/>
        <v>0</v>
      </c>
      <c r="G51" s="44">
        <f t="shared" si="8"/>
        <v>0</v>
      </c>
      <c r="H51" s="44">
        <f t="shared" si="8"/>
        <v>0</v>
      </c>
      <c r="I51" s="44">
        <f t="shared" si="8"/>
        <v>5.6887612796293905E-3</v>
      </c>
      <c r="J51" s="44">
        <f t="shared" si="8"/>
        <v>0</v>
      </c>
      <c r="K51" s="44">
        <f t="shared" si="8"/>
        <v>5.6887612796293905E-3</v>
      </c>
      <c r="L51" s="44">
        <f t="shared" si="8"/>
        <v>0</v>
      </c>
      <c r="M51" s="44">
        <f t="shared" si="8"/>
        <v>0</v>
      </c>
      <c r="N51" s="44">
        <f t="shared" si="8"/>
        <v>0</v>
      </c>
      <c r="O51" s="44">
        <f t="shared" si="8"/>
        <v>0</v>
      </c>
      <c r="P51" s="44">
        <f t="shared" si="8"/>
        <v>0</v>
      </c>
      <c r="Q51" s="44">
        <f t="shared" si="8"/>
        <v>0</v>
      </c>
      <c r="R51" s="44">
        <f t="shared" si="8"/>
        <v>5.6887612796293905E-3</v>
      </c>
      <c r="S51" s="44">
        <f t="shared" si="8"/>
        <v>0</v>
      </c>
      <c r="T51" s="44">
        <f t="shared" si="5"/>
        <v>0</v>
      </c>
      <c r="U51" s="44">
        <f t="shared" si="5"/>
        <v>0</v>
      </c>
      <c r="V51" s="44">
        <f t="shared" si="5"/>
        <v>0</v>
      </c>
      <c r="W51" s="44">
        <f t="shared" si="5"/>
        <v>0</v>
      </c>
      <c r="X51" s="44">
        <f t="shared" si="5"/>
        <v>0</v>
      </c>
      <c r="Y51" s="44">
        <f t="shared" si="5"/>
        <v>0</v>
      </c>
      <c r="Z51" s="44">
        <f t="shared" si="7"/>
        <v>0</v>
      </c>
      <c r="AA51" s="44">
        <f t="shared" si="7"/>
        <v>0</v>
      </c>
      <c r="AB51" s="44">
        <f t="shared" si="7"/>
        <v>0</v>
      </c>
      <c r="AC51" s="44">
        <f t="shared" si="7"/>
        <v>0</v>
      </c>
      <c r="AD51" s="44">
        <f t="shared" si="7"/>
        <v>0</v>
      </c>
      <c r="AE51" s="44">
        <f t="shared" si="3"/>
        <v>5.6887612796293905E-3</v>
      </c>
      <c r="AF51" s="44">
        <f t="shared" si="4"/>
        <v>0</v>
      </c>
      <c r="AG51" s="44">
        <f>Table114[[#This Row],[Column2]]/$D$129*0.5</f>
        <v>4.7447275740973068E-3</v>
      </c>
      <c r="AH51" s="44">
        <f>Table114[[#This Row],[Column29]]/$D$129*1.5</f>
        <v>1.423418272229192E-2</v>
      </c>
    </row>
    <row r="52" spans="3:34">
      <c r="C52" s="47" t="s">
        <v>666</v>
      </c>
      <c r="D52" s="47">
        <v>1.72539488210007E-3</v>
      </c>
      <c r="E52" s="47">
        <f t="shared" si="8"/>
        <v>0</v>
      </c>
      <c r="F52" s="47">
        <f t="shared" si="8"/>
        <v>0</v>
      </c>
      <c r="G52" s="47">
        <f t="shared" si="8"/>
        <v>0</v>
      </c>
      <c r="H52" s="47">
        <f t="shared" si="8"/>
        <v>0</v>
      </c>
      <c r="I52" s="47">
        <f t="shared" si="8"/>
        <v>1.72539488210007E-3</v>
      </c>
      <c r="J52" s="47">
        <f t="shared" si="8"/>
        <v>0</v>
      </c>
      <c r="K52" s="47">
        <f t="shared" si="8"/>
        <v>0</v>
      </c>
      <c r="L52" s="47">
        <f t="shared" si="8"/>
        <v>0</v>
      </c>
      <c r="M52" s="47">
        <f t="shared" si="8"/>
        <v>0</v>
      </c>
      <c r="N52" s="47">
        <f t="shared" si="8"/>
        <v>0</v>
      </c>
      <c r="O52" s="47">
        <f t="shared" si="8"/>
        <v>1.72539488210007E-3</v>
      </c>
      <c r="P52" s="47">
        <f t="shared" si="8"/>
        <v>1.72539488210007E-3</v>
      </c>
      <c r="Q52" s="47">
        <f t="shared" si="8"/>
        <v>0</v>
      </c>
      <c r="R52" s="47">
        <f t="shared" si="8"/>
        <v>0</v>
      </c>
      <c r="S52" s="47">
        <f t="shared" si="8"/>
        <v>0</v>
      </c>
      <c r="T52" s="47">
        <f t="shared" si="8"/>
        <v>0</v>
      </c>
      <c r="U52" s="47">
        <f t="shared" ref="U52:AD81" si="9">((LEN($C52)-LEN(SUBSTITUTE($C52,U$3,"")))/4)*$D52</f>
        <v>0</v>
      </c>
      <c r="V52" s="47">
        <f t="shared" si="9"/>
        <v>0</v>
      </c>
      <c r="W52" s="47">
        <f t="shared" si="9"/>
        <v>0</v>
      </c>
      <c r="X52" s="47">
        <f t="shared" si="9"/>
        <v>0</v>
      </c>
      <c r="Y52" s="47">
        <f t="shared" si="9"/>
        <v>0</v>
      </c>
      <c r="Z52" s="47">
        <f t="shared" si="7"/>
        <v>0</v>
      </c>
      <c r="AA52" s="47">
        <f t="shared" si="7"/>
        <v>0</v>
      </c>
      <c r="AB52" s="47">
        <f t="shared" si="7"/>
        <v>0</v>
      </c>
      <c r="AC52" s="47">
        <f t="shared" si="7"/>
        <v>0</v>
      </c>
      <c r="AD52" s="47">
        <f t="shared" si="7"/>
        <v>0</v>
      </c>
      <c r="AE52" s="47">
        <f t="shared" si="3"/>
        <v>1.72539488210007E-3</v>
      </c>
      <c r="AF52" s="47">
        <f t="shared" si="4"/>
        <v>0</v>
      </c>
      <c r="AG52" s="47">
        <f>Table114[[#This Row],[Column2]]/$D$129*0.5</f>
        <v>1.4390705235991035E-3</v>
      </c>
      <c r="AH52" s="47">
        <f>Table114[[#This Row],[Column29]]/$D$129*1.5</f>
        <v>4.3172115707973101E-3</v>
      </c>
    </row>
    <row r="53" spans="3:34">
      <c r="C53" s="44" t="s">
        <v>406</v>
      </c>
      <c r="D53" s="44">
        <v>1.7292144512673732E-2</v>
      </c>
      <c r="E53" s="44">
        <f t="shared" si="8"/>
        <v>0</v>
      </c>
      <c r="F53" s="44">
        <f t="shared" si="8"/>
        <v>0</v>
      </c>
      <c r="G53" s="44">
        <f t="shared" si="8"/>
        <v>0</v>
      </c>
      <c r="H53" s="44">
        <f t="shared" si="8"/>
        <v>0</v>
      </c>
      <c r="I53" s="44">
        <f t="shared" si="8"/>
        <v>0</v>
      </c>
      <c r="J53" s="44">
        <f t="shared" si="8"/>
        <v>0</v>
      </c>
      <c r="K53" s="44">
        <f t="shared" si="8"/>
        <v>5.1876433538021197E-2</v>
      </c>
      <c r="L53" s="44">
        <f t="shared" si="8"/>
        <v>0</v>
      </c>
      <c r="M53" s="44">
        <f t="shared" si="8"/>
        <v>0</v>
      </c>
      <c r="N53" s="44">
        <f t="shared" si="8"/>
        <v>0</v>
      </c>
      <c r="O53" s="44">
        <f t="shared" si="8"/>
        <v>0</v>
      </c>
      <c r="P53" s="44">
        <f t="shared" si="8"/>
        <v>0</v>
      </c>
      <c r="Q53" s="44">
        <f t="shared" si="8"/>
        <v>0</v>
      </c>
      <c r="R53" s="44">
        <f t="shared" si="8"/>
        <v>0</v>
      </c>
      <c r="S53" s="44">
        <f t="shared" si="8"/>
        <v>0</v>
      </c>
      <c r="T53" s="44">
        <f t="shared" si="8"/>
        <v>0</v>
      </c>
      <c r="U53" s="44">
        <f t="shared" si="9"/>
        <v>0</v>
      </c>
      <c r="V53" s="44">
        <f t="shared" si="9"/>
        <v>0</v>
      </c>
      <c r="W53" s="44">
        <f t="shared" si="9"/>
        <v>0</v>
      </c>
      <c r="X53" s="44">
        <f t="shared" si="9"/>
        <v>0</v>
      </c>
      <c r="Y53" s="44">
        <f t="shared" si="9"/>
        <v>0</v>
      </c>
      <c r="Z53" s="44">
        <f t="shared" si="7"/>
        <v>0</v>
      </c>
      <c r="AA53" s="44">
        <f t="shared" si="7"/>
        <v>0</v>
      </c>
      <c r="AB53" s="44">
        <f t="shared" si="7"/>
        <v>0</v>
      </c>
      <c r="AC53" s="44">
        <f t="shared" si="7"/>
        <v>0</v>
      </c>
      <c r="AD53" s="44">
        <f t="shared" si="7"/>
        <v>0</v>
      </c>
      <c r="AE53" s="44">
        <f t="shared" si="3"/>
        <v>1.7292144512673732E-2</v>
      </c>
      <c r="AF53" s="44">
        <f t="shared" si="4"/>
        <v>0</v>
      </c>
      <c r="AG53" s="44">
        <f>Table114[[#This Row],[Column2]]/$D$129*0.5</f>
        <v>1.4422562461595088E-2</v>
      </c>
      <c r="AH53" s="44">
        <f>Table114[[#This Row],[Column29]]/$D$129*1.5</f>
        <v>4.3267687384785265E-2</v>
      </c>
    </row>
    <row r="54" spans="3:34">
      <c r="C54" s="44" t="s">
        <v>407</v>
      </c>
      <c r="D54" s="44">
        <v>2.6511457709639481E-2</v>
      </c>
      <c r="E54" s="44">
        <f t="shared" si="8"/>
        <v>0</v>
      </c>
      <c r="F54" s="44">
        <f t="shared" si="8"/>
        <v>0</v>
      </c>
      <c r="G54" s="44">
        <f t="shared" si="8"/>
        <v>0</v>
      </c>
      <c r="H54" s="44">
        <f t="shared" si="8"/>
        <v>0</v>
      </c>
      <c r="I54" s="44">
        <f t="shared" si="8"/>
        <v>0</v>
      </c>
      <c r="J54" s="44">
        <f t="shared" si="8"/>
        <v>0</v>
      </c>
      <c r="K54" s="44">
        <f t="shared" si="8"/>
        <v>5.3022915419278963E-2</v>
      </c>
      <c r="L54" s="44">
        <f t="shared" si="8"/>
        <v>2.6511457709639481E-2</v>
      </c>
      <c r="M54" s="44">
        <f t="shared" si="8"/>
        <v>0</v>
      </c>
      <c r="N54" s="44">
        <f t="shared" si="8"/>
        <v>0</v>
      </c>
      <c r="O54" s="44">
        <f t="shared" si="8"/>
        <v>0</v>
      </c>
      <c r="P54" s="44">
        <f t="shared" si="8"/>
        <v>0</v>
      </c>
      <c r="Q54" s="44">
        <f t="shared" si="8"/>
        <v>0</v>
      </c>
      <c r="R54" s="44">
        <f t="shared" ref="R54:T84" si="10">((LEN($C54)-LEN(SUBSTITUTE($C54,R$3,"")))/4)*$D54</f>
        <v>0</v>
      </c>
      <c r="S54" s="44">
        <f t="shared" si="10"/>
        <v>0</v>
      </c>
      <c r="T54" s="44">
        <f t="shared" si="10"/>
        <v>0</v>
      </c>
      <c r="U54" s="44">
        <f t="shared" si="9"/>
        <v>0</v>
      </c>
      <c r="V54" s="44">
        <f t="shared" si="9"/>
        <v>0</v>
      </c>
      <c r="W54" s="44">
        <f t="shared" si="9"/>
        <v>0</v>
      </c>
      <c r="X54" s="44">
        <f t="shared" si="9"/>
        <v>0</v>
      </c>
      <c r="Y54" s="44">
        <f t="shared" si="9"/>
        <v>0</v>
      </c>
      <c r="Z54" s="44">
        <f t="shared" si="7"/>
        <v>0</v>
      </c>
      <c r="AA54" s="44">
        <f t="shared" si="7"/>
        <v>0</v>
      </c>
      <c r="AB54" s="44">
        <f t="shared" si="7"/>
        <v>0</v>
      </c>
      <c r="AC54" s="44">
        <f t="shared" si="7"/>
        <v>0</v>
      </c>
      <c r="AD54" s="44">
        <f t="shared" si="7"/>
        <v>0</v>
      </c>
      <c r="AE54" s="44">
        <f t="shared" si="3"/>
        <v>2.6511457709639485E-2</v>
      </c>
      <c r="AF54" s="44">
        <f t="shared" si="4"/>
        <v>0</v>
      </c>
      <c r="AG54" s="44">
        <f>Table114[[#This Row],[Column2]]/$D$129*0.5</f>
        <v>2.2111956934258273E-2</v>
      </c>
      <c r="AH54" s="44">
        <f>Table114[[#This Row],[Column29]]/$D$129*1.5</f>
        <v>6.6335870802774838E-2</v>
      </c>
    </row>
    <row r="55" spans="3:34">
      <c r="C55" s="44" t="s">
        <v>408</v>
      </c>
      <c r="D55" s="44">
        <v>5.5610826312893604E-3</v>
      </c>
      <c r="E55" s="44">
        <f t="shared" ref="E55:Q73" si="11">((LEN($C55)-LEN(SUBSTITUTE($C55,E$3,"")))/4)*$D55</f>
        <v>0</v>
      </c>
      <c r="F55" s="44">
        <f t="shared" si="11"/>
        <v>0</v>
      </c>
      <c r="G55" s="44">
        <f t="shared" si="11"/>
        <v>0</v>
      </c>
      <c r="H55" s="44">
        <f t="shared" si="11"/>
        <v>0</v>
      </c>
      <c r="I55" s="44">
        <f t="shared" si="11"/>
        <v>0</v>
      </c>
      <c r="J55" s="44">
        <f t="shared" si="11"/>
        <v>0</v>
      </c>
      <c r="K55" s="44">
        <f t="shared" si="11"/>
        <v>1.1122165262578721E-2</v>
      </c>
      <c r="L55" s="44">
        <f t="shared" si="11"/>
        <v>0</v>
      </c>
      <c r="M55" s="44">
        <f t="shared" si="11"/>
        <v>5.5610826312893604E-3</v>
      </c>
      <c r="N55" s="44">
        <f t="shared" si="11"/>
        <v>0</v>
      </c>
      <c r="O55" s="44">
        <f t="shared" si="11"/>
        <v>0</v>
      </c>
      <c r="P55" s="44">
        <f t="shared" si="11"/>
        <v>0</v>
      </c>
      <c r="Q55" s="44">
        <f t="shared" si="11"/>
        <v>0</v>
      </c>
      <c r="R55" s="44">
        <f t="shared" si="10"/>
        <v>0</v>
      </c>
      <c r="S55" s="44">
        <f t="shared" si="10"/>
        <v>0</v>
      </c>
      <c r="T55" s="44">
        <f t="shared" si="10"/>
        <v>0</v>
      </c>
      <c r="U55" s="44">
        <f t="shared" si="9"/>
        <v>0</v>
      </c>
      <c r="V55" s="44">
        <f t="shared" si="9"/>
        <v>0</v>
      </c>
      <c r="W55" s="44">
        <f t="shared" si="9"/>
        <v>0</v>
      </c>
      <c r="X55" s="44">
        <f t="shared" si="9"/>
        <v>0</v>
      </c>
      <c r="Y55" s="44">
        <f t="shared" si="9"/>
        <v>0</v>
      </c>
      <c r="Z55" s="44">
        <f t="shared" si="7"/>
        <v>0</v>
      </c>
      <c r="AA55" s="44">
        <f t="shared" si="7"/>
        <v>0</v>
      </c>
      <c r="AB55" s="44">
        <f t="shared" si="7"/>
        <v>0</v>
      </c>
      <c r="AC55" s="44">
        <f t="shared" si="7"/>
        <v>0</v>
      </c>
      <c r="AD55" s="44">
        <f t="shared" si="7"/>
        <v>0</v>
      </c>
      <c r="AE55" s="44">
        <f t="shared" si="3"/>
        <v>5.5610826312893604E-3</v>
      </c>
      <c r="AF55" s="44">
        <f t="shared" si="4"/>
        <v>0</v>
      </c>
      <c r="AG55" s="44">
        <f>Table114[[#This Row],[Column2]]/$D$129*0.5</f>
        <v>4.638236833209357E-3</v>
      </c>
      <c r="AH55" s="44">
        <f>Table114[[#This Row],[Column29]]/$D$129*1.5</f>
        <v>1.3914710499628072E-2</v>
      </c>
    </row>
    <row r="56" spans="3:34">
      <c r="C56" s="47" t="s">
        <v>409</v>
      </c>
      <c r="D56" s="47">
        <v>2.5383328858230615E-3</v>
      </c>
      <c r="E56" s="47">
        <f t="shared" si="11"/>
        <v>0</v>
      </c>
      <c r="F56" s="47">
        <f t="shared" si="11"/>
        <v>0</v>
      </c>
      <c r="G56" s="47">
        <f t="shared" si="11"/>
        <v>0</v>
      </c>
      <c r="H56" s="47">
        <f t="shared" si="11"/>
        <v>0</v>
      </c>
      <c r="I56" s="47">
        <f t="shared" si="11"/>
        <v>0</v>
      </c>
      <c r="J56" s="47">
        <f t="shared" si="11"/>
        <v>0</v>
      </c>
      <c r="K56" s="47">
        <f t="shared" si="11"/>
        <v>5.076665771646123E-3</v>
      </c>
      <c r="L56" s="47">
        <f t="shared" si="11"/>
        <v>0</v>
      </c>
      <c r="M56" s="47">
        <f t="shared" si="11"/>
        <v>0</v>
      </c>
      <c r="N56" s="47">
        <f t="shared" si="11"/>
        <v>2.5383328858230615E-3</v>
      </c>
      <c r="O56" s="47">
        <f t="shared" si="11"/>
        <v>0</v>
      </c>
      <c r="P56" s="47">
        <f t="shared" si="11"/>
        <v>0</v>
      </c>
      <c r="Q56" s="47">
        <f t="shared" si="11"/>
        <v>0</v>
      </c>
      <c r="R56" s="47">
        <f t="shared" si="10"/>
        <v>0</v>
      </c>
      <c r="S56" s="47">
        <f t="shared" si="10"/>
        <v>0</v>
      </c>
      <c r="T56" s="47">
        <f t="shared" si="10"/>
        <v>0</v>
      </c>
      <c r="U56" s="47">
        <f t="shared" si="9"/>
        <v>0</v>
      </c>
      <c r="V56" s="47">
        <f t="shared" si="9"/>
        <v>0</v>
      </c>
      <c r="W56" s="47">
        <f t="shared" si="9"/>
        <v>0</v>
      </c>
      <c r="X56" s="47">
        <f t="shared" si="9"/>
        <v>0</v>
      </c>
      <c r="Y56" s="47">
        <f t="shared" si="9"/>
        <v>0</v>
      </c>
      <c r="Z56" s="47">
        <f t="shared" si="7"/>
        <v>0</v>
      </c>
      <c r="AA56" s="47">
        <f t="shared" si="7"/>
        <v>0</v>
      </c>
      <c r="AB56" s="47">
        <f t="shared" si="7"/>
        <v>0</v>
      </c>
      <c r="AC56" s="47">
        <f t="shared" si="7"/>
        <v>0</v>
      </c>
      <c r="AD56" s="47">
        <f t="shared" si="7"/>
        <v>0</v>
      </c>
      <c r="AE56" s="47">
        <f t="shared" si="3"/>
        <v>2.5383328858230615E-3</v>
      </c>
      <c r="AF56" s="47">
        <f t="shared" si="4"/>
        <v>0</v>
      </c>
      <c r="AG56" s="47">
        <f>Table114[[#This Row],[Column2]]/$D$129*0.5</f>
        <v>2.1171037847429745E-3</v>
      </c>
      <c r="AH56" s="47">
        <f>Table114[[#This Row],[Column29]]/$D$129*1.5</f>
        <v>6.3513113542289241E-3</v>
      </c>
    </row>
    <row r="57" spans="3:34">
      <c r="C57" s="44" t="s">
        <v>410</v>
      </c>
      <c r="D57" s="44">
        <v>4.6487546633716802E-3</v>
      </c>
      <c r="E57" s="44">
        <f t="shared" si="11"/>
        <v>0</v>
      </c>
      <c r="F57" s="44">
        <f t="shared" si="11"/>
        <v>0</v>
      </c>
      <c r="G57" s="44">
        <f t="shared" si="11"/>
        <v>0</v>
      </c>
      <c r="H57" s="44">
        <f t="shared" si="11"/>
        <v>0</v>
      </c>
      <c r="I57" s="44">
        <f t="shared" si="11"/>
        <v>0</v>
      </c>
      <c r="J57" s="44">
        <f t="shared" si="11"/>
        <v>0</v>
      </c>
      <c r="K57" s="44">
        <f t="shared" si="11"/>
        <v>9.2975093267433605E-3</v>
      </c>
      <c r="L57" s="44">
        <f t="shared" si="11"/>
        <v>0</v>
      </c>
      <c r="M57" s="44">
        <f t="shared" si="11"/>
        <v>0</v>
      </c>
      <c r="N57" s="44">
        <f t="shared" si="11"/>
        <v>0</v>
      </c>
      <c r="O57" s="44">
        <f t="shared" si="11"/>
        <v>0</v>
      </c>
      <c r="P57" s="44">
        <f t="shared" si="11"/>
        <v>4.6487546633716802E-3</v>
      </c>
      <c r="Q57" s="44">
        <f t="shared" si="11"/>
        <v>0</v>
      </c>
      <c r="R57" s="44">
        <f t="shared" si="10"/>
        <v>0</v>
      </c>
      <c r="S57" s="44">
        <f t="shared" si="10"/>
        <v>0</v>
      </c>
      <c r="T57" s="44">
        <f t="shared" si="10"/>
        <v>0</v>
      </c>
      <c r="U57" s="44">
        <f t="shared" si="9"/>
        <v>0</v>
      </c>
      <c r="V57" s="44">
        <f t="shared" si="9"/>
        <v>0</v>
      </c>
      <c r="W57" s="44">
        <f t="shared" si="9"/>
        <v>0</v>
      </c>
      <c r="X57" s="44">
        <f t="shared" si="9"/>
        <v>0</v>
      </c>
      <c r="Y57" s="44">
        <f t="shared" si="9"/>
        <v>0</v>
      </c>
      <c r="Z57" s="44">
        <f t="shared" si="7"/>
        <v>0</v>
      </c>
      <c r="AA57" s="44">
        <f t="shared" si="7"/>
        <v>0</v>
      </c>
      <c r="AB57" s="44">
        <f t="shared" si="7"/>
        <v>0</v>
      </c>
      <c r="AC57" s="44">
        <f t="shared" si="7"/>
        <v>0</v>
      </c>
      <c r="AD57" s="44">
        <f t="shared" si="7"/>
        <v>0</v>
      </c>
      <c r="AE57" s="44">
        <f t="shared" si="3"/>
        <v>4.6487546633716802E-3</v>
      </c>
      <c r="AF57" s="44">
        <f t="shared" si="4"/>
        <v>0</v>
      </c>
      <c r="AG57" s="44">
        <f>Table114[[#This Row],[Column2]]/$D$129*0.5</f>
        <v>3.8773070888905394E-3</v>
      </c>
      <c r="AH57" s="44">
        <f>Table114[[#This Row],[Column29]]/$D$129*1.5</f>
        <v>1.1631921266671619E-2</v>
      </c>
    </row>
    <row r="58" spans="3:34">
      <c r="C58" s="44" t="s">
        <v>411</v>
      </c>
      <c r="D58" s="44">
        <v>1.3955960921338528E-2</v>
      </c>
      <c r="E58" s="44">
        <f t="shared" si="11"/>
        <v>0</v>
      </c>
      <c r="F58" s="44">
        <f t="shared" si="11"/>
        <v>0</v>
      </c>
      <c r="G58" s="44">
        <f t="shared" si="11"/>
        <v>0</v>
      </c>
      <c r="H58" s="44">
        <f t="shared" si="11"/>
        <v>0</v>
      </c>
      <c r="I58" s="44">
        <f t="shared" si="11"/>
        <v>0</v>
      </c>
      <c r="J58" s="44">
        <f t="shared" si="11"/>
        <v>0</v>
      </c>
      <c r="K58" s="44">
        <f t="shared" si="11"/>
        <v>2.7911921842677056E-2</v>
      </c>
      <c r="L58" s="44">
        <f t="shared" si="11"/>
        <v>0</v>
      </c>
      <c r="M58" s="44">
        <f t="shared" si="11"/>
        <v>0</v>
      </c>
      <c r="N58" s="44">
        <f t="shared" si="11"/>
        <v>0</v>
      </c>
      <c r="O58" s="44">
        <f t="shared" si="11"/>
        <v>0</v>
      </c>
      <c r="P58" s="44">
        <f t="shared" si="11"/>
        <v>0</v>
      </c>
      <c r="Q58" s="44">
        <f t="shared" si="11"/>
        <v>0</v>
      </c>
      <c r="R58" s="44">
        <f t="shared" si="10"/>
        <v>1.3955960921338528E-2</v>
      </c>
      <c r="S58" s="44">
        <f t="shared" si="10"/>
        <v>0</v>
      </c>
      <c r="T58" s="44">
        <f t="shared" si="10"/>
        <v>0</v>
      </c>
      <c r="U58" s="44">
        <f t="shared" si="9"/>
        <v>0</v>
      </c>
      <c r="V58" s="44">
        <f t="shared" si="9"/>
        <v>0</v>
      </c>
      <c r="W58" s="44">
        <f t="shared" si="9"/>
        <v>0</v>
      </c>
      <c r="X58" s="44">
        <f t="shared" si="9"/>
        <v>0</v>
      </c>
      <c r="Y58" s="44">
        <f t="shared" si="9"/>
        <v>0</v>
      </c>
      <c r="Z58" s="44">
        <f t="shared" si="7"/>
        <v>0</v>
      </c>
      <c r="AA58" s="44">
        <f t="shared" si="7"/>
        <v>0</v>
      </c>
      <c r="AB58" s="44">
        <f t="shared" si="7"/>
        <v>0</v>
      </c>
      <c r="AC58" s="44">
        <f t="shared" si="7"/>
        <v>0</v>
      </c>
      <c r="AD58" s="44">
        <f t="shared" si="7"/>
        <v>0</v>
      </c>
      <c r="AE58" s="44">
        <f t="shared" si="3"/>
        <v>1.3955960921338528E-2</v>
      </c>
      <c r="AF58" s="44">
        <f t="shared" si="4"/>
        <v>0</v>
      </c>
      <c r="AG58" s="44">
        <f>Table114[[#This Row],[Column2]]/$D$129*0.5</f>
        <v>1.1640009019821844E-2</v>
      </c>
      <c r="AH58" s="44">
        <f>Table114[[#This Row],[Column29]]/$D$129*1.5</f>
        <v>3.4920027059465529E-2</v>
      </c>
    </row>
    <row r="59" spans="3:34">
      <c r="C59" s="44" t="s">
        <v>412</v>
      </c>
      <c r="D59" s="44">
        <v>6.4904411032317569E-3</v>
      </c>
      <c r="E59" s="44">
        <f t="shared" si="11"/>
        <v>0</v>
      </c>
      <c r="F59" s="44">
        <f t="shared" si="11"/>
        <v>0</v>
      </c>
      <c r="G59" s="44">
        <f t="shared" si="11"/>
        <v>0</v>
      </c>
      <c r="H59" s="44">
        <f t="shared" si="11"/>
        <v>0</v>
      </c>
      <c r="I59" s="44">
        <f t="shared" si="11"/>
        <v>0</v>
      </c>
      <c r="J59" s="44">
        <f t="shared" si="11"/>
        <v>0</v>
      </c>
      <c r="K59" s="44">
        <f t="shared" si="11"/>
        <v>1.2980882206463514E-2</v>
      </c>
      <c r="L59" s="44">
        <f t="shared" si="11"/>
        <v>0</v>
      </c>
      <c r="M59" s="44">
        <f t="shared" si="11"/>
        <v>0</v>
      </c>
      <c r="N59" s="44">
        <f t="shared" si="11"/>
        <v>0</v>
      </c>
      <c r="O59" s="44">
        <f t="shared" si="11"/>
        <v>0</v>
      </c>
      <c r="P59" s="44">
        <f t="shared" si="11"/>
        <v>0</v>
      </c>
      <c r="Q59" s="44">
        <f t="shared" si="11"/>
        <v>0</v>
      </c>
      <c r="R59" s="44">
        <f t="shared" si="10"/>
        <v>0</v>
      </c>
      <c r="S59" s="44">
        <f t="shared" si="10"/>
        <v>6.4904411032317569E-3</v>
      </c>
      <c r="T59" s="44">
        <f t="shared" si="10"/>
        <v>0</v>
      </c>
      <c r="U59" s="44">
        <f t="shared" si="9"/>
        <v>0</v>
      </c>
      <c r="V59" s="44">
        <f t="shared" si="9"/>
        <v>0</v>
      </c>
      <c r="W59" s="44">
        <f t="shared" si="9"/>
        <v>0</v>
      </c>
      <c r="X59" s="44">
        <f t="shared" si="9"/>
        <v>0</v>
      </c>
      <c r="Y59" s="44">
        <f t="shared" si="9"/>
        <v>0</v>
      </c>
      <c r="Z59" s="44">
        <f t="shared" si="7"/>
        <v>0</v>
      </c>
      <c r="AA59" s="44">
        <f t="shared" si="7"/>
        <v>0</v>
      </c>
      <c r="AB59" s="44">
        <f t="shared" si="7"/>
        <v>0</v>
      </c>
      <c r="AC59" s="44">
        <f t="shared" si="7"/>
        <v>0</v>
      </c>
      <c r="AD59" s="44">
        <f t="shared" si="7"/>
        <v>0</v>
      </c>
      <c r="AE59" s="44">
        <f t="shared" si="3"/>
        <v>6.4904411032317569E-3</v>
      </c>
      <c r="AF59" s="44">
        <f t="shared" si="4"/>
        <v>0</v>
      </c>
      <c r="AG59" s="44">
        <f>Table114[[#This Row],[Column2]]/$D$129*0.5</f>
        <v>5.4133709179943834E-3</v>
      </c>
      <c r="AH59" s="44">
        <f>Table114[[#This Row],[Column29]]/$D$129*1.5</f>
        <v>1.6240112753983151E-2</v>
      </c>
    </row>
    <row r="60" spans="3:34">
      <c r="C60" s="44" t="s">
        <v>651</v>
      </c>
      <c r="D60" s="44">
        <v>4.4719238892022048E-2</v>
      </c>
      <c r="E60" s="44">
        <f t="shared" ref="E60:Q60" si="12">((LEN($C60)-LEN(SUBSTITUTE($C60,E$3,"")))/4)*$D60</f>
        <v>0</v>
      </c>
      <c r="F60" s="44">
        <f t="shared" si="12"/>
        <v>0</v>
      </c>
      <c r="G60" s="44">
        <f t="shared" si="12"/>
        <v>0</v>
      </c>
      <c r="H60" s="44">
        <f t="shared" si="12"/>
        <v>0</v>
      </c>
      <c r="I60" s="44">
        <f t="shared" si="12"/>
        <v>0</v>
      </c>
      <c r="J60" s="44">
        <f t="shared" si="12"/>
        <v>0</v>
      </c>
      <c r="K60" s="44">
        <f t="shared" si="12"/>
        <v>4.4719238892022048E-2</v>
      </c>
      <c r="L60" s="44">
        <f t="shared" si="12"/>
        <v>8.9438477784044096E-2</v>
      </c>
      <c r="M60" s="44">
        <f t="shared" si="12"/>
        <v>0</v>
      </c>
      <c r="N60" s="44">
        <f t="shared" si="12"/>
        <v>0</v>
      </c>
      <c r="O60" s="44">
        <f t="shared" si="12"/>
        <v>0</v>
      </c>
      <c r="P60" s="44">
        <f t="shared" si="12"/>
        <v>0</v>
      </c>
      <c r="Q60" s="44">
        <f t="shared" si="12"/>
        <v>0</v>
      </c>
      <c r="R60" s="44">
        <f t="shared" si="10"/>
        <v>0</v>
      </c>
      <c r="S60" s="44">
        <f t="shared" si="10"/>
        <v>0</v>
      </c>
      <c r="T60" s="44">
        <f t="shared" si="10"/>
        <v>0</v>
      </c>
      <c r="U60" s="44">
        <f>((LEN($C60)-LEN(SUBSTITUTE($C60,U$3,"")))/4)*$D60</f>
        <v>0</v>
      </c>
      <c r="V60" s="44">
        <f>((LEN($C60)-LEN(SUBSTITUTE($C60,V$3,"")))/4)*$D60</f>
        <v>0</v>
      </c>
      <c r="W60" s="44">
        <f>((LEN($C60)-LEN(SUBSTITUTE($C60,W$3,"")))/4)*$D60</f>
        <v>0</v>
      </c>
      <c r="X60" s="44">
        <f>((LEN($C60)-LEN(SUBSTITUTE($C60,X$3,"")))/4)*$D60</f>
        <v>0</v>
      </c>
      <c r="Y60" s="44">
        <f>((LEN($C60)-LEN(SUBSTITUTE($C60,Y$3,"")))/4)*$D60</f>
        <v>0</v>
      </c>
      <c r="Z60" s="44">
        <f t="shared" si="7"/>
        <v>0</v>
      </c>
      <c r="AA60" s="44">
        <f t="shared" si="7"/>
        <v>0</v>
      </c>
      <c r="AB60" s="44">
        <f t="shared" si="7"/>
        <v>0</v>
      </c>
      <c r="AC60" s="44">
        <f t="shared" si="7"/>
        <v>0</v>
      </c>
      <c r="AD60" s="44">
        <f t="shared" si="7"/>
        <v>0</v>
      </c>
      <c r="AE60" s="44">
        <f>SUM(E60:AD60)/IF(ISNUMBER(SEARCH(";", C60)), IF(ISNUMBER(SEARCH(";", C60, SEARCH(";", C60)+1)), 9, 6), 3)</f>
        <v>4.4719238892022041E-2</v>
      </c>
      <c r="AF60" s="44">
        <f>D60-AE60</f>
        <v>0</v>
      </c>
      <c r="AG60" s="44">
        <f>Table114[[#This Row],[Column2]]/$D$129*0.5</f>
        <v>3.7298208772340108E-2</v>
      </c>
      <c r="AH60" s="44">
        <f>Table114[[#This Row],[Column29]]/$D$129*1.5</f>
        <v>0.11189462631702032</v>
      </c>
    </row>
    <row r="61" spans="3:34">
      <c r="C61" s="47" t="s">
        <v>414</v>
      </c>
      <c r="D61" s="47">
        <v>3.3154767519869618E-3</v>
      </c>
      <c r="E61" s="47">
        <f t="shared" si="11"/>
        <v>0</v>
      </c>
      <c r="F61" s="47">
        <f t="shared" si="11"/>
        <v>0</v>
      </c>
      <c r="G61" s="47">
        <f t="shared" si="11"/>
        <v>0</v>
      </c>
      <c r="H61" s="47">
        <f t="shared" si="11"/>
        <v>0</v>
      </c>
      <c r="I61" s="47">
        <f t="shared" si="11"/>
        <v>0</v>
      </c>
      <c r="J61" s="47">
        <f t="shared" si="11"/>
        <v>0</v>
      </c>
      <c r="K61" s="47">
        <f t="shared" si="11"/>
        <v>3.3154767519869618E-3</v>
      </c>
      <c r="L61" s="47">
        <f t="shared" si="11"/>
        <v>3.3154767519869618E-3</v>
      </c>
      <c r="M61" s="47">
        <f t="shared" si="11"/>
        <v>0</v>
      </c>
      <c r="N61" s="47">
        <f t="shared" si="11"/>
        <v>0</v>
      </c>
      <c r="O61" s="47">
        <f t="shared" si="11"/>
        <v>3.3154767519869618E-3</v>
      </c>
      <c r="P61" s="47">
        <f t="shared" si="11"/>
        <v>0</v>
      </c>
      <c r="Q61" s="47">
        <f t="shared" si="11"/>
        <v>0</v>
      </c>
      <c r="R61" s="47">
        <f t="shared" si="10"/>
        <v>0</v>
      </c>
      <c r="S61" s="47">
        <f t="shared" si="10"/>
        <v>0</v>
      </c>
      <c r="T61" s="47">
        <f t="shared" si="10"/>
        <v>0</v>
      </c>
      <c r="U61" s="47">
        <f t="shared" si="9"/>
        <v>0</v>
      </c>
      <c r="V61" s="47">
        <f t="shared" si="9"/>
        <v>0</v>
      </c>
      <c r="W61" s="47">
        <f t="shared" si="9"/>
        <v>0</v>
      </c>
      <c r="X61" s="47">
        <f t="shared" si="9"/>
        <v>0</v>
      </c>
      <c r="Y61" s="47">
        <f t="shared" si="9"/>
        <v>0</v>
      </c>
      <c r="Z61" s="47">
        <f t="shared" si="9"/>
        <v>0</v>
      </c>
      <c r="AA61" s="47">
        <f t="shared" si="9"/>
        <v>0</v>
      </c>
      <c r="AB61" s="47">
        <f t="shared" si="9"/>
        <v>0</v>
      </c>
      <c r="AC61" s="47">
        <f t="shared" si="9"/>
        <v>0</v>
      </c>
      <c r="AD61" s="47">
        <f t="shared" si="9"/>
        <v>0</v>
      </c>
      <c r="AE61" s="47">
        <f t="shared" si="3"/>
        <v>3.3154767519869618E-3</v>
      </c>
      <c r="AF61" s="47">
        <f t="shared" si="4"/>
        <v>0</v>
      </c>
      <c r="AG61" s="47">
        <f>Table114[[#This Row],[Column2]]/$D$129*0.5</f>
        <v>2.7652828433426466E-3</v>
      </c>
      <c r="AH61" s="47">
        <f>Table114[[#This Row],[Column29]]/$D$129*1.5</f>
        <v>8.2958485300279397E-3</v>
      </c>
    </row>
    <row r="62" spans="3:34">
      <c r="C62" s="44" t="s">
        <v>415</v>
      </c>
      <c r="D62" s="44">
        <v>1.7572529536322549E-2</v>
      </c>
      <c r="E62" s="44">
        <f t="shared" si="11"/>
        <v>0</v>
      </c>
      <c r="F62" s="44">
        <f t="shared" si="11"/>
        <v>0</v>
      </c>
      <c r="G62" s="44">
        <f t="shared" si="11"/>
        <v>0</v>
      </c>
      <c r="H62" s="44">
        <f t="shared" si="11"/>
        <v>0</v>
      </c>
      <c r="I62" s="44">
        <f t="shared" si="11"/>
        <v>0</v>
      </c>
      <c r="J62" s="44">
        <f t="shared" si="11"/>
        <v>0</v>
      </c>
      <c r="K62" s="44">
        <f t="shared" si="11"/>
        <v>1.7572529536322549E-2</v>
      </c>
      <c r="L62" s="44">
        <f t="shared" si="11"/>
        <v>1.7572529536322549E-2</v>
      </c>
      <c r="M62" s="44">
        <f t="shared" si="11"/>
        <v>0</v>
      </c>
      <c r="N62" s="44">
        <f t="shared" si="11"/>
        <v>0</v>
      </c>
      <c r="O62" s="44">
        <f t="shared" si="11"/>
        <v>0</v>
      </c>
      <c r="P62" s="44">
        <f t="shared" si="11"/>
        <v>0</v>
      </c>
      <c r="Q62" s="44">
        <f t="shared" si="11"/>
        <v>0</v>
      </c>
      <c r="R62" s="44">
        <f t="shared" si="10"/>
        <v>1.7572529536322549E-2</v>
      </c>
      <c r="S62" s="44">
        <f t="shared" si="10"/>
        <v>0</v>
      </c>
      <c r="T62" s="44">
        <f t="shared" si="10"/>
        <v>0</v>
      </c>
      <c r="U62" s="44">
        <f t="shared" si="9"/>
        <v>0</v>
      </c>
      <c r="V62" s="44">
        <f t="shared" si="9"/>
        <v>0</v>
      </c>
      <c r="W62" s="44">
        <f t="shared" si="9"/>
        <v>0</v>
      </c>
      <c r="X62" s="44">
        <f t="shared" si="9"/>
        <v>0</v>
      </c>
      <c r="Y62" s="44">
        <f t="shared" si="9"/>
        <v>0</v>
      </c>
      <c r="Z62" s="44">
        <f t="shared" si="9"/>
        <v>0</v>
      </c>
      <c r="AA62" s="44">
        <f t="shared" si="9"/>
        <v>0</v>
      </c>
      <c r="AB62" s="44">
        <f t="shared" si="9"/>
        <v>0</v>
      </c>
      <c r="AC62" s="44">
        <f t="shared" si="9"/>
        <v>0</v>
      </c>
      <c r="AD62" s="44">
        <f t="shared" si="9"/>
        <v>0</v>
      </c>
      <c r="AE62" s="44">
        <f t="shared" si="3"/>
        <v>1.7572529536322549E-2</v>
      </c>
      <c r="AF62" s="44">
        <f t="shared" si="4"/>
        <v>0</v>
      </c>
      <c r="AG62" s="44">
        <f>Table114[[#This Row],[Column2]]/$D$129*0.5</f>
        <v>1.4656418390448045E-2</v>
      </c>
      <c r="AH62" s="44">
        <f>Table114[[#This Row],[Column29]]/$D$129*1.5</f>
        <v>4.3969255171344132E-2</v>
      </c>
    </row>
    <row r="63" spans="3:34">
      <c r="C63" s="44" t="s">
        <v>416</v>
      </c>
      <c r="D63" s="44">
        <v>4.8353453916559026E-3</v>
      </c>
      <c r="E63" s="44">
        <f t="shared" si="11"/>
        <v>0</v>
      </c>
      <c r="F63" s="44">
        <f t="shared" si="11"/>
        <v>0</v>
      </c>
      <c r="G63" s="44">
        <f t="shared" si="11"/>
        <v>0</v>
      </c>
      <c r="H63" s="44">
        <f t="shared" si="11"/>
        <v>0</v>
      </c>
      <c r="I63" s="44">
        <f t="shared" si="11"/>
        <v>0</v>
      </c>
      <c r="J63" s="44">
        <f t="shared" si="11"/>
        <v>0</v>
      </c>
      <c r="K63" s="44">
        <f t="shared" si="11"/>
        <v>4.8353453916559026E-3</v>
      </c>
      <c r="L63" s="44">
        <f t="shared" si="11"/>
        <v>4.8353453916559026E-3</v>
      </c>
      <c r="M63" s="44">
        <f t="shared" si="11"/>
        <v>0</v>
      </c>
      <c r="N63" s="44">
        <f t="shared" si="11"/>
        <v>0</v>
      </c>
      <c r="O63" s="44">
        <f t="shared" si="11"/>
        <v>0</v>
      </c>
      <c r="P63" s="44">
        <f t="shared" si="11"/>
        <v>0</v>
      </c>
      <c r="Q63" s="44">
        <f t="shared" si="11"/>
        <v>0</v>
      </c>
      <c r="R63" s="44">
        <f t="shared" si="10"/>
        <v>0</v>
      </c>
      <c r="S63" s="44">
        <f t="shared" si="10"/>
        <v>4.8353453916559026E-3</v>
      </c>
      <c r="T63" s="44">
        <f t="shared" si="10"/>
        <v>0</v>
      </c>
      <c r="U63" s="44">
        <f t="shared" si="9"/>
        <v>0</v>
      </c>
      <c r="V63" s="44">
        <f t="shared" si="9"/>
        <v>0</v>
      </c>
      <c r="W63" s="44">
        <f t="shared" si="9"/>
        <v>0</v>
      </c>
      <c r="X63" s="44">
        <f t="shared" si="9"/>
        <v>0</v>
      </c>
      <c r="Y63" s="44">
        <f t="shared" si="9"/>
        <v>0</v>
      </c>
      <c r="Z63" s="44">
        <f t="shared" si="9"/>
        <v>0</v>
      </c>
      <c r="AA63" s="44">
        <f t="shared" si="9"/>
        <v>0</v>
      </c>
      <c r="AB63" s="44">
        <f t="shared" si="9"/>
        <v>0</v>
      </c>
      <c r="AC63" s="44">
        <f t="shared" si="9"/>
        <v>0</v>
      </c>
      <c r="AD63" s="44">
        <f t="shared" si="9"/>
        <v>0</v>
      </c>
      <c r="AE63" s="44">
        <f t="shared" si="3"/>
        <v>4.8353453916559026E-3</v>
      </c>
      <c r="AF63" s="44">
        <f t="shared" si="4"/>
        <v>0</v>
      </c>
      <c r="AG63" s="44">
        <f>Table114[[#This Row],[Column2]]/$D$129*0.5</f>
        <v>4.0329336181195398E-3</v>
      </c>
      <c r="AH63" s="44">
        <f>Table114[[#This Row],[Column29]]/$D$129*1.5</f>
        <v>1.2098800854358618E-2</v>
      </c>
    </row>
    <row r="64" spans="3:34">
      <c r="C64" s="47" t="s">
        <v>417</v>
      </c>
      <c r="D64" s="47">
        <v>1.6121828519812011E-3</v>
      </c>
      <c r="E64" s="47">
        <f t="shared" si="11"/>
        <v>0</v>
      </c>
      <c r="F64" s="47">
        <f t="shared" si="11"/>
        <v>0</v>
      </c>
      <c r="G64" s="47">
        <f t="shared" si="11"/>
        <v>0</v>
      </c>
      <c r="H64" s="47">
        <f t="shared" si="11"/>
        <v>0</v>
      </c>
      <c r="I64" s="47">
        <f t="shared" si="11"/>
        <v>0</v>
      </c>
      <c r="J64" s="47">
        <f t="shared" si="11"/>
        <v>0</v>
      </c>
      <c r="K64" s="47">
        <f t="shared" si="11"/>
        <v>1.6121828519812011E-3</v>
      </c>
      <c r="L64" s="47">
        <f t="shared" si="11"/>
        <v>1.6121828519812011E-3</v>
      </c>
      <c r="M64" s="47">
        <f t="shared" si="11"/>
        <v>0</v>
      </c>
      <c r="N64" s="47">
        <f t="shared" si="11"/>
        <v>0</v>
      </c>
      <c r="O64" s="47">
        <f t="shared" si="11"/>
        <v>0</v>
      </c>
      <c r="P64" s="47">
        <f t="shared" si="11"/>
        <v>0</v>
      </c>
      <c r="Q64" s="47">
        <f t="shared" si="11"/>
        <v>0</v>
      </c>
      <c r="R64" s="47">
        <f t="shared" si="10"/>
        <v>0</v>
      </c>
      <c r="S64" s="47">
        <f t="shared" si="10"/>
        <v>0</v>
      </c>
      <c r="T64" s="47">
        <f t="shared" si="10"/>
        <v>0</v>
      </c>
      <c r="U64" s="47">
        <f t="shared" si="9"/>
        <v>0</v>
      </c>
      <c r="V64" s="47">
        <f t="shared" si="9"/>
        <v>0</v>
      </c>
      <c r="W64" s="47">
        <f t="shared" si="9"/>
        <v>0</v>
      </c>
      <c r="X64" s="47">
        <f t="shared" si="9"/>
        <v>0</v>
      </c>
      <c r="Y64" s="47">
        <f t="shared" si="9"/>
        <v>1.6121828519812011E-3</v>
      </c>
      <c r="Z64" s="47">
        <f t="shared" si="9"/>
        <v>0</v>
      </c>
      <c r="AA64" s="47">
        <f t="shared" si="9"/>
        <v>0</v>
      </c>
      <c r="AB64" s="47">
        <f t="shared" si="9"/>
        <v>0</v>
      </c>
      <c r="AC64" s="47">
        <f t="shared" si="9"/>
        <v>0</v>
      </c>
      <c r="AD64" s="47">
        <f t="shared" si="9"/>
        <v>0</v>
      </c>
      <c r="AE64" s="47">
        <f t="shared" si="3"/>
        <v>1.6121828519812011E-3</v>
      </c>
      <c r="AF64" s="47">
        <f t="shared" si="4"/>
        <v>0</v>
      </c>
      <c r="AG64" s="47">
        <f>Table114[[#This Row],[Column2]]/$D$129*0.5</f>
        <v>1.3446457069086891E-3</v>
      </c>
      <c r="AH64" s="47">
        <f>Table114[[#This Row],[Column29]]/$D$129*1.5</f>
        <v>4.0339371207260676E-3</v>
      </c>
    </row>
    <row r="65" spans="3:34">
      <c r="C65" s="44" t="s">
        <v>418</v>
      </c>
      <c r="D65" s="44">
        <v>2.0984903983622535E-3</v>
      </c>
      <c r="E65" s="44">
        <f t="shared" si="11"/>
        <v>0</v>
      </c>
      <c r="F65" s="44">
        <f t="shared" si="11"/>
        <v>0</v>
      </c>
      <c r="G65" s="44">
        <f t="shared" si="11"/>
        <v>0</v>
      </c>
      <c r="H65" s="44">
        <f t="shared" si="11"/>
        <v>0</v>
      </c>
      <c r="I65" s="44">
        <f t="shared" si="11"/>
        <v>0</v>
      </c>
      <c r="J65" s="44">
        <f t="shared" si="11"/>
        <v>0</v>
      </c>
      <c r="K65" s="44">
        <f t="shared" si="11"/>
        <v>2.0984903983622535E-3</v>
      </c>
      <c r="L65" s="44">
        <f t="shared" si="11"/>
        <v>2.0984903983622535E-3</v>
      </c>
      <c r="M65" s="44">
        <f t="shared" si="11"/>
        <v>0</v>
      </c>
      <c r="N65" s="44">
        <f t="shared" si="11"/>
        <v>0</v>
      </c>
      <c r="O65" s="44">
        <f t="shared" si="11"/>
        <v>0</v>
      </c>
      <c r="P65" s="44">
        <f t="shared" si="11"/>
        <v>0</v>
      </c>
      <c r="Q65" s="44">
        <f t="shared" si="11"/>
        <v>0</v>
      </c>
      <c r="R65" s="44">
        <f t="shared" si="10"/>
        <v>0</v>
      </c>
      <c r="S65" s="44">
        <f t="shared" si="10"/>
        <v>0</v>
      </c>
      <c r="T65" s="44">
        <f t="shared" si="10"/>
        <v>0</v>
      </c>
      <c r="U65" s="44">
        <f t="shared" si="9"/>
        <v>0</v>
      </c>
      <c r="V65" s="44">
        <f t="shared" si="9"/>
        <v>0</v>
      </c>
      <c r="W65" s="44">
        <f t="shared" si="9"/>
        <v>0</v>
      </c>
      <c r="X65" s="44">
        <f t="shared" si="9"/>
        <v>0</v>
      </c>
      <c r="Y65" s="44">
        <f t="shared" si="9"/>
        <v>0</v>
      </c>
      <c r="Z65" s="44">
        <f t="shared" si="9"/>
        <v>2.0984903983622535E-3</v>
      </c>
      <c r="AA65" s="44">
        <f t="shared" si="9"/>
        <v>0</v>
      </c>
      <c r="AB65" s="44">
        <f t="shared" si="9"/>
        <v>0</v>
      </c>
      <c r="AC65" s="44">
        <f t="shared" si="9"/>
        <v>0</v>
      </c>
      <c r="AD65" s="44">
        <f t="shared" si="9"/>
        <v>0</v>
      </c>
      <c r="AE65" s="44">
        <f t="shared" si="3"/>
        <v>2.0984903983622535E-3</v>
      </c>
      <c r="AF65" s="44">
        <f t="shared" si="4"/>
        <v>0</v>
      </c>
      <c r="AG65" s="44">
        <f>Table114[[#This Row],[Column2]]/$D$129*0.5</f>
        <v>1.7502519032994975E-3</v>
      </c>
      <c r="AH65" s="44">
        <f>Table114[[#This Row],[Column29]]/$D$129*1.5</f>
        <v>5.2507557098984926E-3</v>
      </c>
    </row>
    <row r="66" spans="3:34">
      <c r="C66" s="44" t="s">
        <v>419</v>
      </c>
      <c r="D66" s="44">
        <v>5.7675685404737749E-3</v>
      </c>
      <c r="E66" s="44">
        <f t="shared" si="11"/>
        <v>0</v>
      </c>
      <c r="F66" s="44">
        <f t="shared" si="11"/>
        <v>0</v>
      </c>
      <c r="G66" s="44">
        <f t="shared" si="11"/>
        <v>0</v>
      </c>
      <c r="H66" s="44">
        <f t="shared" si="11"/>
        <v>0</v>
      </c>
      <c r="I66" s="44">
        <f t="shared" si="11"/>
        <v>0</v>
      </c>
      <c r="J66" s="44">
        <f t="shared" si="11"/>
        <v>0</v>
      </c>
      <c r="K66" s="44">
        <f t="shared" si="11"/>
        <v>5.7675685404737749E-3</v>
      </c>
      <c r="L66" s="44">
        <f t="shared" si="11"/>
        <v>5.7675685404737749E-3</v>
      </c>
      <c r="M66" s="44">
        <f t="shared" si="11"/>
        <v>0</v>
      </c>
      <c r="N66" s="44">
        <f t="shared" si="11"/>
        <v>0</v>
      </c>
      <c r="O66" s="44">
        <f t="shared" si="11"/>
        <v>0</v>
      </c>
      <c r="P66" s="44">
        <f t="shared" si="11"/>
        <v>0</v>
      </c>
      <c r="Q66" s="44">
        <f t="shared" si="11"/>
        <v>0</v>
      </c>
      <c r="R66" s="44">
        <f t="shared" si="10"/>
        <v>0</v>
      </c>
      <c r="S66" s="44">
        <f t="shared" si="10"/>
        <v>0</v>
      </c>
      <c r="T66" s="44">
        <f t="shared" si="10"/>
        <v>0</v>
      </c>
      <c r="U66" s="44">
        <f t="shared" si="9"/>
        <v>0</v>
      </c>
      <c r="V66" s="44">
        <f t="shared" si="9"/>
        <v>0</v>
      </c>
      <c r="W66" s="44">
        <f t="shared" si="9"/>
        <v>0</v>
      </c>
      <c r="X66" s="44">
        <f t="shared" si="9"/>
        <v>0</v>
      </c>
      <c r="Y66" s="44">
        <f t="shared" si="9"/>
        <v>0</v>
      </c>
      <c r="Z66" s="44">
        <f t="shared" si="9"/>
        <v>0</v>
      </c>
      <c r="AA66" s="44">
        <f t="shared" si="9"/>
        <v>5.7675685404737749E-3</v>
      </c>
      <c r="AB66" s="44">
        <f t="shared" si="9"/>
        <v>0</v>
      </c>
      <c r="AC66" s="44">
        <f t="shared" si="9"/>
        <v>0</v>
      </c>
      <c r="AD66" s="44">
        <f t="shared" si="9"/>
        <v>0</v>
      </c>
      <c r="AE66" s="44">
        <f t="shared" si="3"/>
        <v>5.7675685404737749E-3</v>
      </c>
      <c r="AF66" s="44">
        <f t="shared" si="4"/>
        <v>0</v>
      </c>
      <c r="AG66" s="44">
        <f>Table114[[#This Row],[Column2]]/$D$129*0.5</f>
        <v>4.8104569948248695E-3</v>
      </c>
      <c r="AH66" s="44">
        <f>Table114[[#This Row],[Column29]]/$D$129*1.5</f>
        <v>1.4431370984474608E-2</v>
      </c>
    </row>
    <row r="67" spans="3:34">
      <c r="C67" s="44" t="s">
        <v>420</v>
      </c>
      <c r="D67" s="44">
        <v>8.3494158680353404E-3</v>
      </c>
      <c r="E67" s="44">
        <f t="shared" si="11"/>
        <v>0</v>
      </c>
      <c r="F67" s="44">
        <f t="shared" si="11"/>
        <v>0</v>
      </c>
      <c r="G67" s="44">
        <f t="shared" si="11"/>
        <v>0</v>
      </c>
      <c r="H67" s="44">
        <f t="shared" si="11"/>
        <v>0</v>
      </c>
      <c r="I67" s="44">
        <f t="shared" si="11"/>
        <v>0</v>
      </c>
      <c r="J67" s="44">
        <f t="shared" si="11"/>
        <v>0</v>
      </c>
      <c r="K67" s="44">
        <f t="shared" si="11"/>
        <v>8.3494158680353404E-3</v>
      </c>
      <c r="L67" s="44">
        <f t="shared" si="11"/>
        <v>8.3494158680353404E-3</v>
      </c>
      <c r="M67" s="44">
        <f t="shared" si="11"/>
        <v>0</v>
      </c>
      <c r="N67" s="44">
        <f t="shared" si="11"/>
        <v>0</v>
      </c>
      <c r="O67" s="44">
        <f t="shared" si="11"/>
        <v>0</v>
      </c>
      <c r="P67" s="44">
        <f t="shared" si="11"/>
        <v>0</v>
      </c>
      <c r="Q67" s="44">
        <f t="shared" si="11"/>
        <v>0</v>
      </c>
      <c r="R67" s="44">
        <f t="shared" si="10"/>
        <v>0</v>
      </c>
      <c r="S67" s="44">
        <f t="shared" si="10"/>
        <v>0</v>
      </c>
      <c r="T67" s="44">
        <f t="shared" si="10"/>
        <v>0</v>
      </c>
      <c r="U67" s="44">
        <f t="shared" si="9"/>
        <v>0</v>
      </c>
      <c r="V67" s="44">
        <f t="shared" si="9"/>
        <v>0</v>
      </c>
      <c r="W67" s="44">
        <f t="shared" si="9"/>
        <v>0</v>
      </c>
      <c r="X67" s="44">
        <f t="shared" si="9"/>
        <v>0</v>
      </c>
      <c r="Y67" s="44">
        <f t="shared" si="9"/>
        <v>0</v>
      </c>
      <c r="Z67" s="44">
        <f t="shared" si="9"/>
        <v>0</v>
      </c>
      <c r="AA67" s="44">
        <f t="shared" si="9"/>
        <v>0</v>
      </c>
      <c r="AB67" s="44">
        <f t="shared" si="9"/>
        <v>0</v>
      </c>
      <c r="AC67" s="44">
        <f t="shared" si="9"/>
        <v>0</v>
      </c>
      <c r="AD67" s="44">
        <f t="shared" si="9"/>
        <v>8.3494158680353404E-3</v>
      </c>
      <c r="AE67" s="44">
        <f t="shared" si="3"/>
        <v>8.3494158680353404E-3</v>
      </c>
      <c r="AF67" s="44">
        <f t="shared" si="4"/>
        <v>0</v>
      </c>
      <c r="AG67" s="44">
        <f>Table114[[#This Row],[Column2]]/$D$129*0.5</f>
        <v>6.9638541238372627E-3</v>
      </c>
      <c r="AH67" s="44">
        <f>Table114[[#This Row],[Column29]]/$D$129*1.5</f>
        <v>2.0891562371511789E-2</v>
      </c>
    </row>
    <row r="68" spans="3:34">
      <c r="C68" s="44" t="s">
        <v>421</v>
      </c>
      <c r="D68" s="44">
        <v>2.4135475611272638E-3</v>
      </c>
      <c r="E68" s="44">
        <f t="shared" si="11"/>
        <v>0</v>
      </c>
      <c r="F68" s="44">
        <f t="shared" si="11"/>
        <v>0</v>
      </c>
      <c r="G68" s="44">
        <f t="shared" si="11"/>
        <v>0</v>
      </c>
      <c r="H68" s="44">
        <f t="shared" si="11"/>
        <v>0</v>
      </c>
      <c r="I68" s="44">
        <f t="shared" si="11"/>
        <v>0</v>
      </c>
      <c r="J68" s="44">
        <f t="shared" si="11"/>
        <v>0</v>
      </c>
      <c r="K68" s="44">
        <f t="shared" si="11"/>
        <v>2.4135475611272638E-3</v>
      </c>
      <c r="L68" s="44">
        <f t="shared" si="11"/>
        <v>0</v>
      </c>
      <c r="M68" s="44">
        <f t="shared" si="11"/>
        <v>2.4135475611272638E-3</v>
      </c>
      <c r="N68" s="44">
        <f t="shared" si="11"/>
        <v>0</v>
      </c>
      <c r="O68" s="44">
        <f t="shared" si="11"/>
        <v>0</v>
      </c>
      <c r="P68" s="44">
        <f t="shared" si="11"/>
        <v>0</v>
      </c>
      <c r="Q68" s="44">
        <f t="shared" si="11"/>
        <v>0</v>
      </c>
      <c r="R68" s="44">
        <f t="shared" si="10"/>
        <v>2.4135475611272638E-3</v>
      </c>
      <c r="S68" s="44">
        <f t="shared" si="10"/>
        <v>0</v>
      </c>
      <c r="T68" s="44">
        <f t="shared" si="10"/>
        <v>0</v>
      </c>
      <c r="U68" s="44">
        <f t="shared" si="9"/>
        <v>0</v>
      </c>
      <c r="V68" s="44">
        <f t="shared" si="9"/>
        <v>0</v>
      </c>
      <c r="W68" s="44">
        <f t="shared" si="9"/>
        <v>0</v>
      </c>
      <c r="X68" s="44">
        <f t="shared" si="9"/>
        <v>0</v>
      </c>
      <c r="Y68" s="44">
        <f t="shared" si="9"/>
        <v>0</v>
      </c>
      <c r="Z68" s="44">
        <f t="shared" si="9"/>
        <v>0</v>
      </c>
      <c r="AA68" s="44">
        <f t="shared" si="9"/>
        <v>0</v>
      </c>
      <c r="AB68" s="44">
        <f t="shared" si="9"/>
        <v>0</v>
      </c>
      <c r="AC68" s="44">
        <f t="shared" si="9"/>
        <v>0</v>
      </c>
      <c r="AD68" s="44">
        <f t="shared" si="9"/>
        <v>0</v>
      </c>
      <c r="AE68" s="44">
        <f t="shared" ref="AE68:AE128" si="13">SUM(E68:AD68)/IF(ISNUMBER(SEARCH(";", C68)), IF(ISNUMBER(SEARCH(";", C68, SEARCH(";", C68)+1)), 9, 6), 3)</f>
        <v>2.4135475611272638E-3</v>
      </c>
      <c r="AF68" s="44">
        <f t="shared" ref="AF68:AF128" si="14">D68-AE68</f>
        <v>0</v>
      </c>
      <c r="AG68" s="44">
        <f>Table114[[#This Row],[Column2]]/$D$129*0.5</f>
        <v>2.0130262286945323E-3</v>
      </c>
      <c r="AH68" s="44">
        <f>Table114[[#This Row],[Column29]]/$D$129*1.5</f>
        <v>6.0390786860835969E-3</v>
      </c>
    </row>
    <row r="69" spans="3:34">
      <c r="C69" s="44" t="s">
        <v>422</v>
      </c>
      <c r="D69" s="44">
        <v>3.2664191604944116E-3</v>
      </c>
      <c r="E69" s="44">
        <f t="shared" si="11"/>
        <v>0</v>
      </c>
      <c r="F69" s="44">
        <f t="shared" si="11"/>
        <v>0</v>
      </c>
      <c r="G69" s="44">
        <f t="shared" si="11"/>
        <v>0</v>
      </c>
      <c r="H69" s="44">
        <f t="shared" si="11"/>
        <v>0</v>
      </c>
      <c r="I69" s="44">
        <f t="shared" si="11"/>
        <v>0</v>
      </c>
      <c r="J69" s="44">
        <f t="shared" si="11"/>
        <v>0</v>
      </c>
      <c r="K69" s="44">
        <f t="shared" si="11"/>
        <v>3.2664191604944116E-3</v>
      </c>
      <c r="L69" s="44">
        <f t="shared" si="11"/>
        <v>0</v>
      </c>
      <c r="M69" s="44">
        <f t="shared" si="11"/>
        <v>3.2664191604944116E-3</v>
      </c>
      <c r="N69" s="44">
        <f t="shared" si="11"/>
        <v>0</v>
      </c>
      <c r="O69" s="44">
        <f t="shared" si="11"/>
        <v>0</v>
      </c>
      <c r="P69" s="44">
        <f t="shared" si="11"/>
        <v>0</v>
      </c>
      <c r="Q69" s="44">
        <f t="shared" si="11"/>
        <v>0</v>
      </c>
      <c r="R69" s="44">
        <f t="shared" si="10"/>
        <v>0</v>
      </c>
      <c r="S69" s="44">
        <f t="shared" si="10"/>
        <v>3.2664191604944116E-3</v>
      </c>
      <c r="T69" s="44">
        <f t="shared" si="10"/>
        <v>0</v>
      </c>
      <c r="U69" s="44">
        <f t="shared" si="9"/>
        <v>0</v>
      </c>
      <c r="V69" s="44">
        <f t="shared" si="9"/>
        <v>0</v>
      </c>
      <c r="W69" s="44">
        <f t="shared" si="9"/>
        <v>0</v>
      </c>
      <c r="X69" s="44">
        <f t="shared" si="9"/>
        <v>0</v>
      </c>
      <c r="Y69" s="44">
        <f t="shared" si="9"/>
        <v>0</v>
      </c>
      <c r="Z69" s="44">
        <f t="shared" si="9"/>
        <v>0</v>
      </c>
      <c r="AA69" s="44">
        <f t="shared" si="9"/>
        <v>0</v>
      </c>
      <c r="AB69" s="44">
        <f t="shared" si="9"/>
        <v>0</v>
      </c>
      <c r="AC69" s="44">
        <f t="shared" si="9"/>
        <v>0</v>
      </c>
      <c r="AD69" s="44">
        <f t="shared" si="9"/>
        <v>0</v>
      </c>
      <c r="AE69" s="44">
        <f t="shared" si="13"/>
        <v>3.2664191604944112E-3</v>
      </c>
      <c r="AF69" s="44">
        <f t="shared" si="14"/>
        <v>0</v>
      </c>
      <c r="AG69" s="44">
        <f>Table114[[#This Row],[Column2]]/$D$129*0.5</f>
        <v>2.7243662192074415E-3</v>
      </c>
      <c r="AH69" s="44">
        <f>Table114[[#This Row],[Column29]]/$D$129*1.5</f>
        <v>8.1730986576223231E-3</v>
      </c>
    </row>
    <row r="70" spans="3:34">
      <c r="C70" s="44" t="s">
        <v>424</v>
      </c>
      <c r="D70" s="44">
        <v>1.5583126033378457E-3</v>
      </c>
      <c r="E70" s="44">
        <f t="shared" si="11"/>
        <v>0</v>
      </c>
      <c r="F70" s="44">
        <f t="shared" si="11"/>
        <v>0</v>
      </c>
      <c r="G70" s="44">
        <f t="shared" si="11"/>
        <v>0</v>
      </c>
      <c r="H70" s="44">
        <f t="shared" si="11"/>
        <v>0</v>
      </c>
      <c r="I70" s="44">
        <f t="shared" si="11"/>
        <v>0</v>
      </c>
      <c r="J70" s="44">
        <f t="shared" si="11"/>
        <v>0</v>
      </c>
      <c r="K70" s="44">
        <f t="shared" si="11"/>
        <v>1.5583126033378457E-3</v>
      </c>
      <c r="L70" s="44">
        <f t="shared" si="11"/>
        <v>0</v>
      </c>
      <c r="M70" s="44">
        <f t="shared" si="11"/>
        <v>1.5583126033378457E-3</v>
      </c>
      <c r="N70" s="44">
        <f t="shared" si="11"/>
        <v>0</v>
      </c>
      <c r="O70" s="44">
        <f t="shared" si="11"/>
        <v>0</v>
      </c>
      <c r="P70" s="44">
        <f t="shared" si="11"/>
        <v>0</v>
      </c>
      <c r="Q70" s="44">
        <f t="shared" si="11"/>
        <v>0</v>
      </c>
      <c r="R70" s="44">
        <f t="shared" si="10"/>
        <v>0</v>
      </c>
      <c r="S70" s="44">
        <f t="shared" si="10"/>
        <v>0</v>
      </c>
      <c r="T70" s="44">
        <f t="shared" si="10"/>
        <v>1.5583126033378457E-3</v>
      </c>
      <c r="U70" s="44">
        <f t="shared" si="9"/>
        <v>0</v>
      </c>
      <c r="V70" s="44">
        <f t="shared" si="9"/>
        <v>0</v>
      </c>
      <c r="W70" s="44">
        <f t="shared" si="9"/>
        <v>0</v>
      </c>
      <c r="X70" s="44">
        <f t="shared" si="9"/>
        <v>0</v>
      </c>
      <c r="Y70" s="44">
        <f t="shared" si="9"/>
        <v>0</v>
      </c>
      <c r="Z70" s="44">
        <f t="shared" si="9"/>
        <v>0</v>
      </c>
      <c r="AA70" s="44">
        <f t="shared" si="9"/>
        <v>0</v>
      </c>
      <c r="AB70" s="44">
        <f t="shared" si="9"/>
        <v>0</v>
      </c>
      <c r="AC70" s="44">
        <f t="shared" si="9"/>
        <v>0</v>
      </c>
      <c r="AD70" s="44">
        <f t="shared" si="9"/>
        <v>0</v>
      </c>
      <c r="AE70" s="44">
        <f t="shared" si="13"/>
        <v>1.5583126033378457E-3</v>
      </c>
      <c r="AF70" s="44">
        <f t="shared" si="14"/>
        <v>0</v>
      </c>
      <c r="AG70" s="44">
        <f>Table114[[#This Row],[Column2]]/$D$129*0.5</f>
        <v>1.2997150723473708E-3</v>
      </c>
      <c r="AH70" s="44">
        <f>Table114[[#This Row],[Column29]]/$D$129*1.5</f>
        <v>3.8991452170421123E-3</v>
      </c>
    </row>
    <row r="71" spans="3:34">
      <c r="C71" s="44" t="s">
        <v>426</v>
      </c>
      <c r="D71" s="44">
        <v>2.9439711313906693E-3</v>
      </c>
      <c r="E71" s="44">
        <f t="shared" si="11"/>
        <v>0</v>
      </c>
      <c r="F71" s="44">
        <f t="shared" si="11"/>
        <v>0</v>
      </c>
      <c r="G71" s="44">
        <f t="shared" si="11"/>
        <v>0</v>
      </c>
      <c r="H71" s="44">
        <f t="shared" si="11"/>
        <v>0</v>
      </c>
      <c r="I71" s="44">
        <f t="shared" si="11"/>
        <v>0</v>
      </c>
      <c r="J71" s="44">
        <f t="shared" si="11"/>
        <v>0</v>
      </c>
      <c r="K71" s="44">
        <f t="shared" si="11"/>
        <v>2.9439711313906693E-3</v>
      </c>
      <c r="L71" s="44">
        <f t="shared" si="11"/>
        <v>0</v>
      </c>
      <c r="M71" s="44">
        <f t="shared" si="11"/>
        <v>2.9439711313906693E-3</v>
      </c>
      <c r="N71" s="44">
        <f t="shared" si="11"/>
        <v>0</v>
      </c>
      <c r="O71" s="44">
        <f t="shared" si="11"/>
        <v>0</v>
      </c>
      <c r="P71" s="44">
        <f t="shared" si="11"/>
        <v>0</v>
      </c>
      <c r="Q71" s="44">
        <f t="shared" si="11"/>
        <v>0</v>
      </c>
      <c r="R71" s="44">
        <f t="shared" si="10"/>
        <v>0</v>
      </c>
      <c r="S71" s="44">
        <f t="shared" si="10"/>
        <v>0</v>
      </c>
      <c r="T71" s="44">
        <f t="shared" si="10"/>
        <v>0</v>
      </c>
      <c r="U71" s="44">
        <f t="shared" si="9"/>
        <v>0</v>
      </c>
      <c r="V71" s="44">
        <f t="shared" si="9"/>
        <v>0</v>
      </c>
      <c r="W71" s="44">
        <f t="shared" si="9"/>
        <v>0</v>
      </c>
      <c r="X71" s="44">
        <f t="shared" si="9"/>
        <v>0</v>
      </c>
      <c r="Y71" s="44">
        <f t="shared" si="9"/>
        <v>0</v>
      </c>
      <c r="Z71" s="44">
        <f t="shared" si="9"/>
        <v>0</v>
      </c>
      <c r="AA71" s="44">
        <f t="shared" si="9"/>
        <v>2.9439711313906693E-3</v>
      </c>
      <c r="AB71" s="44">
        <f t="shared" si="9"/>
        <v>0</v>
      </c>
      <c r="AC71" s="44">
        <f t="shared" si="9"/>
        <v>0</v>
      </c>
      <c r="AD71" s="44">
        <f t="shared" si="9"/>
        <v>0</v>
      </c>
      <c r="AE71" s="44">
        <f t="shared" si="13"/>
        <v>2.9439711313906693E-3</v>
      </c>
      <c r="AF71" s="44">
        <f t="shared" si="14"/>
        <v>0</v>
      </c>
      <c r="AG71" s="44">
        <f>Table114[[#This Row],[Column2]]/$D$129*0.5</f>
        <v>2.4554275206580224E-3</v>
      </c>
      <c r="AH71" s="44">
        <f>Table114[[#This Row],[Column29]]/$D$129*1.5</f>
        <v>7.3662825619740671E-3</v>
      </c>
    </row>
    <row r="72" spans="3:34">
      <c r="C72" s="47" t="s">
        <v>427</v>
      </c>
      <c r="D72" s="47">
        <v>1.9894464730972031E-3</v>
      </c>
      <c r="E72" s="47">
        <f t="shared" si="11"/>
        <v>0</v>
      </c>
      <c r="F72" s="47">
        <f t="shared" si="11"/>
        <v>0</v>
      </c>
      <c r="G72" s="47">
        <f t="shared" si="11"/>
        <v>0</v>
      </c>
      <c r="H72" s="47">
        <f t="shared" si="11"/>
        <v>0</v>
      </c>
      <c r="I72" s="47">
        <f t="shared" si="11"/>
        <v>0</v>
      </c>
      <c r="J72" s="47">
        <f t="shared" si="11"/>
        <v>0</v>
      </c>
      <c r="K72" s="47">
        <f t="shared" si="11"/>
        <v>1.9894464730972031E-3</v>
      </c>
      <c r="L72" s="47">
        <f t="shared" si="11"/>
        <v>0</v>
      </c>
      <c r="M72" s="47">
        <f t="shared" si="11"/>
        <v>0</v>
      </c>
      <c r="N72" s="47">
        <f t="shared" si="11"/>
        <v>1.9894464730972031E-3</v>
      </c>
      <c r="O72" s="47">
        <f t="shared" si="11"/>
        <v>0</v>
      </c>
      <c r="P72" s="47">
        <f t="shared" si="11"/>
        <v>0</v>
      </c>
      <c r="Q72" s="47">
        <f t="shared" si="11"/>
        <v>0</v>
      </c>
      <c r="R72" s="47">
        <f t="shared" si="10"/>
        <v>1.9894464730972031E-3</v>
      </c>
      <c r="S72" s="47">
        <f t="shared" si="10"/>
        <v>0</v>
      </c>
      <c r="T72" s="47">
        <f t="shared" si="10"/>
        <v>0</v>
      </c>
      <c r="U72" s="47">
        <f t="shared" si="9"/>
        <v>0</v>
      </c>
      <c r="V72" s="47">
        <f t="shared" si="9"/>
        <v>0</v>
      </c>
      <c r="W72" s="47">
        <f t="shared" si="9"/>
        <v>0</v>
      </c>
      <c r="X72" s="47">
        <f t="shared" si="9"/>
        <v>0</v>
      </c>
      <c r="Y72" s="47">
        <f t="shared" si="9"/>
        <v>0</v>
      </c>
      <c r="Z72" s="47">
        <f t="shared" si="9"/>
        <v>0</v>
      </c>
      <c r="AA72" s="47">
        <f t="shared" si="9"/>
        <v>0</v>
      </c>
      <c r="AB72" s="47">
        <f t="shared" si="9"/>
        <v>0</v>
      </c>
      <c r="AC72" s="47">
        <f t="shared" si="9"/>
        <v>0</v>
      </c>
      <c r="AD72" s="47">
        <f t="shared" si="9"/>
        <v>0</v>
      </c>
      <c r="AE72" s="47">
        <f t="shared" si="13"/>
        <v>1.9894464730972031E-3</v>
      </c>
      <c r="AF72" s="47">
        <f t="shared" si="14"/>
        <v>0</v>
      </c>
      <c r="AG72" s="47">
        <f>Table114[[#This Row],[Column2]]/$D$129*0.5</f>
        <v>1.6593035063531244E-3</v>
      </c>
      <c r="AH72" s="47">
        <f>Table114[[#This Row],[Column29]]/$D$129*1.5</f>
        <v>4.9779105190593731E-3</v>
      </c>
    </row>
    <row r="73" spans="3:34">
      <c r="C73" s="47" t="s">
        <v>429</v>
      </c>
      <c r="D73" s="47">
        <v>2.345325281337767E-3</v>
      </c>
      <c r="E73" s="47">
        <f t="shared" si="11"/>
        <v>0</v>
      </c>
      <c r="F73" s="47">
        <f t="shared" si="11"/>
        <v>0</v>
      </c>
      <c r="G73" s="47">
        <f t="shared" si="11"/>
        <v>0</v>
      </c>
      <c r="H73" s="47">
        <f t="shared" si="11"/>
        <v>0</v>
      </c>
      <c r="I73" s="47">
        <f t="shared" si="11"/>
        <v>0</v>
      </c>
      <c r="J73" s="47">
        <f t="shared" si="11"/>
        <v>0</v>
      </c>
      <c r="K73" s="47">
        <f t="shared" si="11"/>
        <v>2.345325281337767E-3</v>
      </c>
      <c r="L73" s="47">
        <f t="shared" si="11"/>
        <v>0</v>
      </c>
      <c r="M73" s="47">
        <f t="shared" ref="M73:Y98" si="15">((LEN($C73)-LEN(SUBSTITUTE($C73,M$3,"")))/4)*$D73</f>
        <v>0</v>
      </c>
      <c r="N73" s="47">
        <f t="shared" si="15"/>
        <v>2.345325281337767E-3</v>
      </c>
      <c r="O73" s="47">
        <f t="shared" si="15"/>
        <v>0</v>
      </c>
      <c r="P73" s="47">
        <f t="shared" si="15"/>
        <v>0</v>
      </c>
      <c r="Q73" s="47">
        <f t="shared" si="15"/>
        <v>0</v>
      </c>
      <c r="R73" s="47">
        <f t="shared" si="10"/>
        <v>0</v>
      </c>
      <c r="S73" s="47">
        <f t="shared" si="10"/>
        <v>2.345325281337767E-3</v>
      </c>
      <c r="T73" s="47">
        <f t="shared" si="10"/>
        <v>0</v>
      </c>
      <c r="U73" s="47">
        <f t="shared" si="9"/>
        <v>0</v>
      </c>
      <c r="V73" s="47">
        <f t="shared" si="9"/>
        <v>0</v>
      </c>
      <c r="W73" s="47">
        <f t="shared" si="9"/>
        <v>0</v>
      </c>
      <c r="X73" s="47">
        <f t="shared" si="9"/>
        <v>0</v>
      </c>
      <c r="Y73" s="47">
        <f t="shared" si="9"/>
        <v>0</v>
      </c>
      <c r="Z73" s="47">
        <f t="shared" si="9"/>
        <v>0</v>
      </c>
      <c r="AA73" s="47">
        <f t="shared" si="9"/>
        <v>0</v>
      </c>
      <c r="AB73" s="47">
        <f t="shared" si="9"/>
        <v>0</v>
      </c>
      <c r="AC73" s="47">
        <f t="shared" si="9"/>
        <v>0</v>
      </c>
      <c r="AD73" s="47">
        <f t="shared" si="9"/>
        <v>0</v>
      </c>
      <c r="AE73" s="47">
        <f t="shared" si="13"/>
        <v>2.345325281337767E-3</v>
      </c>
      <c r="AF73" s="47">
        <f t="shared" si="14"/>
        <v>0</v>
      </c>
      <c r="AG73" s="47">
        <f>Table114[[#This Row],[Column2]]/$D$129*0.5</f>
        <v>1.9561252416124913E-3</v>
      </c>
      <c r="AH73" s="47">
        <f>Table114[[#This Row],[Column29]]/$D$129*1.5</f>
        <v>5.8683757248374734E-3</v>
      </c>
    </row>
    <row r="74" spans="3:34">
      <c r="C74" s="47" t="s">
        <v>431</v>
      </c>
      <c r="D74" s="47">
        <v>5.7465418122077717E-4</v>
      </c>
      <c r="E74" s="47">
        <f t="shared" ref="E74:T101" si="16">((LEN($C74)-LEN(SUBSTITUTE($C74,E$3,"")))/4)*$D74</f>
        <v>0</v>
      </c>
      <c r="F74" s="47">
        <f t="shared" si="16"/>
        <v>0</v>
      </c>
      <c r="G74" s="47">
        <f t="shared" si="16"/>
        <v>0</v>
      </c>
      <c r="H74" s="47">
        <f t="shared" si="16"/>
        <v>0</v>
      </c>
      <c r="I74" s="47">
        <f t="shared" si="16"/>
        <v>0</v>
      </c>
      <c r="J74" s="47">
        <f t="shared" si="16"/>
        <v>0</v>
      </c>
      <c r="K74" s="47">
        <f t="shared" si="16"/>
        <v>5.7465418122077717E-4</v>
      </c>
      <c r="L74" s="47">
        <f t="shared" si="16"/>
        <v>0</v>
      </c>
      <c r="M74" s="47">
        <f t="shared" si="15"/>
        <v>0</v>
      </c>
      <c r="N74" s="47">
        <f t="shared" si="15"/>
        <v>5.7465418122077717E-4</v>
      </c>
      <c r="O74" s="47">
        <f t="shared" si="15"/>
        <v>0</v>
      </c>
      <c r="P74" s="47">
        <f t="shared" si="15"/>
        <v>0</v>
      </c>
      <c r="Q74" s="47">
        <f t="shared" si="15"/>
        <v>0</v>
      </c>
      <c r="R74" s="47">
        <f t="shared" si="10"/>
        <v>0</v>
      </c>
      <c r="S74" s="47">
        <f t="shared" si="10"/>
        <v>0</v>
      </c>
      <c r="T74" s="47">
        <f t="shared" si="10"/>
        <v>5.7465418122077717E-4</v>
      </c>
      <c r="U74" s="47">
        <f t="shared" si="9"/>
        <v>0</v>
      </c>
      <c r="V74" s="47">
        <f t="shared" si="9"/>
        <v>0</v>
      </c>
      <c r="W74" s="47">
        <f t="shared" si="9"/>
        <v>0</v>
      </c>
      <c r="X74" s="47">
        <f t="shared" si="9"/>
        <v>0</v>
      </c>
      <c r="Y74" s="47">
        <f t="shared" si="9"/>
        <v>0</v>
      </c>
      <c r="Z74" s="47">
        <f t="shared" si="9"/>
        <v>0</v>
      </c>
      <c r="AA74" s="47">
        <f t="shared" si="9"/>
        <v>0</v>
      </c>
      <c r="AB74" s="47">
        <f t="shared" si="9"/>
        <v>0</v>
      </c>
      <c r="AC74" s="47">
        <f t="shared" si="9"/>
        <v>0</v>
      </c>
      <c r="AD74" s="47">
        <f t="shared" si="9"/>
        <v>0</v>
      </c>
      <c r="AE74" s="47">
        <f t="shared" si="13"/>
        <v>5.7465418122077717E-4</v>
      </c>
      <c r="AF74" s="47">
        <f t="shared" si="14"/>
        <v>0</v>
      </c>
      <c r="AG74" s="47">
        <f>Table114[[#This Row],[Column2]]/$D$129*0.5</f>
        <v>4.7929195921298391E-4</v>
      </c>
      <c r="AH74" s="47">
        <f>Table114[[#This Row],[Column29]]/$D$129*1.5</f>
        <v>1.4378758776389517E-3</v>
      </c>
    </row>
    <row r="75" spans="3:34">
      <c r="C75" s="44" t="s">
        <v>432</v>
      </c>
      <c r="D75" s="44">
        <v>1.2222716824599651E-3</v>
      </c>
      <c r="E75" s="44">
        <f t="shared" si="16"/>
        <v>0</v>
      </c>
      <c r="F75" s="44">
        <f t="shared" si="16"/>
        <v>0</v>
      </c>
      <c r="G75" s="44">
        <f t="shared" si="16"/>
        <v>0</v>
      </c>
      <c r="H75" s="44">
        <f t="shared" si="16"/>
        <v>0</v>
      </c>
      <c r="I75" s="44">
        <f t="shared" si="16"/>
        <v>0</v>
      </c>
      <c r="J75" s="44">
        <f t="shared" si="16"/>
        <v>0</v>
      </c>
      <c r="K75" s="44">
        <f t="shared" si="16"/>
        <v>1.2222716824599651E-3</v>
      </c>
      <c r="L75" s="44">
        <f t="shared" si="16"/>
        <v>0</v>
      </c>
      <c r="M75" s="44">
        <f t="shared" si="15"/>
        <v>0</v>
      </c>
      <c r="N75" s="44">
        <f t="shared" si="15"/>
        <v>0</v>
      </c>
      <c r="O75" s="44">
        <f t="shared" si="15"/>
        <v>0</v>
      </c>
      <c r="P75" s="44">
        <f t="shared" si="15"/>
        <v>1.2222716824599651E-3</v>
      </c>
      <c r="Q75" s="44">
        <f t="shared" si="15"/>
        <v>0</v>
      </c>
      <c r="R75" s="44">
        <f t="shared" si="10"/>
        <v>1.2222716824599651E-3</v>
      </c>
      <c r="S75" s="44">
        <f t="shared" si="10"/>
        <v>0</v>
      </c>
      <c r="T75" s="44">
        <f t="shared" si="10"/>
        <v>0</v>
      </c>
      <c r="U75" s="44">
        <f t="shared" si="9"/>
        <v>0</v>
      </c>
      <c r="V75" s="44">
        <f t="shared" si="9"/>
        <v>0</v>
      </c>
      <c r="W75" s="44">
        <f t="shared" si="9"/>
        <v>0</v>
      </c>
      <c r="X75" s="44">
        <f t="shared" si="9"/>
        <v>0</v>
      </c>
      <c r="Y75" s="44">
        <f t="shared" si="9"/>
        <v>0</v>
      </c>
      <c r="Z75" s="44">
        <f t="shared" si="9"/>
        <v>0</v>
      </c>
      <c r="AA75" s="44">
        <f t="shared" si="9"/>
        <v>0</v>
      </c>
      <c r="AB75" s="44">
        <f t="shared" si="9"/>
        <v>0</v>
      </c>
      <c r="AC75" s="44">
        <f t="shared" si="9"/>
        <v>0</v>
      </c>
      <c r="AD75" s="44">
        <f t="shared" si="9"/>
        <v>0</v>
      </c>
      <c r="AE75" s="44">
        <f t="shared" si="13"/>
        <v>1.2222716824599651E-3</v>
      </c>
      <c r="AF75" s="44">
        <f t="shared" si="14"/>
        <v>0</v>
      </c>
      <c r="AG75" s="44">
        <f>Table114[[#This Row],[Column2]]/$D$129*0.5</f>
        <v>1.0194391836361109E-3</v>
      </c>
      <c r="AH75" s="44">
        <f>Table114[[#This Row],[Column29]]/$D$129*1.5</f>
        <v>3.0583175509083325E-3</v>
      </c>
    </row>
    <row r="76" spans="3:34">
      <c r="C76" s="44" t="s">
        <v>433</v>
      </c>
      <c r="D76" s="44">
        <v>2.7258832808605706E-3</v>
      </c>
      <c r="E76" s="44">
        <f t="shared" si="16"/>
        <v>0</v>
      </c>
      <c r="F76" s="44">
        <f t="shared" si="16"/>
        <v>0</v>
      </c>
      <c r="G76" s="44">
        <f t="shared" si="16"/>
        <v>0</v>
      </c>
      <c r="H76" s="44">
        <f t="shared" si="16"/>
        <v>0</v>
      </c>
      <c r="I76" s="44">
        <f t="shared" si="16"/>
        <v>0</v>
      </c>
      <c r="J76" s="44">
        <f t="shared" si="16"/>
        <v>0</v>
      </c>
      <c r="K76" s="44">
        <f t="shared" si="16"/>
        <v>2.7258832808605706E-3</v>
      </c>
      <c r="L76" s="44">
        <f t="shared" si="16"/>
        <v>0</v>
      </c>
      <c r="M76" s="44">
        <f t="shared" si="15"/>
        <v>0</v>
      </c>
      <c r="N76" s="44">
        <f t="shared" si="15"/>
        <v>0</v>
      </c>
      <c r="O76" s="44">
        <f t="shared" si="15"/>
        <v>0</v>
      </c>
      <c r="P76" s="44">
        <f t="shared" si="15"/>
        <v>0</v>
      </c>
      <c r="Q76" s="44">
        <f t="shared" si="15"/>
        <v>2.7258832808605706E-3</v>
      </c>
      <c r="R76" s="44">
        <f t="shared" si="10"/>
        <v>2.7258832808605706E-3</v>
      </c>
      <c r="S76" s="44">
        <f t="shared" si="10"/>
        <v>0</v>
      </c>
      <c r="T76" s="44">
        <f t="shared" si="10"/>
        <v>0</v>
      </c>
      <c r="U76" s="44">
        <f t="shared" si="9"/>
        <v>0</v>
      </c>
      <c r="V76" s="44">
        <f t="shared" si="9"/>
        <v>0</v>
      </c>
      <c r="W76" s="44">
        <f t="shared" si="9"/>
        <v>0</v>
      </c>
      <c r="X76" s="44">
        <f t="shared" si="9"/>
        <v>0</v>
      </c>
      <c r="Y76" s="44">
        <f t="shared" si="9"/>
        <v>0</v>
      </c>
      <c r="Z76" s="44">
        <f t="shared" si="9"/>
        <v>0</v>
      </c>
      <c r="AA76" s="44">
        <f t="shared" si="9"/>
        <v>0</v>
      </c>
      <c r="AB76" s="44">
        <f t="shared" si="9"/>
        <v>0</v>
      </c>
      <c r="AC76" s="44">
        <f t="shared" si="9"/>
        <v>0</v>
      </c>
      <c r="AD76" s="44">
        <f t="shared" si="9"/>
        <v>0</v>
      </c>
      <c r="AE76" s="44">
        <f t="shared" si="13"/>
        <v>2.7258832808605706E-3</v>
      </c>
      <c r="AF76" s="44">
        <f t="shared" si="14"/>
        <v>0</v>
      </c>
      <c r="AG76" s="44">
        <f>Table114[[#This Row],[Column2]]/$D$129*0.5</f>
        <v>2.2735307267652783E-3</v>
      </c>
      <c r="AH76" s="44">
        <f>Table114[[#This Row],[Column29]]/$D$129*1.5</f>
        <v>6.820592180295835E-3</v>
      </c>
    </row>
    <row r="77" spans="3:34">
      <c r="C77" s="44" t="s">
        <v>434</v>
      </c>
      <c r="D77" s="44">
        <v>3.530834565454731E-2</v>
      </c>
      <c r="E77" s="44">
        <f t="shared" si="16"/>
        <v>0</v>
      </c>
      <c r="F77" s="44">
        <f t="shared" si="16"/>
        <v>0</v>
      </c>
      <c r="G77" s="44">
        <f t="shared" si="16"/>
        <v>0</v>
      </c>
      <c r="H77" s="44">
        <f t="shared" si="16"/>
        <v>0</v>
      </c>
      <c r="I77" s="44">
        <f t="shared" si="16"/>
        <v>0</v>
      </c>
      <c r="J77" s="44">
        <f t="shared" si="16"/>
        <v>0</v>
      </c>
      <c r="K77" s="44">
        <f t="shared" si="16"/>
        <v>3.530834565454731E-2</v>
      </c>
      <c r="L77" s="44">
        <f t="shared" si="16"/>
        <v>0</v>
      </c>
      <c r="M77" s="44">
        <f t="shared" si="15"/>
        <v>0</v>
      </c>
      <c r="N77" s="44">
        <f t="shared" si="15"/>
        <v>0</v>
      </c>
      <c r="O77" s="44">
        <f t="shared" si="15"/>
        <v>0</v>
      </c>
      <c r="P77" s="44">
        <f t="shared" si="15"/>
        <v>0</v>
      </c>
      <c r="Q77" s="44">
        <f t="shared" si="15"/>
        <v>0</v>
      </c>
      <c r="R77" s="44">
        <f t="shared" si="10"/>
        <v>7.061669130909462E-2</v>
      </c>
      <c r="S77" s="44">
        <f t="shared" si="10"/>
        <v>0</v>
      </c>
      <c r="T77" s="44">
        <f t="shared" si="10"/>
        <v>0</v>
      </c>
      <c r="U77" s="44">
        <f t="shared" si="9"/>
        <v>0</v>
      </c>
      <c r="V77" s="44">
        <f t="shared" si="9"/>
        <v>0</v>
      </c>
      <c r="W77" s="44">
        <f t="shared" si="9"/>
        <v>0</v>
      </c>
      <c r="X77" s="44">
        <f t="shared" si="9"/>
        <v>0</v>
      </c>
      <c r="Y77" s="44">
        <f t="shared" si="9"/>
        <v>0</v>
      </c>
      <c r="Z77" s="44">
        <f t="shared" si="9"/>
        <v>0</v>
      </c>
      <c r="AA77" s="44">
        <f t="shared" si="9"/>
        <v>0</v>
      </c>
      <c r="AB77" s="44">
        <f t="shared" si="9"/>
        <v>0</v>
      </c>
      <c r="AC77" s="44">
        <f t="shared" si="9"/>
        <v>0</v>
      </c>
      <c r="AD77" s="44">
        <f t="shared" si="9"/>
        <v>0</v>
      </c>
      <c r="AE77" s="44">
        <f t="shared" si="13"/>
        <v>3.530834565454731E-2</v>
      </c>
      <c r="AF77" s="44">
        <f t="shared" si="14"/>
        <v>0</v>
      </c>
      <c r="AG77" s="44">
        <f>Table114[[#This Row],[Column2]]/$D$129*0.5</f>
        <v>2.9449026420353415E-2</v>
      </c>
      <c r="AH77" s="44">
        <f>Table114[[#This Row],[Column29]]/$D$129*1.5</f>
        <v>8.8347079261060252E-2</v>
      </c>
    </row>
    <row r="78" spans="3:34">
      <c r="C78" s="44" t="s">
        <v>435</v>
      </c>
      <c r="D78" s="44">
        <v>1.6816569955652803E-2</v>
      </c>
      <c r="E78" s="44">
        <f t="shared" si="16"/>
        <v>0</v>
      </c>
      <c r="F78" s="44">
        <f t="shared" si="16"/>
        <v>0</v>
      </c>
      <c r="G78" s="44">
        <f t="shared" si="16"/>
        <v>0</v>
      </c>
      <c r="H78" s="44">
        <f t="shared" si="16"/>
        <v>0</v>
      </c>
      <c r="I78" s="44">
        <f t="shared" si="16"/>
        <v>0</v>
      </c>
      <c r="J78" s="44">
        <f t="shared" si="16"/>
        <v>0</v>
      </c>
      <c r="K78" s="44">
        <f t="shared" si="16"/>
        <v>1.6816569955652803E-2</v>
      </c>
      <c r="L78" s="44">
        <f t="shared" si="16"/>
        <v>0</v>
      </c>
      <c r="M78" s="44">
        <f t="shared" si="15"/>
        <v>0</v>
      </c>
      <c r="N78" s="44">
        <f t="shared" si="15"/>
        <v>0</v>
      </c>
      <c r="O78" s="44">
        <f t="shared" si="15"/>
        <v>0</v>
      </c>
      <c r="P78" s="44">
        <f t="shared" si="15"/>
        <v>0</v>
      </c>
      <c r="Q78" s="44">
        <f t="shared" si="15"/>
        <v>0</v>
      </c>
      <c r="R78" s="44">
        <f t="shared" si="10"/>
        <v>1.6816569955652803E-2</v>
      </c>
      <c r="S78" s="44">
        <f t="shared" si="10"/>
        <v>1.6816569955652803E-2</v>
      </c>
      <c r="T78" s="44">
        <f t="shared" si="10"/>
        <v>0</v>
      </c>
      <c r="U78" s="44">
        <f t="shared" si="9"/>
        <v>0</v>
      </c>
      <c r="V78" s="44">
        <f t="shared" si="9"/>
        <v>0</v>
      </c>
      <c r="W78" s="44">
        <f t="shared" si="9"/>
        <v>0</v>
      </c>
      <c r="X78" s="44">
        <f t="shared" si="9"/>
        <v>0</v>
      </c>
      <c r="Y78" s="44">
        <f t="shared" si="9"/>
        <v>0</v>
      </c>
      <c r="Z78" s="44">
        <f t="shared" si="9"/>
        <v>0</v>
      </c>
      <c r="AA78" s="44">
        <f t="shared" si="9"/>
        <v>0</v>
      </c>
      <c r="AB78" s="44">
        <f t="shared" si="9"/>
        <v>0</v>
      </c>
      <c r="AC78" s="44">
        <f t="shared" si="9"/>
        <v>0</v>
      </c>
      <c r="AD78" s="44">
        <f t="shared" si="9"/>
        <v>0</v>
      </c>
      <c r="AE78" s="44">
        <f t="shared" si="13"/>
        <v>1.6816569955652803E-2</v>
      </c>
      <c r="AF78" s="44">
        <f t="shared" si="14"/>
        <v>0</v>
      </c>
      <c r="AG78" s="44">
        <f>Table114[[#This Row],[Column2]]/$D$129*0.5</f>
        <v>1.4025908145599021E-2</v>
      </c>
      <c r="AH78" s="44">
        <f>Table114[[#This Row],[Column29]]/$D$129*1.5</f>
        <v>4.2077724436797061E-2</v>
      </c>
    </row>
    <row r="79" spans="3:34">
      <c r="C79" s="44" t="s">
        <v>436</v>
      </c>
      <c r="D79" s="44">
        <v>6.5646648810753763E-3</v>
      </c>
      <c r="E79" s="44">
        <f t="shared" si="16"/>
        <v>0</v>
      </c>
      <c r="F79" s="44">
        <f t="shared" si="16"/>
        <v>0</v>
      </c>
      <c r="G79" s="44">
        <f t="shared" si="16"/>
        <v>0</v>
      </c>
      <c r="H79" s="44">
        <f t="shared" si="16"/>
        <v>0</v>
      </c>
      <c r="I79" s="44">
        <f t="shared" si="16"/>
        <v>0</v>
      </c>
      <c r="J79" s="44">
        <f t="shared" si="16"/>
        <v>0</v>
      </c>
      <c r="K79" s="44">
        <f t="shared" si="16"/>
        <v>6.5646648810753763E-3</v>
      </c>
      <c r="L79" s="44">
        <f t="shared" si="16"/>
        <v>0</v>
      </c>
      <c r="M79" s="44">
        <f t="shared" si="15"/>
        <v>0</v>
      </c>
      <c r="N79" s="44">
        <f t="shared" si="15"/>
        <v>0</v>
      </c>
      <c r="O79" s="44">
        <f t="shared" si="15"/>
        <v>0</v>
      </c>
      <c r="P79" s="44">
        <f t="shared" si="15"/>
        <v>0</v>
      </c>
      <c r="Q79" s="44">
        <f t="shared" si="15"/>
        <v>0</v>
      </c>
      <c r="R79" s="44">
        <f t="shared" si="10"/>
        <v>6.5646648810753763E-3</v>
      </c>
      <c r="S79" s="44">
        <f t="shared" si="10"/>
        <v>0</v>
      </c>
      <c r="T79" s="44">
        <f t="shared" si="10"/>
        <v>6.5646648810753763E-3</v>
      </c>
      <c r="U79" s="44">
        <f t="shared" si="9"/>
        <v>0</v>
      </c>
      <c r="V79" s="44">
        <f t="shared" si="9"/>
        <v>0</v>
      </c>
      <c r="W79" s="44">
        <f t="shared" si="9"/>
        <v>0</v>
      </c>
      <c r="X79" s="44">
        <f t="shared" si="9"/>
        <v>0</v>
      </c>
      <c r="Y79" s="44">
        <f t="shared" si="9"/>
        <v>0</v>
      </c>
      <c r="Z79" s="44">
        <f t="shared" si="9"/>
        <v>0</v>
      </c>
      <c r="AA79" s="44">
        <f t="shared" si="9"/>
        <v>0</v>
      </c>
      <c r="AB79" s="44">
        <f t="shared" si="9"/>
        <v>0</v>
      </c>
      <c r="AC79" s="44">
        <f t="shared" si="9"/>
        <v>0</v>
      </c>
      <c r="AD79" s="44">
        <f t="shared" si="9"/>
        <v>0</v>
      </c>
      <c r="AE79" s="44">
        <f t="shared" si="13"/>
        <v>6.5646648810753763E-3</v>
      </c>
      <c r="AF79" s="44">
        <f t="shared" si="14"/>
        <v>0</v>
      </c>
      <c r="AG79" s="44">
        <f>Table114[[#This Row],[Column2]]/$D$129*0.5</f>
        <v>5.4752774716494597E-3</v>
      </c>
      <c r="AH79" s="44">
        <f>Table114[[#This Row],[Column29]]/$D$129*1.5</f>
        <v>1.6425832414948379E-2</v>
      </c>
    </row>
    <row r="80" spans="3:34">
      <c r="C80" s="44" t="s">
        <v>437</v>
      </c>
      <c r="D80" s="44">
        <v>3.62298549118509E-3</v>
      </c>
      <c r="E80" s="44">
        <f t="shared" si="16"/>
        <v>0</v>
      </c>
      <c r="F80" s="44">
        <f t="shared" si="16"/>
        <v>0</v>
      </c>
      <c r="G80" s="44">
        <f t="shared" si="16"/>
        <v>0</v>
      </c>
      <c r="H80" s="44">
        <f t="shared" si="16"/>
        <v>0</v>
      </c>
      <c r="I80" s="44">
        <f t="shared" si="16"/>
        <v>0</v>
      </c>
      <c r="J80" s="44">
        <f t="shared" si="16"/>
        <v>0</v>
      </c>
      <c r="K80" s="44">
        <f t="shared" si="16"/>
        <v>3.62298549118509E-3</v>
      </c>
      <c r="L80" s="44">
        <f t="shared" si="16"/>
        <v>0</v>
      </c>
      <c r="M80" s="44">
        <f t="shared" si="15"/>
        <v>0</v>
      </c>
      <c r="N80" s="44">
        <f t="shared" si="15"/>
        <v>0</v>
      </c>
      <c r="O80" s="44">
        <f t="shared" si="15"/>
        <v>0</v>
      </c>
      <c r="P80" s="44">
        <f t="shared" si="15"/>
        <v>0</v>
      </c>
      <c r="Q80" s="44">
        <f t="shared" si="15"/>
        <v>0</v>
      </c>
      <c r="R80" s="44">
        <f t="shared" si="10"/>
        <v>3.62298549118509E-3</v>
      </c>
      <c r="S80" s="44">
        <f t="shared" si="10"/>
        <v>0</v>
      </c>
      <c r="T80" s="44">
        <f t="shared" si="10"/>
        <v>0</v>
      </c>
      <c r="U80" s="44">
        <f t="shared" si="9"/>
        <v>3.62298549118509E-3</v>
      </c>
      <c r="V80" s="44">
        <f t="shared" si="9"/>
        <v>0</v>
      </c>
      <c r="W80" s="44">
        <f t="shared" si="9"/>
        <v>0</v>
      </c>
      <c r="X80" s="44">
        <f t="shared" si="9"/>
        <v>0</v>
      </c>
      <c r="Y80" s="44">
        <f t="shared" si="9"/>
        <v>0</v>
      </c>
      <c r="Z80" s="44">
        <f t="shared" si="9"/>
        <v>0</v>
      </c>
      <c r="AA80" s="44">
        <f t="shared" si="9"/>
        <v>0</v>
      </c>
      <c r="AB80" s="44">
        <f t="shared" si="9"/>
        <v>0</v>
      </c>
      <c r="AC80" s="44">
        <f t="shared" si="9"/>
        <v>0</v>
      </c>
      <c r="AD80" s="44">
        <f t="shared" si="9"/>
        <v>0</v>
      </c>
      <c r="AE80" s="44">
        <f t="shared" si="13"/>
        <v>3.62298549118509E-3</v>
      </c>
      <c r="AF80" s="44">
        <f t="shared" si="14"/>
        <v>0</v>
      </c>
      <c r="AG80" s="44">
        <f>Table114[[#This Row],[Column2]]/$D$129*0.5</f>
        <v>3.0217613845276814E-3</v>
      </c>
      <c r="AH80" s="44">
        <f>Table114[[#This Row],[Column29]]/$D$129*1.5</f>
        <v>9.0652841535830437E-3</v>
      </c>
    </row>
    <row r="81" spans="3:34">
      <c r="C81" s="47" t="s">
        <v>438</v>
      </c>
      <c r="D81" s="47">
        <v>1.0345494068099274E-3</v>
      </c>
      <c r="E81" s="47">
        <f t="shared" si="16"/>
        <v>0</v>
      </c>
      <c r="F81" s="47">
        <f t="shared" si="16"/>
        <v>0</v>
      </c>
      <c r="G81" s="47">
        <f t="shared" si="16"/>
        <v>0</v>
      </c>
      <c r="H81" s="47">
        <f t="shared" si="16"/>
        <v>0</v>
      </c>
      <c r="I81" s="47">
        <f t="shared" si="16"/>
        <v>0</v>
      </c>
      <c r="J81" s="47">
        <f t="shared" si="16"/>
        <v>0</v>
      </c>
      <c r="K81" s="47">
        <f t="shared" si="16"/>
        <v>1.0345494068099274E-3</v>
      </c>
      <c r="L81" s="47">
        <f t="shared" si="16"/>
        <v>0</v>
      </c>
      <c r="M81" s="47">
        <f t="shared" si="15"/>
        <v>0</v>
      </c>
      <c r="N81" s="47">
        <f t="shared" si="15"/>
        <v>0</v>
      </c>
      <c r="O81" s="47">
        <f t="shared" si="15"/>
        <v>0</v>
      </c>
      <c r="P81" s="47">
        <f t="shared" si="15"/>
        <v>0</v>
      </c>
      <c r="Q81" s="47">
        <f t="shared" si="15"/>
        <v>0</v>
      </c>
      <c r="R81" s="47">
        <f t="shared" si="10"/>
        <v>1.0345494068099274E-3</v>
      </c>
      <c r="S81" s="47">
        <f t="shared" si="10"/>
        <v>0</v>
      </c>
      <c r="T81" s="47">
        <f t="shared" si="10"/>
        <v>0</v>
      </c>
      <c r="U81" s="47">
        <f t="shared" si="9"/>
        <v>0</v>
      </c>
      <c r="V81" s="47">
        <f t="shared" si="9"/>
        <v>0</v>
      </c>
      <c r="W81" s="47">
        <f t="shared" si="9"/>
        <v>0</v>
      </c>
      <c r="X81" s="47">
        <f t="shared" si="9"/>
        <v>1.0345494068099274E-3</v>
      </c>
      <c r="Y81" s="47">
        <f t="shared" si="9"/>
        <v>0</v>
      </c>
      <c r="Z81" s="47">
        <f t="shared" ref="Z81:AD111" si="17">((LEN($C81)-LEN(SUBSTITUTE($C81,Z$3,"")))/4)*$D81</f>
        <v>0</v>
      </c>
      <c r="AA81" s="47">
        <f t="shared" si="17"/>
        <v>0</v>
      </c>
      <c r="AB81" s="47">
        <f t="shared" si="17"/>
        <v>0</v>
      </c>
      <c r="AC81" s="47">
        <f t="shared" si="17"/>
        <v>0</v>
      </c>
      <c r="AD81" s="47">
        <f t="shared" si="17"/>
        <v>0</v>
      </c>
      <c r="AE81" s="47">
        <f t="shared" si="13"/>
        <v>1.0345494068099274E-3</v>
      </c>
      <c r="AF81" s="47">
        <f t="shared" si="14"/>
        <v>0</v>
      </c>
      <c r="AG81" s="47">
        <f>Table114[[#This Row],[Column2]]/$D$129*0.5</f>
        <v>8.6286888409858908E-4</v>
      </c>
      <c r="AH81" s="47">
        <f>Table114[[#This Row],[Column29]]/$D$129*1.5</f>
        <v>2.5886066522957671E-3</v>
      </c>
    </row>
    <row r="82" spans="3:34">
      <c r="C82" s="44" t="s">
        <v>439</v>
      </c>
      <c r="D82" s="44">
        <v>4.2384899646501755E-3</v>
      </c>
      <c r="E82" s="44">
        <f t="shared" si="16"/>
        <v>0</v>
      </c>
      <c r="F82" s="44">
        <f t="shared" si="16"/>
        <v>0</v>
      </c>
      <c r="G82" s="44">
        <f t="shared" si="16"/>
        <v>0</v>
      </c>
      <c r="H82" s="44">
        <f t="shared" si="16"/>
        <v>0</v>
      </c>
      <c r="I82" s="44">
        <f t="shared" si="16"/>
        <v>0</v>
      </c>
      <c r="J82" s="44">
        <f t="shared" si="16"/>
        <v>0</v>
      </c>
      <c r="K82" s="44">
        <f t="shared" si="16"/>
        <v>4.2384899646501755E-3</v>
      </c>
      <c r="L82" s="44">
        <f t="shared" si="16"/>
        <v>0</v>
      </c>
      <c r="M82" s="44">
        <f t="shared" si="15"/>
        <v>0</v>
      </c>
      <c r="N82" s="44">
        <f t="shared" si="15"/>
        <v>0</v>
      </c>
      <c r="O82" s="44">
        <f t="shared" si="15"/>
        <v>0</v>
      </c>
      <c r="P82" s="44">
        <f t="shared" si="15"/>
        <v>0</v>
      </c>
      <c r="Q82" s="44">
        <f t="shared" si="15"/>
        <v>0</v>
      </c>
      <c r="R82" s="44">
        <f t="shared" si="10"/>
        <v>4.2384899646501755E-3</v>
      </c>
      <c r="S82" s="44">
        <f t="shared" si="10"/>
        <v>0</v>
      </c>
      <c r="T82" s="44">
        <f t="shared" si="10"/>
        <v>0</v>
      </c>
      <c r="U82" s="44">
        <f t="shared" ref="U82:Y84" si="18">((LEN($C82)-LEN(SUBSTITUTE($C82,U$3,"")))/4)*$D82</f>
        <v>0</v>
      </c>
      <c r="V82" s="44">
        <f t="shared" si="18"/>
        <v>0</v>
      </c>
      <c r="W82" s="44">
        <f t="shared" si="18"/>
        <v>0</v>
      </c>
      <c r="X82" s="44">
        <f t="shared" si="18"/>
        <v>0</v>
      </c>
      <c r="Y82" s="44">
        <f t="shared" si="18"/>
        <v>0</v>
      </c>
      <c r="Z82" s="44">
        <f t="shared" si="17"/>
        <v>0</v>
      </c>
      <c r="AA82" s="44">
        <f t="shared" si="17"/>
        <v>4.2384899646501755E-3</v>
      </c>
      <c r="AB82" s="44">
        <f t="shared" si="17"/>
        <v>0</v>
      </c>
      <c r="AC82" s="44">
        <f t="shared" si="17"/>
        <v>0</v>
      </c>
      <c r="AD82" s="44">
        <f t="shared" si="17"/>
        <v>0</v>
      </c>
      <c r="AE82" s="44">
        <f t="shared" si="13"/>
        <v>4.2384899646501755E-3</v>
      </c>
      <c r="AF82" s="44">
        <f t="shared" si="14"/>
        <v>0</v>
      </c>
      <c r="AG82" s="44">
        <f>Table114[[#This Row],[Column2]]/$D$129*0.5</f>
        <v>3.5351246465242002E-3</v>
      </c>
      <c r="AH82" s="44">
        <f>Table114[[#This Row],[Column29]]/$D$129*1.5</f>
        <v>1.0605373939572602E-2</v>
      </c>
    </row>
    <row r="83" spans="3:34">
      <c r="C83" s="44" t="s">
        <v>440</v>
      </c>
      <c r="D83" s="44">
        <v>1.5926457556904449E-3</v>
      </c>
      <c r="E83" s="44">
        <f t="shared" si="16"/>
        <v>0</v>
      </c>
      <c r="F83" s="44">
        <f t="shared" si="16"/>
        <v>0</v>
      </c>
      <c r="G83" s="44">
        <f t="shared" si="16"/>
        <v>0</v>
      </c>
      <c r="H83" s="44">
        <f t="shared" si="16"/>
        <v>0</v>
      </c>
      <c r="I83" s="44">
        <f t="shared" si="16"/>
        <v>0</v>
      </c>
      <c r="J83" s="44">
        <f t="shared" si="16"/>
        <v>0</v>
      </c>
      <c r="K83" s="44">
        <f t="shared" si="16"/>
        <v>1.5926457556904449E-3</v>
      </c>
      <c r="L83" s="44">
        <f t="shared" si="16"/>
        <v>0</v>
      </c>
      <c r="M83" s="44">
        <f t="shared" si="15"/>
        <v>0</v>
      </c>
      <c r="N83" s="44">
        <f t="shared" si="15"/>
        <v>0</v>
      </c>
      <c r="O83" s="44">
        <f t="shared" si="15"/>
        <v>0</v>
      </c>
      <c r="P83" s="44">
        <f t="shared" si="15"/>
        <v>0</v>
      </c>
      <c r="Q83" s="44">
        <f t="shared" si="15"/>
        <v>0</v>
      </c>
      <c r="R83" s="44">
        <f t="shared" si="10"/>
        <v>1.5926457556904449E-3</v>
      </c>
      <c r="S83" s="44">
        <f t="shared" si="10"/>
        <v>0</v>
      </c>
      <c r="T83" s="44">
        <f t="shared" si="10"/>
        <v>0</v>
      </c>
      <c r="U83" s="44">
        <f t="shared" si="18"/>
        <v>0</v>
      </c>
      <c r="V83" s="44">
        <f t="shared" si="18"/>
        <v>0</v>
      </c>
      <c r="W83" s="44">
        <f t="shared" si="18"/>
        <v>0</v>
      </c>
      <c r="X83" s="44">
        <f t="shared" si="18"/>
        <v>0</v>
      </c>
      <c r="Y83" s="44">
        <f t="shared" si="18"/>
        <v>0</v>
      </c>
      <c r="Z83" s="44">
        <f t="shared" si="17"/>
        <v>0</v>
      </c>
      <c r="AA83" s="44">
        <f t="shared" si="17"/>
        <v>0</v>
      </c>
      <c r="AB83" s="44">
        <f t="shared" si="17"/>
        <v>1.5926457556904449E-3</v>
      </c>
      <c r="AC83" s="44">
        <f t="shared" si="17"/>
        <v>0</v>
      </c>
      <c r="AD83" s="44">
        <f t="shared" si="17"/>
        <v>0</v>
      </c>
      <c r="AE83" s="44">
        <f t="shared" si="13"/>
        <v>1.5926457556904451E-3</v>
      </c>
      <c r="AF83" s="44">
        <f t="shared" si="14"/>
        <v>0</v>
      </c>
      <c r="AG83" s="44">
        <f>Table114[[#This Row],[Column2]]/$D$129*0.5</f>
        <v>1.3283507360122159E-3</v>
      </c>
      <c r="AH83" s="44">
        <f>Table114[[#This Row],[Column29]]/$D$129*1.5</f>
        <v>3.985052208036648E-3</v>
      </c>
    </row>
    <row r="84" spans="3:34">
      <c r="C84" s="44" t="s">
        <v>441</v>
      </c>
      <c r="D84" s="44">
        <v>2.3375190368520923E-3</v>
      </c>
      <c r="E84" s="44">
        <f t="shared" si="16"/>
        <v>0</v>
      </c>
      <c r="F84" s="44">
        <f t="shared" si="16"/>
        <v>0</v>
      </c>
      <c r="G84" s="44">
        <f t="shared" si="16"/>
        <v>0</v>
      </c>
      <c r="H84" s="44">
        <f t="shared" si="16"/>
        <v>0</v>
      </c>
      <c r="I84" s="44">
        <f t="shared" si="16"/>
        <v>0</v>
      </c>
      <c r="J84" s="44">
        <f t="shared" si="16"/>
        <v>0</v>
      </c>
      <c r="K84" s="44">
        <f t="shared" si="16"/>
        <v>2.3375190368520923E-3</v>
      </c>
      <c r="L84" s="44">
        <f t="shared" si="16"/>
        <v>0</v>
      </c>
      <c r="M84" s="44">
        <f t="shared" si="15"/>
        <v>0</v>
      </c>
      <c r="N84" s="44">
        <f t="shared" si="15"/>
        <v>0</v>
      </c>
      <c r="O84" s="44">
        <f t="shared" si="15"/>
        <v>0</v>
      </c>
      <c r="P84" s="44">
        <f t="shared" si="15"/>
        <v>0</v>
      </c>
      <c r="Q84" s="44">
        <f t="shared" si="15"/>
        <v>0</v>
      </c>
      <c r="R84" s="44">
        <f t="shared" si="10"/>
        <v>2.3375190368520923E-3</v>
      </c>
      <c r="S84" s="44">
        <f t="shared" si="10"/>
        <v>0</v>
      </c>
      <c r="T84" s="44">
        <f t="shared" si="10"/>
        <v>0</v>
      </c>
      <c r="U84" s="44">
        <f t="shared" si="18"/>
        <v>0</v>
      </c>
      <c r="V84" s="44">
        <f t="shared" si="18"/>
        <v>0</v>
      </c>
      <c r="W84" s="44">
        <f t="shared" si="18"/>
        <v>0</v>
      </c>
      <c r="X84" s="44">
        <f t="shared" si="18"/>
        <v>0</v>
      </c>
      <c r="Y84" s="44">
        <f t="shared" si="18"/>
        <v>0</v>
      </c>
      <c r="Z84" s="44">
        <f t="shared" si="17"/>
        <v>0</v>
      </c>
      <c r="AA84" s="44">
        <f t="shared" si="17"/>
        <v>0</v>
      </c>
      <c r="AB84" s="44">
        <f t="shared" si="17"/>
        <v>0</v>
      </c>
      <c r="AC84" s="44">
        <f t="shared" si="17"/>
        <v>2.3375190368520923E-3</v>
      </c>
      <c r="AD84" s="44">
        <f t="shared" si="17"/>
        <v>0</v>
      </c>
      <c r="AE84" s="44">
        <f t="shared" si="13"/>
        <v>2.3375190368520923E-3</v>
      </c>
      <c r="AF84" s="44">
        <f t="shared" si="14"/>
        <v>0</v>
      </c>
      <c r="AG84" s="44">
        <f>Table114[[#This Row],[Column2]]/$D$129*0.5</f>
        <v>1.9496144211296638E-3</v>
      </c>
      <c r="AH84" s="44">
        <f>Table114[[#This Row],[Column29]]/$D$129*1.5</f>
        <v>5.8488432633889914E-3</v>
      </c>
    </row>
    <row r="85" spans="3:34">
      <c r="C85" s="44" t="s">
        <v>442</v>
      </c>
      <c r="D85" s="44">
        <v>7.313978411394014E-3</v>
      </c>
      <c r="E85" s="44">
        <f t="shared" si="16"/>
        <v>0</v>
      </c>
      <c r="F85" s="44">
        <f t="shared" si="16"/>
        <v>0</v>
      </c>
      <c r="G85" s="44">
        <f t="shared" si="16"/>
        <v>0</v>
      </c>
      <c r="H85" s="44">
        <f t="shared" si="16"/>
        <v>0</v>
      </c>
      <c r="I85" s="44">
        <f t="shared" si="16"/>
        <v>0</v>
      </c>
      <c r="J85" s="44">
        <f t="shared" si="16"/>
        <v>0</v>
      </c>
      <c r="K85" s="44">
        <f t="shared" si="16"/>
        <v>7.313978411394014E-3</v>
      </c>
      <c r="L85" s="44">
        <f t="shared" si="16"/>
        <v>0</v>
      </c>
      <c r="M85" s="44">
        <f t="shared" si="15"/>
        <v>0</v>
      </c>
      <c r="N85" s="44">
        <f t="shared" si="15"/>
        <v>0</v>
      </c>
      <c r="O85" s="44">
        <f t="shared" si="15"/>
        <v>0</v>
      </c>
      <c r="P85" s="44">
        <f t="shared" si="15"/>
        <v>0</v>
      </c>
      <c r="Q85" s="44">
        <f t="shared" si="15"/>
        <v>0</v>
      </c>
      <c r="R85" s="44">
        <f t="shared" si="15"/>
        <v>7.313978411394014E-3</v>
      </c>
      <c r="S85" s="44">
        <f t="shared" si="15"/>
        <v>0</v>
      </c>
      <c r="T85" s="44">
        <f t="shared" si="15"/>
        <v>0</v>
      </c>
      <c r="U85" s="44">
        <f t="shared" si="15"/>
        <v>0</v>
      </c>
      <c r="V85" s="44">
        <f t="shared" si="15"/>
        <v>0</v>
      </c>
      <c r="W85" s="44">
        <f t="shared" si="15"/>
        <v>0</v>
      </c>
      <c r="X85" s="44">
        <f t="shared" si="15"/>
        <v>0</v>
      </c>
      <c r="Y85" s="44">
        <f t="shared" si="15"/>
        <v>0</v>
      </c>
      <c r="Z85" s="44">
        <f t="shared" si="17"/>
        <v>0</v>
      </c>
      <c r="AA85" s="44">
        <f t="shared" si="17"/>
        <v>0</v>
      </c>
      <c r="AB85" s="44">
        <f t="shared" si="17"/>
        <v>0</v>
      </c>
      <c r="AC85" s="44">
        <f t="shared" si="17"/>
        <v>0</v>
      </c>
      <c r="AD85" s="44">
        <f t="shared" si="17"/>
        <v>7.313978411394014E-3</v>
      </c>
      <c r="AE85" s="44">
        <f t="shared" si="13"/>
        <v>7.313978411394014E-3</v>
      </c>
      <c r="AF85" s="44">
        <f t="shared" si="14"/>
        <v>0</v>
      </c>
      <c r="AG85" s="44">
        <f>Table114[[#This Row],[Column2]]/$D$129*0.5</f>
        <v>6.1002445592433785E-3</v>
      </c>
      <c r="AH85" s="44">
        <f>Table114[[#This Row],[Column29]]/$D$129*1.5</f>
        <v>1.8300733677730135E-2</v>
      </c>
    </row>
    <row r="86" spans="3:34">
      <c r="C86" s="44" t="s">
        <v>663</v>
      </c>
      <c r="D86" s="44">
        <f>0.00595242613924834/2</f>
        <v>2.9762130696241698E-3</v>
      </c>
      <c r="E86" s="44">
        <f t="shared" si="16"/>
        <v>0</v>
      </c>
      <c r="F86" s="44">
        <f t="shared" si="16"/>
        <v>0</v>
      </c>
      <c r="G86" s="44">
        <f t="shared" si="16"/>
        <v>0</v>
      </c>
      <c r="H86" s="44">
        <f t="shared" si="16"/>
        <v>0</v>
      </c>
      <c r="I86" s="44">
        <f t="shared" si="16"/>
        <v>0</v>
      </c>
      <c r="J86" s="44">
        <f t="shared" si="16"/>
        <v>0</v>
      </c>
      <c r="K86" s="44">
        <f t="shared" si="16"/>
        <v>2.9762130696241698E-3</v>
      </c>
      <c r="L86" s="44">
        <f t="shared" si="16"/>
        <v>0</v>
      </c>
      <c r="M86" s="44">
        <f t="shared" si="15"/>
        <v>0</v>
      </c>
      <c r="N86" s="44">
        <f t="shared" si="15"/>
        <v>0</v>
      </c>
      <c r="O86" s="44">
        <f t="shared" si="15"/>
        <v>0</v>
      </c>
      <c r="P86" s="44">
        <f t="shared" si="15"/>
        <v>0</v>
      </c>
      <c r="Q86" s="44">
        <f t="shared" si="15"/>
        <v>0</v>
      </c>
      <c r="R86" s="44">
        <f t="shared" si="15"/>
        <v>0</v>
      </c>
      <c r="S86" s="44">
        <f t="shared" si="15"/>
        <v>5.9524261392483397E-3</v>
      </c>
      <c r="T86" s="44">
        <f t="shared" si="15"/>
        <v>0</v>
      </c>
      <c r="U86" s="44">
        <f t="shared" si="15"/>
        <v>0</v>
      </c>
      <c r="V86" s="44">
        <f t="shared" si="15"/>
        <v>0</v>
      </c>
      <c r="W86" s="44">
        <f t="shared" si="15"/>
        <v>0</v>
      </c>
      <c r="X86" s="44">
        <f t="shared" si="15"/>
        <v>0</v>
      </c>
      <c r="Y86" s="44">
        <f t="shared" si="15"/>
        <v>0</v>
      </c>
      <c r="Z86" s="44">
        <f t="shared" si="17"/>
        <v>0</v>
      </c>
      <c r="AA86" s="44">
        <f t="shared" si="17"/>
        <v>0</v>
      </c>
      <c r="AB86" s="44">
        <f t="shared" si="17"/>
        <v>0</v>
      </c>
      <c r="AC86" s="44">
        <f t="shared" si="17"/>
        <v>0</v>
      </c>
      <c r="AD86" s="44">
        <f t="shared" si="17"/>
        <v>0</v>
      </c>
      <c r="AE86" s="44">
        <f t="shared" si="13"/>
        <v>2.9762130696241698E-3</v>
      </c>
      <c r="AF86" s="44">
        <f t="shared" si="14"/>
        <v>0</v>
      </c>
      <c r="AG86" s="44">
        <f>Table114[[#This Row],[Column2]]/$D$129*0.5</f>
        <v>2.4823190012210456E-3</v>
      </c>
      <c r="AH86" s="44">
        <f>Table114[[#This Row],[Column29]]/$D$129*1.5</f>
        <v>7.4469570036631363E-3</v>
      </c>
    </row>
    <row r="87" spans="3:34">
      <c r="C87" s="44" t="s">
        <v>664</v>
      </c>
      <c r="D87" s="44">
        <v>4.005820908823894E-3</v>
      </c>
      <c r="E87" s="44">
        <f t="shared" ref="E87:Y87" si="19">((LEN($C87)-LEN(SUBSTITUTE($C87,E$3,"")))/4)*$D87</f>
        <v>0</v>
      </c>
      <c r="F87" s="44">
        <f t="shared" si="19"/>
        <v>0</v>
      </c>
      <c r="G87" s="44">
        <f t="shared" si="19"/>
        <v>0</v>
      </c>
      <c r="H87" s="44">
        <f t="shared" si="19"/>
        <v>0</v>
      </c>
      <c r="I87" s="44">
        <f t="shared" si="19"/>
        <v>0</v>
      </c>
      <c r="J87" s="44">
        <f t="shared" si="19"/>
        <v>0</v>
      </c>
      <c r="K87" s="44">
        <f t="shared" si="19"/>
        <v>4.005820908823894E-3</v>
      </c>
      <c r="L87" s="44">
        <f t="shared" si="19"/>
        <v>0</v>
      </c>
      <c r="M87" s="44">
        <f t="shared" si="19"/>
        <v>0</v>
      </c>
      <c r="N87" s="44">
        <f t="shared" si="19"/>
        <v>0</v>
      </c>
      <c r="O87" s="44">
        <f t="shared" si="19"/>
        <v>0</v>
      </c>
      <c r="P87" s="44">
        <f t="shared" si="19"/>
        <v>0</v>
      </c>
      <c r="Q87" s="44">
        <f t="shared" si="19"/>
        <v>0</v>
      </c>
      <c r="R87" s="44">
        <f t="shared" si="19"/>
        <v>0</v>
      </c>
      <c r="S87" s="44">
        <f t="shared" si="19"/>
        <v>4.005820908823894E-3</v>
      </c>
      <c r="T87" s="44">
        <f t="shared" si="19"/>
        <v>4.005820908823894E-3</v>
      </c>
      <c r="U87" s="44">
        <f t="shared" si="19"/>
        <v>0</v>
      </c>
      <c r="V87" s="44">
        <f t="shared" si="19"/>
        <v>0</v>
      </c>
      <c r="W87" s="44">
        <f t="shared" si="19"/>
        <v>0</v>
      </c>
      <c r="X87" s="44">
        <f t="shared" si="19"/>
        <v>0</v>
      </c>
      <c r="Y87" s="44">
        <f t="shared" si="19"/>
        <v>0</v>
      </c>
      <c r="Z87" s="44">
        <f t="shared" si="17"/>
        <v>0</v>
      </c>
      <c r="AA87" s="44">
        <f t="shared" si="17"/>
        <v>0</v>
      </c>
      <c r="AB87" s="44">
        <f t="shared" si="17"/>
        <v>0</v>
      </c>
      <c r="AC87" s="44">
        <f t="shared" si="17"/>
        <v>0</v>
      </c>
      <c r="AD87" s="44">
        <f t="shared" si="17"/>
        <v>0</v>
      </c>
      <c r="AE87" s="44">
        <f>SUM(E87:AD87)/IF(ISNUMBER(SEARCH(";", C87)), IF(ISNUMBER(SEARCH(";", C87, SEARCH(";", C87)+1)), 9, 6), 3)</f>
        <v>4.005820908823894E-3</v>
      </c>
      <c r="AF87" s="44">
        <f>D87-AE87</f>
        <v>0</v>
      </c>
      <c r="AG87" s="44">
        <f>Table114[[#This Row],[Column2]]/$D$129*0.5</f>
        <v>3.3410663567571062E-3</v>
      </c>
      <c r="AH87" s="44">
        <f>Table114[[#This Row],[Column29]]/$D$129*1.5</f>
        <v>1.0023199070271318E-2</v>
      </c>
    </row>
    <row r="88" spans="3:34">
      <c r="C88" s="47" t="s">
        <v>446</v>
      </c>
      <c r="D88" s="47">
        <v>9.5989592743498504E-4</v>
      </c>
      <c r="E88" s="47">
        <f t="shared" si="16"/>
        <v>0</v>
      </c>
      <c r="F88" s="47">
        <f t="shared" si="16"/>
        <v>0</v>
      </c>
      <c r="G88" s="47">
        <f t="shared" si="16"/>
        <v>0</v>
      </c>
      <c r="H88" s="47">
        <f t="shared" si="16"/>
        <v>0</v>
      </c>
      <c r="I88" s="47">
        <f t="shared" si="16"/>
        <v>0</v>
      </c>
      <c r="J88" s="47">
        <f t="shared" si="16"/>
        <v>0</v>
      </c>
      <c r="K88" s="47">
        <f t="shared" si="16"/>
        <v>9.5989592743498504E-4</v>
      </c>
      <c r="L88" s="47">
        <f t="shared" si="16"/>
        <v>0</v>
      </c>
      <c r="M88" s="47">
        <f t="shared" si="15"/>
        <v>0</v>
      </c>
      <c r="N88" s="47">
        <f t="shared" si="15"/>
        <v>0</v>
      </c>
      <c r="O88" s="47">
        <f t="shared" si="15"/>
        <v>0</v>
      </c>
      <c r="P88" s="47">
        <f t="shared" si="15"/>
        <v>0</v>
      </c>
      <c r="Q88" s="47">
        <f t="shared" si="15"/>
        <v>0</v>
      </c>
      <c r="R88" s="47">
        <f t="shared" si="15"/>
        <v>0</v>
      </c>
      <c r="S88" s="47">
        <f t="shared" si="15"/>
        <v>9.5989592743498504E-4</v>
      </c>
      <c r="T88" s="47">
        <f t="shared" si="15"/>
        <v>0</v>
      </c>
      <c r="U88" s="47">
        <f t="shared" si="15"/>
        <v>0</v>
      </c>
      <c r="V88" s="47">
        <f t="shared" si="15"/>
        <v>0</v>
      </c>
      <c r="W88" s="47">
        <f t="shared" si="15"/>
        <v>0</v>
      </c>
      <c r="X88" s="47">
        <f t="shared" si="15"/>
        <v>9.5989592743498504E-4</v>
      </c>
      <c r="Y88" s="47">
        <f t="shared" si="15"/>
        <v>0</v>
      </c>
      <c r="Z88" s="47">
        <f t="shared" si="17"/>
        <v>0</v>
      </c>
      <c r="AA88" s="47">
        <f t="shared" si="17"/>
        <v>0</v>
      </c>
      <c r="AB88" s="47">
        <f t="shared" si="17"/>
        <v>0</v>
      </c>
      <c r="AC88" s="47">
        <f t="shared" si="17"/>
        <v>0</v>
      </c>
      <c r="AD88" s="47">
        <f t="shared" si="17"/>
        <v>0</v>
      </c>
      <c r="AE88" s="47">
        <f t="shared" si="13"/>
        <v>9.5989592743498493E-4</v>
      </c>
      <c r="AF88" s="47">
        <f t="shared" si="14"/>
        <v>0</v>
      </c>
      <c r="AG88" s="47">
        <f>Table114[[#This Row],[Column2]]/$D$129*0.5</f>
        <v>8.0060393665546672E-4</v>
      </c>
      <c r="AH88" s="47">
        <f>Table114[[#This Row],[Column29]]/$D$129*1.5</f>
        <v>2.4018118099664002E-3</v>
      </c>
    </row>
    <row r="89" spans="3:34">
      <c r="C89" s="44" t="s">
        <v>447</v>
      </c>
      <c r="D89" s="44">
        <v>8.2714680102535982E-4</v>
      </c>
      <c r="E89" s="44">
        <f t="shared" si="16"/>
        <v>0</v>
      </c>
      <c r="F89" s="44">
        <f t="shared" si="16"/>
        <v>0</v>
      </c>
      <c r="G89" s="44">
        <f t="shared" si="16"/>
        <v>0</v>
      </c>
      <c r="H89" s="44">
        <f t="shared" si="16"/>
        <v>0</v>
      </c>
      <c r="I89" s="44">
        <f t="shared" si="16"/>
        <v>0</v>
      </c>
      <c r="J89" s="44">
        <f t="shared" si="16"/>
        <v>0</v>
      </c>
      <c r="K89" s="44">
        <f t="shared" si="16"/>
        <v>8.2714680102535982E-4</v>
      </c>
      <c r="L89" s="44">
        <f t="shared" si="16"/>
        <v>0</v>
      </c>
      <c r="M89" s="44">
        <f t="shared" si="15"/>
        <v>0</v>
      </c>
      <c r="N89" s="44">
        <f t="shared" si="15"/>
        <v>0</v>
      </c>
      <c r="O89" s="44">
        <f t="shared" si="15"/>
        <v>0</v>
      </c>
      <c r="P89" s="44">
        <f t="shared" si="15"/>
        <v>0</v>
      </c>
      <c r="Q89" s="44">
        <f t="shared" si="15"/>
        <v>0</v>
      </c>
      <c r="R89" s="44">
        <f t="shared" si="15"/>
        <v>0</v>
      </c>
      <c r="S89" s="44">
        <f t="shared" si="15"/>
        <v>0</v>
      </c>
      <c r="T89" s="44">
        <f t="shared" si="15"/>
        <v>8.2714680102535982E-4</v>
      </c>
      <c r="U89" s="44">
        <f t="shared" si="15"/>
        <v>8.2714680102535982E-4</v>
      </c>
      <c r="V89" s="44">
        <f t="shared" si="15"/>
        <v>0</v>
      </c>
      <c r="W89" s="44">
        <f t="shared" si="15"/>
        <v>0</v>
      </c>
      <c r="X89" s="44">
        <f t="shared" si="15"/>
        <v>0</v>
      </c>
      <c r="Y89" s="44">
        <f t="shared" si="15"/>
        <v>0</v>
      </c>
      <c r="Z89" s="44">
        <f t="shared" si="17"/>
        <v>0</v>
      </c>
      <c r="AA89" s="44">
        <f t="shared" si="17"/>
        <v>0</v>
      </c>
      <c r="AB89" s="44">
        <f t="shared" si="17"/>
        <v>0</v>
      </c>
      <c r="AC89" s="44">
        <f t="shared" si="17"/>
        <v>0</v>
      </c>
      <c r="AD89" s="44">
        <f t="shared" si="17"/>
        <v>0</v>
      </c>
      <c r="AE89" s="44">
        <f t="shared" si="13"/>
        <v>8.2714680102535982E-4</v>
      </c>
      <c r="AF89" s="44">
        <f t="shared" si="14"/>
        <v>0</v>
      </c>
      <c r="AG89" s="44">
        <f>Table114[[#This Row],[Column2]]/$D$129*0.5</f>
        <v>6.8988414906857908E-4</v>
      </c>
      <c r="AH89" s="44">
        <f>Table114[[#This Row],[Column29]]/$D$129*1.5</f>
        <v>2.0696524472057372E-3</v>
      </c>
    </row>
    <row r="90" spans="3:34">
      <c r="C90" s="47" t="s">
        <v>448</v>
      </c>
      <c r="D90" s="47">
        <v>1.9101665405683657E-4</v>
      </c>
      <c r="E90" s="47">
        <f t="shared" si="16"/>
        <v>0</v>
      </c>
      <c r="F90" s="47">
        <f t="shared" si="16"/>
        <v>0</v>
      </c>
      <c r="G90" s="47">
        <f t="shared" si="16"/>
        <v>0</v>
      </c>
      <c r="H90" s="47">
        <f t="shared" si="16"/>
        <v>0</v>
      </c>
      <c r="I90" s="47">
        <f t="shared" si="16"/>
        <v>0</v>
      </c>
      <c r="J90" s="47">
        <f t="shared" si="16"/>
        <v>0</v>
      </c>
      <c r="K90" s="47">
        <f t="shared" si="16"/>
        <v>1.9101665405683657E-4</v>
      </c>
      <c r="L90" s="47">
        <f t="shared" si="16"/>
        <v>0</v>
      </c>
      <c r="M90" s="47">
        <f t="shared" si="15"/>
        <v>0</v>
      </c>
      <c r="N90" s="47">
        <f t="shared" si="15"/>
        <v>0</v>
      </c>
      <c r="O90" s="47">
        <f t="shared" si="15"/>
        <v>0</v>
      </c>
      <c r="P90" s="47">
        <f t="shared" si="15"/>
        <v>0</v>
      </c>
      <c r="Q90" s="47">
        <f t="shared" si="15"/>
        <v>0</v>
      </c>
      <c r="R90" s="47">
        <f t="shared" si="15"/>
        <v>0</v>
      </c>
      <c r="S90" s="47">
        <f t="shared" si="15"/>
        <v>0</v>
      </c>
      <c r="T90" s="47">
        <f t="shared" si="15"/>
        <v>1.9101665405683657E-4</v>
      </c>
      <c r="U90" s="47">
        <f t="shared" si="15"/>
        <v>0</v>
      </c>
      <c r="V90" s="47">
        <f t="shared" si="15"/>
        <v>1.9101665405683657E-4</v>
      </c>
      <c r="W90" s="47">
        <f t="shared" si="15"/>
        <v>0</v>
      </c>
      <c r="X90" s="47">
        <f t="shared" si="15"/>
        <v>0</v>
      </c>
      <c r="Y90" s="47">
        <f t="shared" si="15"/>
        <v>0</v>
      </c>
      <c r="Z90" s="47">
        <f t="shared" si="17"/>
        <v>0</v>
      </c>
      <c r="AA90" s="47">
        <f t="shared" si="17"/>
        <v>0</v>
      </c>
      <c r="AB90" s="47">
        <f t="shared" si="17"/>
        <v>0</v>
      </c>
      <c r="AC90" s="47">
        <f t="shared" si="17"/>
        <v>0</v>
      </c>
      <c r="AD90" s="47">
        <f t="shared" si="17"/>
        <v>0</v>
      </c>
      <c r="AE90" s="47">
        <f t="shared" si="13"/>
        <v>1.9101665405683657E-4</v>
      </c>
      <c r="AF90" s="47">
        <f t="shared" si="14"/>
        <v>0</v>
      </c>
      <c r="AG90" s="47">
        <f>Table114[[#This Row],[Column2]]/$D$129*0.5</f>
        <v>1.5931798524587118E-4</v>
      </c>
      <c r="AH90" s="47">
        <f>Table114[[#This Row],[Column29]]/$D$129*1.5</f>
        <v>4.7795395573761354E-4</v>
      </c>
    </row>
    <row r="91" spans="3:34">
      <c r="C91" s="44" t="s">
        <v>449</v>
      </c>
      <c r="D91" s="44">
        <v>6.7824089703804181E-4</v>
      </c>
      <c r="E91" s="44">
        <f t="shared" si="16"/>
        <v>0</v>
      </c>
      <c r="F91" s="44">
        <f t="shared" si="16"/>
        <v>0</v>
      </c>
      <c r="G91" s="44">
        <f t="shared" si="16"/>
        <v>0</v>
      </c>
      <c r="H91" s="44">
        <f t="shared" si="16"/>
        <v>0</v>
      </c>
      <c r="I91" s="44">
        <f t="shared" si="16"/>
        <v>0</v>
      </c>
      <c r="J91" s="44">
        <f t="shared" si="16"/>
        <v>0</v>
      </c>
      <c r="K91" s="44">
        <f t="shared" si="16"/>
        <v>6.7824089703804181E-4</v>
      </c>
      <c r="L91" s="44">
        <f t="shared" si="16"/>
        <v>0</v>
      </c>
      <c r="M91" s="44">
        <f t="shared" si="15"/>
        <v>0</v>
      </c>
      <c r="N91" s="44">
        <f t="shared" si="15"/>
        <v>0</v>
      </c>
      <c r="O91" s="44">
        <f t="shared" si="15"/>
        <v>0</v>
      </c>
      <c r="P91" s="44">
        <f t="shared" si="15"/>
        <v>0</v>
      </c>
      <c r="Q91" s="44">
        <f t="shared" si="15"/>
        <v>0</v>
      </c>
      <c r="R91" s="44">
        <f t="shared" si="15"/>
        <v>0</v>
      </c>
      <c r="S91" s="44">
        <f t="shared" si="15"/>
        <v>0</v>
      </c>
      <c r="T91" s="44">
        <f t="shared" si="15"/>
        <v>0</v>
      </c>
      <c r="U91" s="44">
        <f t="shared" si="15"/>
        <v>1.3564817940760836E-3</v>
      </c>
      <c r="V91" s="44">
        <f t="shared" si="15"/>
        <v>0</v>
      </c>
      <c r="W91" s="44">
        <f t="shared" si="15"/>
        <v>0</v>
      </c>
      <c r="X91" s="44">
        <f t="shared" si="15"/>
        <v>0</v>
      </c>
      <c r="Y91" s="44">
        <f t="shared" si="15"/>
        <v>0</v>
      </c>
      <c r="Z91" s="44">
        <f t="shared" si="17"/>
        <v>0</v>
      </c>
      <c r="AA91" s="44">
        <f t="shared" si="17"/>
        <v>0</v>
      </c>
      <c r="AB91" s="44">
        <f t="shared" si="17"/>
        <v>0</v>
      </c>
      <c r="AC91" s="44">
        <f t="shared" si="17"/>
        <v>0</v>
      </c>
      <c r="AD91" s="44">
        <f t="shared" si="17"/>
        <v>0</v>
      </c>
      <c r="AE91" s="44">
        <f t="shared" si="13"/>
        <v>6.782408970380417E-4</v>
      </c>
      <c r="AF91" s="44">
        <f t="shared" si="14"/>
        <v>0</v>
      </c>
      <c r="AG91" s="44">
        <f>Table114[[#This Row],[Column2]]/$D$129*0.5</f>
        <v>5.656887550511767E-4</v>
      </c>
      <c r="AH91" s="44">
        <f>Table114[[#This Row],[Column29]]/$D$129*1.5</f>
        <v>1.6970662651535301E-3</v>
      </c>
    </row>
    <row r="92" spans="3:34">
      <c r="C92" s="47" t="s">
        <v>665</v>
      </c>
      <c r="D92" s="47">
        <f>0.00271791947914674/2</f>
        <v>1.3589597395733701E-3</v>
      </c>
      <c r="E92" s="47">
        <f t="shared" si="16"/>
        <v>0</v>
      </c>
      <c r="F92" s="47">
        <f t="shared" si="16"/>
        <v>0</v>
      </c>
      <c r="G92" s="47">
        <f t="shared" si="16"/>
        <v>0</v>
      </c>
      <c r="H92" s="47">
        <f t="shared" si="16"/>
        <v>0</v>
      </c>
      <c r="I92" s="47">
        <f t="shared" si="16"/>
        <v>0</v>
      </c>
      <c r="J92" s="47">
        <f t="shared" si="16"/>
        <v>0</v>
      </c>
      <c r="K92" s="47">
        <f t="shared" si="16"/>
        <v>1.3589597395733701E-3</v>
      </c>
      <c r="L92" s="47">
        <f t="shared" si="16"/>
        <v>0</v>
      </c>
      <c r="M92" s="47">
        <f t="shared" si="15"/>
        <v>0</v>
      </c>
      <c r="N92" s="47">
        <f t="shared" si="15"/>
        <v>0</v>
      </c>
      <c r="O92" s="47">
        <f t="shared" si="15"/>
        <v>0</v>
      </c>
      <c r="P92" s="47">
        <f t="shared" si="15"/>
        <v>0</v>
      </c>
      <c r="Q92" s="47">
        <f t="shared" si="15"/>
        <v>0</v>
      </c>
      <c r="R92" s="47">
        <f t="shared" si="15"/>
        <v>0</v>
      </c>
      <c r="S92" s="47">
        <f t="shared" si="15"/>
        <v>0</v>
      </c>
      <c r="T92" s="47">
        <f t="shared" si="15"/>
        <v>0</v>
      </c>
      <c r="U92" s="47">
        <f t="shared" si="15"/>
        <v>0</v>
      </c>
      <c r="V92" s="47">
        <f t="shared" si="15"/>
        <v>0</v>
      </c>
      <c r="W92" s="47">
        <f t="shared" si="15"/>
        <v>0</v>
      </c>
      <c r="X92" s="47">
        <f t="shared" si="15"/>
        <v>1.3589597395733701E-3</v>
      </c>
      <c r="Y92" s="47">
        <f t="shared" si="15"/>
        <v>0</v>
      </c>
      <c r="Z92" s="47">
        <f t="shared" si="17"/>
        <v>0</v>
      </c>
      <c r="AA92" s="47">
        <f t="shared" si="17"/>
        <v>0</v>
      </c>
      <c r="AB92" s="47">
        <f t="shared" si="17"/>
        <v>0</v>
      </c>
      <c r="AC92" s="47">
        <f t="shared" si="17"/>
        <v>0</v>
      </c>
      <c r="AD92" s="47">
        <f t="shared" si="17"/>
        <v>1.3589597395733701E-3</v>
      </c>
      <c r="AE92" s="47">
        <f t="shared" si="13"/>
        <v>1.3589597395733701E-3</v>
      </c>
      <c r="AF92" s="47">
        <f t="shared" si="14"/>
        <v>0</v>
      </c>
      <c r="AG92" s="47">
        <f>Table114[[#This Row],[Column2]]/$D$129*0.5</f>
        <v>1.1334442476134152E-3</v>
      </c>
      <c r="AH92" s="47">
        <f>Table114[[#This Row],[Column29]]/$D$129*1.5</f>
        <v>3.4003327428402457E-3</v>
      </c>
    </row>
    <row r="93" spans="3:34">
      <c r="C93" s="47" t="s">
        <v>451</v>
      </c>
      <c r="D93" s="47">
        <v>6.3126019628021151E-4</v>
      </c>
      <c r="E93" s="47">
        <f t="shared" si="16"/>
        <v>0</v>
      </c>
      <c r="F93" s="47">
        <f t="shared" si="16"/>
        <v>0</v>
      </c>
      <c r="G93" s="47">
        <f t="shared" si="16"/>
        <v>0</v>
      </c>
      <c r="H93" s="47">
        <f t="shared" si="16"/>
        <v>0</v>
      </c>
      <c r="I93" s="47">
        <f t="shared" si="16"/>
        <v>0</v>
      </c>
      <c r="J93" s="47">
        <f t="shared" si="16"/>
        <v>0</v>
      </c>
      <c r="K93" s="47">
        <f t="shared" si="16"/>
        <v>6.3126019628021151E-4</v>
      </c>
      <c r="L93" s="47">
        <f t="shared" si="16"/>
        <v>0</v>
      </c>
      <c r="M93" s="47">
        <f t="shared" si="15"/>
        <v>0</v>
      </c>
      <c r="N93" s="47">
        <f t="shared" si="15"/>
        <v>0</v>
      </c>
      <c r="O93" s="47">
        <f t="shared" si="15"/>
        <v>0</v>
      </c>
      <c r="P93" s="47">
        <f t="shared" si="15"/>
        <v>0</v>
      </c>
      <c r="Q93" s="47">
        <f t="shared" si="15"/>
        <v>0</v>
      </c>
      <c r="R93" s="47">
        <f t="shared" si="15"/>
        <v>0</v>
      </c>
      <c r="S93" s="47">
        <f t="shared" si="15"/>
        <v>0</v>
      </c>
      <c r="T93" s="47">
        <f t="shared" si="15"/>
        <v>0</v>
      </c>
      <c r="U93" s="47">
        <f t="shared" si="15"/>
        <v>0</v>
      </c>
      <c r="V93" s="47">
        <f t="shared" si="15"/>
        <v>0</v>
      </c>
      <c r="W93" s="47">
        <f t="shared" si="15"/>
        <v>0</v>
      </c>
      <c r="X93" s="47">
        <f t="shared" si="15"/>
        <v>0</v>
      </c>
      <c r="Y93" s="47">
        <f t="shared" si="15"/>
        <v>6.3126019628021151E-4</v>
      </c>
      <c r="Z93" s="47">
        <f t="shared" si="17"/>
        <v>6.3126019628021151E-4</v>
      </c>
      <c r="AA93" s="47">
        <f t="shared" si="17"/>
        <v>0</v>
      </c>
      <c r="AB93" s="47">
        <f t="shared" si="17"/>
        <v>0</v>
      </c>
      <c r="AC93" s="47">
        <f t="shared" si="17"/>
        <v>0</v>
      </c>
      <c r="AD93" s="47">
        <f t="shared" si="17"/>
        <v>0</v>
      </c>
      <c r="AE93" s="47">
        <f t="shared" si="13"/>
        <v>6.3126019628021151E-4</v>
      </c>
      <c r="AF93" s="47">
        <f t="shared" si="14"/>
        <v>0</v>
      </c>
      <c r="AG93" s="47">
        <f>Table114[[#This Row],[Column2]]/$D$129*0.5</f>
        <v>5.2650436755819093E-4</v>
      </c>
      <c r="AH93" s="47">
        <f>Table114[[#This Row],[Column29]]/$D$129*1.5</f>
        <v>1.5795131026745727E-3</v>
      </c>
    </row>
    <row r="94" spans="3:34">
      <c r="C94" s="44" t="s">
        <v>452</v>
      </c>
      <c r="D94" s="44">
        <v>1.2225237740250069E-2</v>
      </c>
      <c r="E94" s="44">
        <f t="shared" si="16"/>
        <v>0</v>
      </c>
      <c r="F94" s="44">
        <f t="shared" si="16"/>
        <v>0</v>
      </c>
      <c r="G94" s="44">
        <f t="shared" si="16"/>
        <v>0</v>
      </c>
      <c r="H94" s="44">
        <f t="shared" si="16"/>
        <v>0</v>
      </c>
      <c r="I94" s="44">
        <f t="shared" si="16"/>
        <v>0</v>
      </c>
      <c r="J94" s="44">
        <f t="shared" si="16"/>
        <v>0</v>
      </c>
      <c r="K94" s="44">
        <f t="shared" si="16"/>
        <v>0</v>
      </c>
      <c r="L94" s="44">
        <f t="shared" si="16"/>
        <v>3.6675713220750208E-2</v>
      </c>
      <c r="M94" s="44">
        <f t="shared" si="15"/>
        <v>0</v>
      </c>
      <c r="N94" s="44">
        <f t="shared" si="15"/>
        <v>0</v>
      </c>
      <c r="O94" s="44">
        <f t="shared" si="15"/>
        <v>0</v>
      </c>
      <c r="P94" s="44">
        <f t="shared" si="15"/>
        <v>0</v>
      </c>
      <c r="Q94" s="44">
        <f t="shared" si="15"/>
        <v>0</v>
      </c>
      <c r="R94" s="44">
        <f t="shared" si="15"/>
        <v>0</v>
      </c>
      <c r="S94" s="44">
        <f t="shared" si="15"/>
        <v>0</v>
      </c>
      <c r="T94" s="44">
        <f t="shared" si="15"/>
        <v>0</v>
      </c>
      <c r="U94" s="44">
        <f t="shared" si="15"/>
        <v>0</v>
      </c>
      <c r="V94" s="44">
        <f t="shared" si="15"/>
        <v>0</v>
      </c>
      <c r="W94" s="44">
        <f t="shared" si="15"/>
        <v>0</v>
      </c>
      <c r="X94" s="44">
        <f t="shared" si="15"/>
        <v>0</v>
      </c>
      <c r="Y94" s="44">
        <f t="shared" si="15"/>
        <v>0</v>
      </c>
      <c r="Z94" s="44">
        <f t="shared" si="17"/>
        <v>0</v>
      </c>
      <c r="AA94" s="44">
        <f t="shared" si="17"/>
        <v>0</v>
      </c>
      <c r="AB94" s="44">
        <f t="shared" si="17"/>
        <v>0</v>
      </c>
      <c r="AC94" s="44">
        <f t="shared" si="17"/>
        <v>0</v>
      </c>
      <c r="AD94" s="44">
        <f t="shared" si="17"/>
        <v>0</v>
      </c>
      <c r="AE94" s="44">
        <f t="shared" si="13"/>
        <v>1.2225237740250069E-2</v>
      </c>
      <c r="AF94" s="44">
        <f t="shared" si="14"/>
        <v>0</v>
      </c>
      <c r="AG94" s="44">
        <f>Table114[[#This Row],[Column2]]/$D$129*0.5</f>
        <v>1.0196494413250975E-2</v>
      </c>
      <c r="AH94" s="44">
        <f>Table114[[#This Row],[Column29]]/$D$129*1.5</f>
        <v>3.0589483239752926E-2</v>
      </c>
    </row>
    <row r="95" spans="3:34">
      <c r="C95" s="44" t="s">
        <v>654</v>
      </c>
      <c r="D95" s="44">
        <f>0.00551587803019433/2</f>
        <v>2.7579390150971649E-3</v>
      </c>
      <c r="E95" s="44">
        <f t="shared" si="16"/>
        <v>0</v>
      </c>
      <c r="F95" s="44">
        <f t="shared" si="16"/>
        <v>0</v>
      </c>
      <c r="G95" s="44">
        <f t="shared" si="16"/>
        <v>0</v>
      </c>
      <c r="H95" s="44">
        <f t="shared" si="16"/>
        <v>0</v>
      </c>
      <c r="I95" s="44">
        <f t="shared" si="16"/>
        <v>0</v>
      </c>
      <c r="J95" s="44">
        <f t="shared" si="16"/>
        <v>0</v>
      </c>
      <c r="K95" s="44">
        <f t="shared" si="16"/>
        <v>0</v>
      </c>
      <c r="L95" s="44">
        <f t="shared" si="16"/>
        <v>5.5158780301943298E-3</v>
      </c>
      <c r="M95" s="44">
        <f t="shared" si="15"/>
        <v>0</v>
      </c>
      <c r="N95" s="44">
        <f t="shared" si="15"/>
        <v>0</v>
      </c>
      <c r="O95" s="44">
        <f t="shared" si="15"/>
        <v>0</v>
      </c>
      <c r="P95" s="44">
        <f t="shared" si="15"/>
        <v>0</v>
      </c>
      <c r="Q95" s="44">
        <f t="shared" si="15"/>
        <v>0</v>
      </c>
      <c r="R95" s="44">
        <f t="shared" si="15"/>
        <v>2.7579390150971649E-3</v>
      </c>
      <c r="S95" s="44">
        <f t="shared" si="15"/>
        <v>0</v>
      </c>
      <c r="T95" s="44">
        <f t="shared" si="15"/>
        <v>0</v>
      </c>
      <c r="U95" s="44">
        <f t="shared" si="15"/>
        <v>0</v>
      </c>
      <c r="V95" s="44">
        <f t="shared" si="15"/>
        <v>0</v>
      </c>
      <c r="W95" s="44">
        <f t="shared" si="15"/>
        <v>0</v>
      </c>
      <c r="X95" s="44">
        <f t="shared" si="15"/>
        <v>0</v>
      </c>
      <c r="Y95" s="44">
        <f t="shared" si="15"/>
        <v>0</v>
      </c>
      <c r="Z95" s="44">
        <f t="shared" si="17"/>
        <v>0</v>
      </c>
      <c r="AA95" s="44">
        <f t="shared" si="17"/>
        <v>0</v>
      </c>
      <c r="AB95" s="44">
        <f t="shared" si="17"/>
        <v>0</v>
      </c>
      <c r="AC95" s="44">
        <f t="shared" si="17"/>
        <v>0</v>
      </c>
      <c r="AD95" s="44">
        <f t="shared" si="17"/>
        <v>0</v>
      </c>
      <c r="AE95" s="44">
        <f t="shared" si="13"/>
        <v>2.7579390150971653E-3</v>
      </c>
      <c r="AF95" s="44">
        <f t="shared" si="14"/>
        <v>0</v>
      </c>
      <c r="AG95" s="44">
        <f>Table114[[#This Row],[Column2]]/$D$129*0.5</f>
        <v>2.3002669033534815E-3</v>
      </c>
      <c r="AH95" s="44">
        <f>Table114[[#This Row],[Column29]]/$D$129*1.5</f>
        <v>6.9008007100604448E-3</v>
      </c>
    </row>
    <row r="96" spans="3:34">
      <c r="C96" s="44" t="s">
        <v>453</v>
      </c>
      <c r="D96" s="44">
        <v>3.9566917004094588E-3</v>
      </c>
      <c r="E96" s="44">
        <f t="shared" si="16"/>
        <v>0</v>
      </c>
      <c r="F96" s="44">
        <f t="shared" si="16"/>
        <v>0</v>
      </c>
      <c r="G96" s="44">
        <f t="shared" si="16"/>
        <v>0</v>
      </c>
      <c r="H96" s="44">
        <f t="shared" si="16"/>
        <v>0</v>
      </c>
      <c r="I96" s="44">
        <f t="shared" si="16"/>
        <v>0</v>
      </c>
      <c r="J96" s="44">
        <f t="shared" si="16"/>
        <v>0</v>
      </c>
      <c r="K96" s="44">
        <f t="shared" si="16"/>
        <v>0</v>
      </c>
      <c r="L96" s="44">
        <f t="shared" si="16"/>
        <v>7.9133834008189175E-3</v>
      </c>
      <c r="M96" s="44">
        <f t="shared" si="15"/>
        <v>0</v>
      </c>
      <c r="N96" s="44">
        <f t="shared" si="15"/>
        <v>0</v>
      </c>
      <c r="O96" s="44">
        <f t="shared" si="15"/>
        <v>0</v>
      </c>
      <c r="P96" s="44">
        <f t="shared" si="15"/>
        <v>0</v>
      </c>
      <c r="Q96" s="44">
        <f t="shared" si="15"/>
        <v>0</v>
      </c>
      <c r="R96" s="44">
        <f t="shared" si="15"/>
        <v>0</v>
      </c>
      <c r="S96" s="44">
        <f t="shared" si="15"/>
        <v>0</v>
      </c>
      <c r="T96" s="44">
        <f t="shared" si="15"/>
        <v>0</v>
      </c>
      <c r="U96" s="44">
        <f t="shared" si="15"/>
        <v>0</v>
      </c>
      <c r="V96" s="44">
        <f t="shared" si="15"/>
        <v>0</v>
      </c>
      <c r="W96" s="44">
        <f t="shared" si="15"/>
        <v>0</v>
      </c>
      <c r="X96" s="44">
        <f t="shared" si="15"/>
        <v>0</v>
      </c>
      <c r="Y96" s="44">
        <f t="shared" si="15"/>
        <v>0</v>
      </c>
      <c r="Z96" s="44">
        <f t="shared" si="17"/>
        <v>0</v>
      </c>
      <c r="AA96" s="44">
        <f t="shared" si="17"/>
        <v>3.9566917004094588E-3</v>
      </c>
      <c r="AB96" s="44">
        <f t="shared" si="17"/>
        <v>0</v>
      </c>
      <c r="AC96" s="44">
        <f t="shared" si="17"/>
        <v>0</v>
      </c>
      <c r="AD96" s="44">
        <f t="shared" si="17"/>
        <v>0</v>
      </c>
      <c r="AE96" s="44">
        <f t="shared" si="13"/>
        <v>3.9566917004094588E-3</v>
      </c>
      <c r="AF96" s="44">
        <f t="shared" si="14"/>
        <v>0</v>
      </c>
      <c r="AG96" s="44">
        <f>Table114[[#This Row],[Column2]]/$D$129*0.5</f>
        <v>3.3000900003238953E-3</v>
      </c>
      <c r="AH96" s="44">
        <f>Table114[[#This Row],[Column29]]/$D$129*1.5</f>
        <v>9.9002700009716855E-3</v>
      </c>
    </row>
    <row r="97" spans="3:34">
      <c r="C97" s="44" t="s">
        <v>655</v>
      </c>
      <c r="D97" s="44">
        <v>1.6322499134939199E-3</v>
      </c>
      <c r="E97" s="44">
        <f t="shared" si="16"/>
        <v>0</v>
      </c>
      <c r="F97" s="44">
        <f t="shared" si="16"/>
        <v>0</v>
      </c>
      <c r="G97" s="44">
        <f t="shared" si="16"/>
        <v>0</v>
      </c>
      <c r="H97" s="44">
        <f t="shared" si="16"/>
        <v>0</v>
      </c>
      <c r="I97" s="44">
        <f t="shared" si="16"/>
        <v>0</v>
      </c>
      <c r="J97" s="44">
        <f t="shared" si="16"/>
        <v>0</v>
      </c>
      <c r="K97" s="44">
        <f t="shared" si="16"/>
        <v>0</v>
      </c>
      <c r="L97" s="44">
        <f t="shared" si="16"/>
        <v>1.6322499134939199E-3</v>
      </c>
      <c r="M97" s="44">
        <f t="shared" si="15"/>
        <v>1.6322499134939199E-3</v>
      </c>
      <c r="N97" s="44">
        <f t="shared" si="15"/>
        <v>0</v>
      </c>
      <c r="O97" s="44">
        <f t="shared" si="15"/>
        <v>0</v>
      </c>
      <c r="P97" s="44">
        <f t="shared" si="15"/>
        <v>0</v>
      </c>
      <c r="Q97" s="44">
        <f t="shared" si="15"/>
        <v>0</v>
      </c>
      <c r="R97" s="44">
        <f t="shared" si="15"/>
        <v>1.6322499134939199E-3</v>
      </c>
      <c r="S97" s="44">
        <f t="shared" si="15"/>
        <v>0</v>
      </c>
      <c r="T97" s="44">
        <f t="shared" si="15"/>
        <v>0</v>
      </c>
      <c r="U97" s="44">
        <f t="shared" si="15"/>
        <v>0</v>
      </c>
      <c r="V97" s="44">
        <f t="shared" si="15"/>
        <v>0</v>
      </c>
      <c r="W97" s="44">
        <f t="shared" si="15"/>
        <v>0</v>
      </c>
      <c r="X97" s="44">
        <f t="shared" si="15"/>
        <v>0</v>
      </c>
      <c r="Y97" s="44">
        <f t="shared" si="15"/>
        <v>0</v>
      </c>
      <c r="Z97" s="44">
        <f t="shared" si="17"/>
        <v>0</v>
      </c>
      <c r="AA97" s="44">
        <f t="shared" si="17"/>
        <v>0</v>
      </c>
      <c r="AB97" s="44">
        <f t="shared" si="17"/>
        <v>0</v>
      </c>
      <c r="AC97" s="44">
        <f t="shared" si="17"/>
        <v>0</v>
      </c>
      <c r="AD97" s="44">
        <f t="shared" si="17"/>
        <v>0</v>
      </c>
      <c r="AE97" s="44">
        <f t="shared" si="13"/>
        <v>1.6322499134939199E-3</v>
      </c>
      <c r="AF97" s="44">
        <f t="shared" si="14"/>
        <v>0</v>
      </c>
      <c r="AG97" s="44">
        <f>Table114[[#This Row],[Column2]]/$D$129*0.5</f>
        <v>1.3613826968104181E-3</v>
      </c>
      <c r="AH97" s="44">
        <f>Table114[[#This Row],[Column29]]/$D$129*1.5</f>
        <v>4.0841480904312546E-3</v>
      </c>
    </row>
    <row r="98" spans="3:34">
      <c r="C98" s="44" t="s">
        <v>455</v>
      </c>
      <c r="D98" s="44">
        <f>0.00020387905322773/2</f>
        <v>1.01939526613865E-4</v>
      </c>
      <c r="E98" s="44">
        <f t="shared" si="16"/>
        <v>0</v>
      </c>
      <c r="F98" s="44">
        <f t="shared" si="16"/>
        <v>0</v>
      </c>
      <c r="G98" s="44">
        <f t="shared" si="16"/>
        <v>0</v>
      </c>
      <c r="H98" s="44">
        <f t="shared" si="16"/>
        <v>0</v>
      </c>
      <c r="I98" s="44">
        <f t="shared" si="16"/>
        <v>0</v>
      </c>
      <c r="J98" s="44">
        <f t="shared" si="16"/>
        <v>0</v>
      </c>
      <c r="K98" s="44">
        <f t="shared" si="16"/>
        <v>0</v>
      </c>
      <c r="L98" s="44">
        <f t="shared" si="16"/>
        <v>1.01939526613865E-4</v>
      </c>
      <c r="M98" s="44">
        <f t="shared" si="15"/>
        <v>1.01939526613865E-4</v>
      </c>
      <c r="N98" s="44">
        <f t="shared" si="15"/>
        <v>0</v>
      </c>
      <c r="O98" s="44">
        <f t="shared" si="15"/>
        <v>0</v>
      </c>
      <c r="P98" s="44">
        <f t="shared" si="15"/>
        <v>0</v>
      </c>
      <c r="Q98" s="44">
        <f t="shared" si="15"/>
        <v>0</v>
      </c>
      <c r="R98" s="44">
        <f t="shared" si="15"/>
        <v>0</v>
      </c>
      <c r="S98" s="44">
        <f t="shared" si="15"/>
        <v>0</v>
      </c>
      <c r="T98" s="44">
        <f t="shared" si="15"/>
        <v>0</v>
      </c>
      <c r="U98" s="44">
        <f t="shared" si="15"/>
        <v>0</v>
      </c>
      <c r="V98" s="44">
        <f t="shared" si="15"/>
        <v>0</v>
      </c>
      <c r="W98" s="44">
        <f t="shared" si="15"/>
        <v>0</v>
      </c>
      <c r="X98" s="44">
        <f t="shared" si="15"/>
        <v>0</v>
      </c>
      <c r="Y98" s="44">
        <f t="shared" si="15"/>
        <v>0</v>
      </c>
      <c r="Z98" s="44">
        <f t="shared" si="17"/>
        <v>1.01939526613865E-4</v>
      </c>
      <c r="AA98" s="44">
        <f t="shared" si="17"/>
        <v>0</v>
      </c>
      <c r="AB98" s="44">
        <f t="shared" si="17"/>
        <v>0</v>
      </c>
      <c r="AC98" s="44">
        <f t="shared" si="17"/>
        <v>0</v>
      </c>
      <c r="AD98" s="44">
        <f t="shared" si="17"/>
        <v>0</v>
      </c>
      <c r="AE98" s="44">
        <f t="shared" si="13"/>
        <v>1.01939526613865E-4</v>
      </c>
      <c r="AF98" s="44">
        <f t="shared" si="14"/>
        <v>0</v>
      </c>
      <c r="AG98" s="44">
        <f>Table114[[#This Row],[Column2]]/$D$129*0.5</f>
        <v>8.5022952984017952E-5</v>
      </c>
      <c r="AH98" s="44">
        <f>Table114[[#This Row],[Column29]]/$D$129*1.5</f>
        <v>2.5506885895205386E-4</v>
      </c>
    </row>
    <row r="99" spans="3:34">
      <c r="C99" s="47" t="s">
        <v>656</v>
      </c>
      <c r="D99" s="47">
        <f>0.000774178925597782/2</f>
        <v>3.8708946279889097E-4</v>
      </c>
      <c r="E99" s="47">
        <f t="shared" si="16"/>
        <v>0</v>
      </c>
      <c r="F99" s="47">
        <f t="shared" si="16"/>
        <v>0</v>
      </c>
      <c r="G99" s="47">
        <f t="shared" si="16"/>
        <v>0</v>
      </c>
      <c r="H99" s="47">
        <f t="shared" si="16"/>
        <v>0</v>
      </c>
      <c r="I99" s="47">
        <f t="shared" si="16"/>
        <v>0</v>
      </c>
      <c r="J99" s="47">
        <f t="shared" si="16"/>
        <v>0</v>
      </c>
      <c r="K99" s="47">
        <f t="shared" si="16"/>
        <v>0</v>
      </c>
      <c r="L99" s="47">
        <f t="shared" si="16"/>
        <v>3.8708946279889097E-4</v>
      </c>
      <c r="M99" s="47">
        <f t="shared" si="16"/>
        <v>0</v>
      </c>
      <c r="N99" s="47">
        <f t="shared" si="16"/>
        <v>3.8708946279889097E-4</v>
      </c>
      <c r="O99" s="47">
        <f t="shared" si="16"/>
        <v>0</v>
      </c>
      <c r="P99" s="47">
        <f t="shared" si="16"/>
        <v>0</v>
      </c>
      <c r="Q99" s="47">
        <f t="shared" si="16"/>
        <v>0</v>
      </c>
      <c r="R99" s="47">
        <f t="shared" si="16"/>
        <v>3.8708946279889097E-4</v>
      </c>
      <c r="S99" s="47">
        <f t="shared" si="16"/>
        <v>0</v>
      </c>
      <c r="T99" s="47">
        <f t="shared" si="16"/>
        <v>0</v>
      </c>
      <c r="U99" s="47">
        <f t="shared" ref="U99:AD128" si="20">((LEN($C99)-LEN(SUBSTITUTE($C99,U$3,"")))/4)*$D99</f>
        <v>0</v>
      </c>
      <c r="V99" s="47">
        <f t="shared" si="20"/>
        <v>0</v>
      </c>
      <c r="W99" s="47">
        <f t="shared" si="20"/>
        <v>0</v>
      </c>
      <c r="X99" s="47">
        <f t="shared" si="20"/>
        <v>0</v>
      </c>
      <c r="Y99" s="47">
        <f t="shared" si="20"/>
        <v>0</v>
      </c>
      <c r="Z99" s="47">
        <f t="shared" si="17"/>
        <v>0</v>
      </c>
      <c r="AA99" s="47">
        <f t="shared" si="17"/>
        <v>0</v>
      </c>
      <c r="AB99" s="47">
        <f t="shared" si="17"/>
        <v>0</v>
      </c>
      <c r="AC99" s="47">
        <f t="shared" si="17"/>
        <v>0</v>
      </c>
      <c r="AD99" s="47">
        <f t="shared" si="17"/>
        <v>0</v>
      </c>
      <c r="AE99" s="47">
        <f t="shared" si="13"/>
        <v>3.8708946279889097E-4</v>
      </c>
      <c r="AF99" s="47">
        <f t="shared" si="14"/>
        <v>0</v>
      </c>
      <c r="AG99" s="47">
        <f>Table114[[#This Row],[Column2]]/$D$129*0.5</f>
        <v>3.228530707310791E-4</v>
      </c>
      <c r="AH99" s="47">
        <f>Table114[[#This Row],[Column29]]/$D$129*1.5</f>
        <v>9.6855921219323729E-4</v>
      </c>
    </row>
    <row r="100" spans="3:34">
      <c r="C100" s="44" t="s">
        <v>456</v>
      </c>
      <c r="D100" s="44">
        <v>6.868377923413496E-3</v>
      </c>
      <c r="E100" s="44">
        <f t="shared" si="16"/>
        <v>0</v>
      </c>
      <c r="F100" s="44">
        <f t="shared" si="16"/>
        <v>0</v>
      </c>
      <c r="G100" s="44">
        <f t="shared" si="16"/>
        <v>0</v>
      </c>
      <c r="H100" s="44">
        <f t="shared" si="16"/>
        <v>0</v>
      </c>
      <c r="I100" s="44">
        <f t="shared" si="16"/>
        <v>0</v>
      </c>
      <c r="J100" s="44">
        <f t="shared" si="16"/>
        <v>0</v>
      </c>
      <c r="K100" s="44">
        <f t="shared" si="16"/>
        <v>0</v>
      </c>
      <c r="L100" s="44">
        <f t="shared" si="16"/>
        <v>6.868377923413496E-3</v>
      </c>
      <c r="M100" s="44">
        <f t="shared" si="16"/>
        <v>0</v>
      </c>
      <c r="N100" s="44">
        <f t="shared" si="16"/>
        <v>0</v>
      </c>
      <c r="O100" s="44">
        <f t="shared" si="16"/>
        <v>0</v>
      </c>
      <c r="P100" s="44">
        <f t="shared" si="16"/>
        <v>0</v>
      </c>
      <c r="Q100" s="44">
        <f t="shared" si="16"/>
        <v>0</v>
      </c>
      <c r="R100" s="44">
        <f t="shared" si="16"/>
        <v>1.3736755846826992E-2</v>
      </c>
      <c r="S100" s="44">
        <f t="shared" si="16"/>
        <v>0</v>
      </c>
      <c r="T100" s="44">
        <f t="shared" si="16"/>
        <v>0</v>
      </c>
      <c r="U100" s="44">
        <f t="shared" si="20"/>
        <v>0</v>
      </c>
      <c r="V100" s="44">
        <f t="shared" si="20"/>
        <v>0</v>
      </c>
      <c r="W100" s="44">
        <f t="shared" si="20"/>
        <v>0</v>
      </c>
      <c r="X100" s="44">
        <f t="shared" si="20"/>
        <v>0</v>
      </c>
      <c r="Y100" s="44">
        <f t="shared" si="20"/>
        <v>0</v>
      </c>
      <c r="Z100" s="44">
        <f t="shared" si="17"/>
        <v>0</v>
      </c>
      <c r="AA100" s="44">
        <f t="shared" si="17"/>
        <v>0</v>
      </c>
      <c r="AB100" s="44">
        <f t="shared" si="17"/>
        <v>0</v>
      </c>
      <c r="AC100" s="44">
        <f t="shared" si="17"/>
        <v>0</v>
      </c>
      <c r="AD100" s="44">
        <f t="shared" si="17"/>
        <v>0</v>
      </c>
      <c r="AE100" s="44">
        <f t="shared" si="13"/>
        <v>6.868377923413496E-3</v>
      </c>
      <c r="AF100" s="44">
        <f t="shared" si="14"/>
        <v>0</v>
      </c>
      <c r="AG100" s="44">
        <f>Table114[[#This Row],[Column2]]/$D$129*0.5</f>
        <v>5.7285902010400904E-3</v>
      </c>
      <c r="AH100" s="44">
        <f>Table114[[#This Row],[Column29]]/$D$129*1.5</f>
        <v>1.7185770603120272E-2</v>
      </c>
    </row>
    <row r="101" spans="3:34">
      <c r="C101" s="44" t="s">
        <v>457</v>
      </c>
      <c r="D101" s="44">
        <v>6.3763839934346239E-3</v>
      </c>
      <c r="E101" s="44">
        <f t="shared" si="16"/>
        <v>0</v>
      </c>
      <c r="F101" s="44">
        <f t="shared" si="16"/>
        <v>0</v>
      </c>
      <c r="G101" s="44">
        <f t="shared" si="16"/>
        <v>0</v>
      </c>
      <c r="H101" s="44">
        <f t="shared" si="16"/>
        <v>0</v>
      </c>
      <c r="I101" s="44">
        <f t="shared" si="16"/>
        <v>0</v>
      </c>
      <c r="J101" s="44">
        <f t="shared" si="16"/>
        <v>0</v>
      </c>
      <c r="K101" s="44">
        <f t="shared" si="16"/>
        <v>0</v>
      </c>
      <c r="L101" s="44">
        <f t="shared" si="16"/>
        <v>6.3763839934346239E-3</v>
      </c>
      <c r="M101" s="44">
        <f t="shared" si="16"/>
        <v>0</v>
      </c>
      <c r="N101" s="44">
        <f t="shared" si="16"/>
        <v>0</v>
      </c>
      <c r="O101" s="44">
        <f t="shared" si="16"/>
        <v>0</v>
      </c>
      <c r="P101" s="44">
        <f t="shared" si="16"/>
        <v>0</v>
      </c>
      <c r="Q101" s="44">
        <f t="shared" si="16"/>
        <v>0</v>
      </c>
      <c r="R101" s="44">
        <f t="shared" si="16"/>
        <v>6.3763839934346239E-3</v>
      </c>
      <c r="S101" s="44">
        <f t="shared" si="16"/>
        <v>6.3763839934346239E-3</v>
      </c>
      <c r="T101" s="44">
        <f t="shared" ref="T101:T128" si="21">((LEN($C101)-LEN(SUBSTITUTE($C101,T$3,"")))/4)*$D101</f>
        <v>0</v>
      </c>
      <c r="U101" s="44">
        <f t="shared" si="20"/>
        <v>0</v>
      </c>
      <c r="V101" s="44">
        <f t="shared" si="20"/>
        <v>0</v>
      </c>
      <c r="W101" s="44">
        <f t="shared" si="20"/>
        <v>0</v>
      </c>
      <c r="X101" s="44">
        <f t="shared" si="20"/>
        <v>0</v>
      </c>
      <c r="Y101" s="44">
        <f t="shared" si="20"/>
        <v>0</v>
      </c>
      <c r="Z101" s="44">
        <f t="shared" si="17"/>
        <v>0</v>
      </c>
      <c r="AA101" s="44">
        <f t="shared" si="17"/>
        <v>0</v>
      </c>
      <c r="AB101" s="44">
        <f t="shared" si="17"/>
        <v>0</v>
      </c>
      <c r="AC101" s="44">
        <f t="shared" si="17"/>
        <v>0</v>
      </c>
      <c r="AD101" s="44">
        <f t="shared" si="17"/>
        <v>0</v>
      </c>
      <c r="AE101" s="44">
        <f t="shared" si="13"/>
        <v>6.376383993434623E-3</v>
      </c>
      <c r="AF101" s="44">
        <f t="shared" si="14"/>
        <v>0</v>
      </c>
      <c r="AG101" s="44">
        <f>Table114[[#This Row],[Column2]]/$D$129*0.5</f>
        <v>5.3182412601874814E-3</v>
      </c>
      <c r="AH101" s="44">
        <f>Table114[[#This Row],[Column29]]/$D$129*1.5</f>
        <v>1.5954723780562442E-2</v>
      </c>
    </row>
    <row r="102" spans="3:34">
      <c r="C102" s="47" t="s">
        <v>458</v>
      </c>
      <c r="D102" s="47">
        <v>8.7056384375009746E-3</v>
      </c>
      <c r="E102" s="47">
        <f t="shared" ref="E102:S118" si="22">((LEN($C102)-LEN(SUBSTITUTE($C102,E$3,"")))/4)*$D102</f>
        <v>0</v>
      </c>
      <c r="F102" s="47">
        <f t="shared" si="22"/>
        <v>0</v>
      </c>
      <c r="G102" s="47">
        <f t="shared" si="22"/>
        <v>0</v>
      </c>
      <c r="H102" s="47">
        <f t="shared" si="22"/>
        <v>0</v>
      </c>
      <c r="I102" s="47">
        <f t="shared" si="22"/>
        <v>0</v>
      </c>
      <c r="J102" s="47">
        <f t="shared" si="22"/>
        <v>0</v>
      </c>
      <c r="K102" s="47">
        <f t="shared" si="22"/>
        <v>0</v>
      </c>
      <c r="L102" s="47">
        <f t="shared" si="22"/>
        <v>8.7056384375009746E-3</v>
      </c>
      <c r="M102" s="47">
        <f t="shared" si="22"/>
        <v>0</v>
      </c>
      <c r="N102" s="47">
        <f t="shared" si="22"/>
        <v>0</v>
      </c>
      <c r="O102" s="47">
        <f t="shared" si="22"/>
        <v>0</v>
      </c>
      <c r="P102" s="47">
        <f t="shared" si="22"/>
        <v>0</v>
      </c>
      <c r="Q102" s="47">
        <f t="shared" si="22"/>
        <v>0</v>
      </c>
      <c r="R102" s="47">
        <f t="shared" si="22"/>
        <v>8.7056384375009746E-3</v>
      </c>
      <c r="S102" s="47">
        <f t="shared" si="22"/>
        <v>0</v>
      </c>
      <c r="T102" s="47">
        <f t="shared" si="21"/>
        <v>0</v>
      </c>
      <c r="U102" s="47">
        <f t="shared" si="20"/>
        <v>0</v>
      </c>
      <c r="V102" s="47">
        <f t="shared" si="20"/>
        <v>0</v>
      </c>
      <c r="W102" s="47">
        <f t="shared" si="20"/>
        <v>0</v>
      </c>
      <c r="X102" s="47">
        <f t="shared" si="20"/>
        <v>8.7056384375009746E-3</v>
      </c>
      <c r="Y102" s="47">
        <f t="shared" si="20"/>
        <v>0</v>
      </c>
      <c r="Z102" s="47">
        <f t="shared" si="17"/>
        <v>0</v>
      </c>
      <c r="AA102" s="47">
        <f t="shared" si="17"/>
        <v>0</v>
      </c>
      <c r="AB102" s="47">
        <f t="shared" si="17"/>
        <v>0</v>
      </c>
      <c r="AC102" s="47">
        <f t="shared" si="17"/>
        <v>0</v>
      </c>
      <c r="AD102" s="47">
        <f t="shared" si="17"/>
        <v>0</v>
      </c>
      <c r="AE102" s="47">
        <f t="shared" si="13"/>
        <v>8.7056384375009746E-3</v>
      </c>
      <c r="AF102" s="47">
        <f t="shared" si="14"/>
        <v>0</v>
      </c>
      <c r="AG102" s="47">
        <f>Table114[[#This Row],[Column2]]/$D$129*0.5</f>
        <v>7.2609625741270768E-3</v>
      </c>
      <c r="AH102" s="47">
        <f>Table114[[#This Row],[Column29]]/$D$129*1.5</f>
        <v>2.1782887722381232E-2</v>
      </c>
    </row>
    <row r="103" spans="3:34">
      <c r="C103" s="44" t="s">
        <v>657</v>
      </c>
      <c r="D103" s="44">
        <f>0.00295726323209288/2</f>
        <v>1.47863161604644E-3</v>
      </c>
      <c r="E103" s="44">
        <f t="shared" si="22"/>
        <v>0</v>
      </c>
      <c r="F103" s="44">
        <f t="shared" si="22"/>
        <v>0</v>
      </c>
      <c r="G103" s="44">
        <f t="shared" si="22"/>
        <v>0</v>
      </c>
      <c r="H103" s="44">
        <f t="shared" si="22"/>
        <v>0</v>
      </c>
      <c r="I103" s="44">
        <f t="shared" si="22"/>
        <v>0</v>
      </c>
      <c r="J103" s="44">
        <f t="shared" si="22"/>
        <v>0</v>
      </c>
      <c r="K103" s="44">
        <f t="shared" si="22"/>
        <v>0</v>
      </c>
      <c r="L103" s="44">
        <f t="shared" si="22"/>
        <v>1.47863161604644E-3</v>
      </c>
      <c r="M103" s="44">
        <f t="shared" si="22"/>
        <v>0</v>
      </c>
      <c r="N103" s="44">
        <f t="shared" si="22"/>
        <v>0</v>
      </c>
      <c r="O103" s="44">
        <f t="shared" si="22"/>
        <v>0</v>
      </c>
      <c r="P103" s="44">
        <f t="shared" si="22"/>
        <v>0</v>
      </c>
      <c r="Q103" s="44">
        <f t="shared" si="22"/>
        <v>0</v>
      </c>
      <c r="R103" s="44">
        <f t="shared" si="22"/>
        <v>0</v>
      </c>
      <c r="S103" s="44">
        <f t="shared" si="22"/>
        <v>2.95726323209288E-3</v>
      </c>
      <c r="T103" s="44">
        <f t="shared" si="21"/>
        <v>0</v>
      </c>
      <c r="U103" s="44">
        <f t="shared" si="20"/>
        <v>0</v>
      </c>
      <c r="V103" s="44">
        <f t="shared" si="20"/>
        <v>0</v>
      </c>
      <c r="W103" s="44">
        <f t="shared" si="20"/>
        <v>0</v>
      </c>
      <c r="X103" s="44">
        <f t="shared" si="20"/>
        <v>0</v>
      </c>
      <c r="Y103" s="44">
        <f t="shared" si="20"/>
        <v>0</v>
      </c>
      <c r="Z103" s="44">
        <f t="shared" si="17"/>
        <v>0</v>
      </c>
      <c r="AA103" s="44">
        <f t="shared" si="17"/>
        <v>0</v>
      </c>
      <c r="AB103" s="44">
        <f t="shared" si="17"/>
        <v>0</v>
      </c>
      <c r="AC103" s="44">
        <f t="shared" si="17"/>
        <v>0</v>
      </c>
      <c r="AD103" s="44">
        <f t="shared" si="17"/>
        <v>0</v>
      </c>
      <c r="AE103" s="44">
        <f t="shared" si="13"/>
        <v>1.47863161604644E-3</v>
      </c>
      <c r="AF103" s="44">
        <f t="shared" si="14"/>
        <v>0</v>
      </c>
      <c r="AG103" s="44">
        <f>Table114[[#This Row],[Column2]]/$D$129*0.5</f>
        <v>1.2332569175841144E-3</v>
      </c>
      <c r="AH103" s="44">
        <f>Table114[[#This Row],[Column29]]/$D$129*1.5</f>
        <v>3.6997707527523433E-3</v>
      </c>
    </row>
    <row r="104" spans="3:34">
      <c r="C104" s="44" t="s">
        <v>460</v>
      </c>
      <c r="D104" s="44">
        <v>1.0127205690187893E-3</v>
      </c>
      <c r="E104" s="44">
        <f t="shared" si="22"/>
        <v>0</v>
      </c>
      <c r="F104" s="44">
        <f t="shared" si="22"/>
        <v>0</v>
      </c>
      <c r="G104" s="44">
        <f t="shared" si="22"/>
        <v>0</v>
      </c>
      <c r="H104" s="44">
        <f t="shared" si="22"/>
        <v>0</v>
      </c>
      <c r="I104" s="44">
        <f t="shared" si="22"/>
        <v>0</v>
      </c>
      <c r="J104" s="44">
        <f t="shared" si="22"/>
        <v>0</v>
      </c>
      <c r="K104" s="44">
        <f t="shared" si="22"/>
        <v>0</v>
      </c>
      <c r="L104" s="44">
        <f t="shared" si="22"/>
        <v>1.0127205690187893E-3</v>
      </c>
      <c r="M104" s="44">
        <f t="shared" si="22"/>
        <v>0</v>
      </c>
      <c r="N104" s="44">
        <f t="shared" si="22"/>
        <v>0</v>
      </c>
      <c r="O104" s="44">
        <f t="shared" si="22"/>
        <v>0</v>
      </c>
      <c r="P104" s="44">
        <f t="shared" si="22"/>
        <v>0</v>
      </c>
      <c r="Q104" s="44">
        <f t="shared" si="22"/>
        <v>0</v>
      </c>
      <c r="R104" s="44">
        <f t="shared" si="22"/>
        <v>0</v>
      </c>
      <c r="S104" s="44">
        <f t="shared" si="22"/>
        <v>1.0127205690187893E-3</v>
      </c>
      <c r="T104" s="44">
        <f t="shared" si="21"/>
        <v>0</v>
      </c>
      <c r="U104" s="44">
        <f t="shared" si="20"/>
        <v>1.0127205690187893E-3</v>
      </c>
      <c r="V104" s="44">
        <f t="shared" si="20"/>
        <v>0</v>
      </c>
      <c r="W104" s="44">
        <f t="shared" si="20"/>
        <v>0</v>
      </c>
      <c r="X104" s="44">
        <f t="shared" si="20"/>
        <v>0</v>
      </c>
      <c r="Y104" s="44">
        <f t="shared" si="20"/>
        <v>0</v>
      </c>
      <c r="Z104" s="44">
        <f t="shared" si="17"/>
        <v>0</v>
      </c>
      <c r="AA104" s="44">
        <f t="shared" si="17"/>
        <v>0</v>
      </c>
      <c r="AB104" s="44">
        <f t="shared" si="17"/>
        <v>0</v>
      </c>
      <c r="AC104" s="44">
        <f t="shared" si="17"/>
        <v>0</v>
      </c>
      <c r="AD104" s="44">
        <f t="shared" si="17"/>
        <v>0</v>
      </c>
      <c r="AE104" s="44">
        <f t="shared" si="13"/>
        <v>1.0127205690187893E-3</v>
      </c>
      <c r="AF104" s="44">
        <f t="shared" si="14"/>
        <v>0</v>
      </c>
      <c r="AG104" s="44">
        <f>Table114[[#This Row],[Column2]]/$D$129*0.5</f>
        <v>8.4466247966587271E-4</v>
      </c>
      <c r="AH104" s="44">
        <f>Table114[[#This Row],[Column29]]/$D$129*1.5</f>
        <v>2.5339874389976183E-3</v>
      </c>
    </row>
    <row r="105" spans="3:34">
      <c r="C105" s="44" t="s">
        <v>658</v>
      </c>
      <c r="D105" s="44">
        <f>0.00020387905322773/2</f>
        <v>1.01939526613865E-4</v>
      </c>
      <c r="E105" s="44">
        <f t="shared" si="22"/>
        <v>0</v>
      </c>
      <c r="F105" s="44">
        <f t="shared" si="22"/>
        <v>0</v>
      </c>
      <c r="G105" s="44">
        <f t="shared" si="22"/>
        <v>0</v>
      </c>
      <c r="H105" s="44">
        <f t="shared" si="22"/>
        <v>0</v>
      </c>
      <c r="I105" s="44">
        <f t="shared" si="22"/>
        <v>0</v>
      </c>
      <c r="J105" s="44">
        <f t="shared" si="22"/>
        <v>0</v>
      </c>
      <c r="K105" s="44">
        <f t="shared" si="22"/>
        <v>0</v>
      </c>
      <c r="L105" s="44">
        <f t="shared" si="22"/>
        <v>1.01939526613865E-4</v>
      </c>
      <c r="M105" s="44">
        <f t="shared" si="22"/>
        <v>0</v>
      </c>
      <c r="N105" s="44">
        <f t="shared" si="22"/>
        <v>0</v>
      </c>
      <c r="O105" s="44">
        <f t="shared" si="22"/>
        <v>0</v>
      </c>
      <c r="P105" s="44">
        <f t="shared" si="22"/>
        <v>0</v>
      </c>
      <c r="Q105" s="44">
        <f t="shared" si="22"/>
        <v>0</v>
      </c>
      <c r="R105" s="44">
        <f t="shared" si="22"/>
        <v>0</v>
      </c>
      <c r="S105" s="44">
        <f t="shared" si="22"/>
        <v>0</v>
      </c>
      <c r="T105" s="44">
        <f t="shared" si="21"/>
        <v>2.0387905322772999E-4</v>
      </c>
      <c r="U105" s="44">
        <f t="shared" si="20"/>
        <v>0</v>
      </c>
      <c r="V105" s="44">
        <f t="shared" si="20"/>
        <v>0</v>
      </c>
      <c r="W105" s="44">
        <f t="shared" si="20"/>
        <v>0</v>
      </c>
      <c r="X105" s="44">
        <f t="shared" si="20"/>
        <v>0</v>
      </c>
      <c r="Y105" s="44">
        <f t="shared" si="20"/>
        <v>0</v>
      </c>
      <c r="Z105" s="44">
        <f t="shared" si="17"/>
        <v>0</v>
      </c>
      <c r="AA105" s="44">
        <f t="shared" si="17"/>
        <v>0</v>
      </c>
      <c r="AB105" s="44">
        <f t="shared" si="17"/>
        <v>0</v>
      </c>
      <c r="AC105" s="44">
        <f t="shared" si="17"/>
        <v>0</v>
      </c>
      <c r="AD105" s="44">
        <f t="shared" si="17"/>
        <v>0</v>
      </c>
      <c r="AE105" s="44">
        <f t="shared" si="13"/>
        <v>1.01939526613865E-4</v>
      </c>
      <c r="AF105" s="44">
        <f t="shared" si="14"/>
        <v>0</v>
      </c>
      <c r="AG105" s="44">
        <f>Table114[[#This Row],[Column2]]/$D$129*0.5</f>
        <v>8.5022952984017952E-5</v>
      </c>
      <c r="AH105" s="44">
        <f>Table114[[#This Row],[Column29]]/$D$129*1.5</f>
        <v>2.5506885895205386E-4</v>
      </c>
    </row>
    <row r="106" spans="3:34">
      <c r="C106" s="44" t="s">
        <v>461</v>
      </c>
      <c r="D106" s="44">
        <v>4.9782354742047179E-4</v>
      </c>
      <c r="E106" s="44">
        <f t="shared" si="22"/>
        <v>0</v>
      </c>
      <c r="F106" s="44">
        <f t="shared" si="22"/>
        <v>0</v>
      </c>
      <c r="G106" s="44">
        <f t="shared" si="22"/>
        <v>0</v>
      </c>
      <c r="H106" s="44">
        <f t="shared" si="22"/>
        <v>0</v>
      </c>
      <c r="I106" s="44">
        <f t="shared" si="22"/>
        <v>0</v>
      </c>
      <c r="J106" s="44">
        <f t="shared" si="22"/>
        <v>0</v>
      </c>
      <c r="K106" s="44">
        <f t="shared" si="22"/>
        <v>0</v>
      </c>
      <c r="L106" s="44">
        <f t="shared" si="22"/>
        <v>0</v>
      </c>
      <c r="M106" s="44">
        <f t="shared" si="22"/>
        <v>4.9782354742047179E-4</v>
      </c>
      <c r="N106" s="44">
        <f t="shared" si="22"/>
        <v>0</v>
      </c>
      <c r="O106" s="44">
        <f t="shared" si="22"/>
        <v>0</v>
      </c>
      <c r="P106" s="44">
        <f t="shared" si="22"/>
        <v>0</v>
      </c>
      <c r="Q106" s="44">
        <f t="shared" si="22"/>
        <v>0</v>
      </c>
      <c r="R106" s="44">
        <f t="shared" si="22"/>
        <v>9.9564709484094359E-4</v>
      </c>
      <c r="S106" s="44">
        <f t="shared" si="22"/>
        <v>0</v>
      </c>
      <c r="T106" s="44">
        <f t="shared" si="21"/>
        <v>0</v>
      </c>
      <c r="U106" s="44">
        <f t="shared" si="20"/>
        <v>0</v>
      </c>
      <c r="V106" s="44">
        <f t="shared" si="20"/>
        <v>0</v>
      </c>
      <c r="W106" s="44">
        <f t="shared" si="20"/>
        <v>0</v>
      </c>
      <c r="X106" s="44">
        <f t="shared" si="20"/>
        <v>0</v>
      </c>
      <c r="Y106" s="44">
        <f t="shared" si="20"/>
        <v>0</v>
      </c>
      <c r="Z106" s="44">
        <f t="shared" si="17"/>
        <v>0</v>
      </c>
      <c r="AA106" s="44">
        <f t="shared" si="17"/>
        <v>0</v>
      </c>
      <c r="AB106" s="44">
        <f t="shared" si="17"/>
        <v>0</v>
      </c>
      <c r="AC106" s="44">
        <f t="shared" si="17"/>
        <v>0</v>
      </c>
      <c r="AD106" s="44">
        <f t="shared" si="17"/>
        <v>0</v>
      </c>
      <c r="AE106" s="44">
        <f t="shared" si="13"/>
        <v>4.9782354742047179E-4</v>
      </c>
      <c r="AF106" s="44">
        <f t="shared" si="14"/>
        <v>0</v>
      </c>
      <c r="AG106" s="44">
        <f>Table114[[#This Row],[Column2]]/$D$129*0.5</f>
        <v>4.1521114991043039E-4</v>
      </c>
      <c r="AH106" s="44">
        <f>Table114[[#This Row],[Column29]]/$D$129*1.5</f>
        <v>1.2456334497312912E-3</v>
      </c>
    </row>
    <row r="107" spans="3:34">
      <c r="C107" s="44" t="s">
        <v>462</v>
      </c>
      <c r="D107" s="44">
        <v>6.7374335434354222E-4</v>
      </c>
      <c r="E107" s="44">
        <f t="shared" si="22"/>
        <v>0</v>
      </c>
      <c r="F107" s="44">
        <f t="shared" si="22"/>
        <v>0</v>
      </c>
      <c r="G107" s="44">
        <f t="shared" si="22"/>
        <v>0</v>
      </c>
      <c r="H107" s="44">
        <f t="shared" si="22"/>
        <v>0</v>
      </c>
      <c r="I107" s="44">
        <f t="shared" si="22"/>
        <v>0</v>
      </c>
      <c r="J107" s="44">
        <f t="shared" si="22"/>
        <v>0</v>
      </c>
      <c r="K107" s="44">
        <f t="shared" si="22"/>
        <v>0</v>
      </c>
      <c r="L107" s="44">
        <f t="shared" si="22"/>
        <v>0</v>
      </c>
      <c r="M107" s="44">
        <f t="shared" si="22"/>
        <v>6.7374335434354222E-4</v>
      </c>
      <c r="N107" s="44">
        <f t="shared" si="22"/>
        <v>0</v>
      </c>
      <c r="O107" s="44">
        <f t="shared" si="22"/>
        <v>0</v>
      </c>
      <c r="P107" s="44">
        <f t="shared" si="22"/>
        <v>0</v>
      </c>
      <c r="Q107" s="44">
        <f t="shared" si="22"/>
        <v>0</v>
      </c>
      <c r="R107" s="44">
        <f t="shared" si="22"/>
        <v>6.7374335434354222E-4</v>
      </c>
      <c r="S107" s="44">
        <f t="shared" si="22"/>
        <v>6.7374335434354222E-4</v>
      </c>
      <c r="T107" s="44">
        <f t="shared" si="21"/>
        <v>0</v>
      </c>
      <c r="U107" s="44">
        <f t="shared" si="20"/>
        <v>0</v>
      </c>
      <c r="V107" s="44">
        <f t="shared" si="20"/>
        <v>0</v>
      </c>
      <c r="W107" s="44">
        <f t="shared" si="20"/>
        <v>0</v>
      </c>
      <c r="X107" s="44">
        <f t="shared" si="20"/>
        <v>0</v>
      </c>
      <c r="Y107" s="44">
        <f t="shared" si="20"/>
        <v>0</v>
      </c>
      <c r="Z107" s="44">
        <f t="shared" si="17"/>
        <v>0</v>
      </c>
      <c r="AA107" s="44">
        <f t="shared" si="17"/>
        <v>0</v>
      </c>
      <c r="AB107" s="44">
        <f t="shared" si="17"/>
        <v>0</v>
      </c>
      <c r="AC107" s="44">
        <f t="shared" si="17"/>
        <v>0</v>
      </c>
      <c r="AD107" s="44">
        <f t="shared" si="17"/>
        <v>0</v>
      </c>
      <c r="AE107" s="44">
        <f t="shared" si="13"/>
        <v>6.7374335434354211E-4</v>
      </c>
      <c r="AF107" s="44">
        <f t="shared" si="14"/>
        <v>0</v>
      </c>
      <c r="AG107" s="44">
        <f>Table114[[#This Row],[Column2]]/$D$129*0.5</f>
        <v>5.6193756673629947E-4</v>
      </c>
      <c r="AH107" s="44">
        <f>Table114[[#This Row],[Column29]]/$D$129*1.5</f>
        <v>1.6858127002088981E-3</v>
      </c>
    </row>
    <row r="108" spans="3:34">
      <c r="C108" s="47" t="s">
        <v>463</v>
      </c>
      <c r="D108" s="47">
        <v>6.7824089703804181E-4</v>
      </c>
      <c r="E108" s="47">
        <f t="shared" si="22"/>
        <v>0</v>
      </c>
      <c r="F108" s="47">
        <f t="shared" si="22"/>
        <v>0</v>
      </c>
      <c r="G108" s="47">
        <f t="shared" si="22"/>
        <v>0</v>
      </c>
      <c r="H108" s="47">
        <f t="shared" si="22"/>
        <v>0</v>
      </c>
      <c r="I108" s="47">
        <f t="shared" si="22"/>
        <v>0</v>
      </c>
      <c r="J108" s="47">
        <f t="shared" si="22"/>
        <v>0</v>
      </c>
      <c r="K108" s="47">
        <f t="shared" si="22"/>
        <v>0</v>
      </c>
      <c r="L108" s="47">
        <f t="shared" si="22"/>
        <v>0</v>
      </c>
      <c r="M108" s="47">
        <f t="shared" si="22"/>
        <v>0</v>
      </c>
      <c r="N108" s="47">
        <f t="shared" si="22"/>
        <v>6.7824089703804181E-4</v>
      </c>
      <c r="O108" s="47">
        <f t="shared" si="22"/>
        <v>0</v>
      </c>
      <c r="P108" s="47">
        <f t="shared" si="22"/>
        <v>0</v>
      </c>
      <c r="Q108" s="47">
        <f t="shared" si="22"/>
        <v>0</v>
      </c>
      <c r="R108" s="47">
        <f t="shared" si="22"/>
        <v>6.7824089703804181E-4</v>
      </c>
      <c r="S108" s="47">
        <f t="shared" si="22"/>
        <v>0</v>
      </c>
      <c r="T108" s="47">
        <f t="shared" si="21"/>
        <v>0</v>
      </c>
      <c r="U108" s="47">
        <f t="shared" si="20"/>
        <v>6.7824089703804181E-4</v>
      </c>
      <c r="V108" s="47">
        <f t="shared" si="20"/>
        <v>0</v>
      </c>
      <c r="W108" s="47">
        <f t="shared" si="20"/>
        <v>0</v>
      </c>
      <c r="X108" s="47">
        <f t="shared" si="20"/>
        <v>0</v>
      </c>
      <c r="Y108" s="47">
        <f t="shared" si="20"/>
        <v>0</v>
      </c>
      <c r="Z108" s="47">
        <f t="shared" si="17"/>
        <v>0</v>
      </c>
      <c r="AA108" s="47">
        <f t="shared" si="17"/>
        <v>0</v>
      </c>
      <c r="AB108" s="47">
        <f t="shared" si="17"/>
        <v>0</v>
      </c>
      <c r="AC108" s="47">
        <f t="shared" si="17"/>
        <v>0</v>
      </c>
      <c r="AD108" s="47">
        <f t="shared" si="17"/>
        <v>0</v>
      </c>
      <c r="AE108" s="47">
        <f t="shared" si="13"/>
        <v>6.782408970380417E-4</v>
      </c>
      <c r="AF108" s="47">
        <f t="shared" si="14"/>
        <v>0</v>
      </c>
      <c r="AG108" s="47">
        <f>Table114[[#This Row],[Column2]]/$D$129*0.5</f>
        <v>5.656887550511767E-4</v>
      </c>
      <c r="AH108" s="47">
        <f>Table114[[#This Row],[Column29]]/$D$129*1.5</f>
        <v>1.6970662651535301E-3</v>
      </c>
    </row>
    <row r="109" spans="3:34">
      <c r="C109" s="44" t="s">
        <v>464</v>
      </c>
      <c r="D109" s="44">
        <v>1.4527062903233715E-3</v>
      </c>
      <c r="E109" s="44">
        <f t="shared" si="22"/>
        <v>0</v>
      </c>
      <c r="F109" s="44">
        <f t="shared" si="22"/>
        <v>0</v>
      </c>
      <c r="G109" s="44">
        <f t="shared" si="22"/>
        <v>0</v>
      </c>
      <c r="H109" s="44">
        <f t="shared" si="22"/>
        <v>0</v>
      </c>
      <c r="I109" s="44">
        <f t="shared" si="22"/>
        <v>0</v>
      </c>
      <c r="J109" s="44">
        <f t="shared" si="22"/>
        <v>0</v>
      </c>
      <c r="K109" s="44">
        <f t="shared" si="22"/>
        <v>0</v>
      </c>
      <c r="L109" s="44">
        <f t="shared" si="22"/>
        <v>0</v>
      </c>
      <c r="M109" s="44">
        <f t="shared" si="22"/>
        <v>0</v>
      </c>
      <c r="N109" s="44">
        <f t="shared" si="22"/>
        <v>0</v>
      </c>
      <c r="O109" s="44">
        <f t="shared" si="22"/>
        <v>0</v>
      </c>
      <c r="P109" s="44">
        <f t="shared" si="22"/>
        <v>0</v>
      </c>
      <c r="Q109" s="44">
        <f t="shared" si="22"/>
        <v>1.4527062903233715E-3</v>
      </c>
      <c r="R109" s="44">
        <f t="shared" si="22"/>
        <v>2.9054125806467429E-3</v>
      </c>
      <c r="S109" s="44">
        <f t="shared" si="22"/>
        <v>0</v>
      </c>
      <c r="T109" s="44">
        <f t="shared" si="21"/>
        <v>0</v>
      </c>
      <c r="U109" s="44">
        <f t="shared" si="20"/>
        <v>0</v>
      </c>
      <c r="V109" s="44">
        <f t="shared" si="20"/>
        <v>0</v>
      </c>
      <c r="W109" s="44">
        <f t="shared" si="20"/>
        <v>0</v>
      </c>
      <c r="X109" s="44">
        <f t="shared" si="20"/>
        <v>0</v>
      </c>
      <c r="Y109" s="44">
        <f t="shared" si="20"/>
        <v>0</v>
      </c>
      <c r="Z109" s="44">
        <f t="shared" si="17"/>
        <v>0</v>
      </c>
      <c r="AA109" s="44">
        <f t="shared" si="17"/>
        <v>0</v>
      </c>
      <c r="AB109" s="44">
        <f t="shared" si="17"/>
        <v>0</v>
      </c>
      <c r="AC109" s="44">
        <f t="shared" si="17"/>
        <v>0</v>
      </c>
      <c r="AD109" s="44">
        <f t="shared" si="17"/>
        <v>0</v>
      </c>
      <c r="AE109" s="44">
        <f t="shared" si="13"/>
        <v>1.4527062903233717E-3</v>
      </c>
      <c r="AF109" s="44">
        <f t="shared" si="14"/>
        <v>0</v>
      </c>
      <c r="AG109" s="44">
        <f>Table114[[#This Row],[Column2]]/$D$129*0.5</f>
        <v>1.2116338257053653E-3</v>
      </c>
      <c r="AH109" s="44">
        <f>Table114[[#This Row],[Column29]]/$D$129*1.5</f>
        <v>3.634901477116096E-3</v>
      </c>
    </row>
    <row r="110" spans="3:34">
      <c r="C110" s="44" t="s">
        <v>465</v>
      </c>
      <c r="D110" s="44">
        <v>1.6257642850478395E-2</v>
      </c>
      <c r="E110" s="44">
        <f t="shared" si="22"/>
        <v>0</v>
      </c>
      <c r="F110" s="44">
        <f t="shared" si="22"/>
        <v>0</v>
      </c>
      <c r="G110" s="44">
        <f t="shared" si="22"/>
        <v>0</v>
      </c>
      <c r="H110" s="44">
        <f t="shared" si="22"/>
        <v>0</v>
      </c>
      <c r="I110" s="44">
        <f t="shared" si="22"/>
        <v>0</v>
      </c>
      <c r="J110" s="44">
        <f t="shared" si="22"/>
        <v>0</v>
      </c>
      <c r="K110" s="44">
        <f t="shared" si="22"/>
        <v>0</v>
      </c>
      <c r="L110" s="44">
        <f t="shared" si="22"/>
        <v>0</v>
      </c>
      <c r="M110" s="44">
        <f t="shared" si="22"/>
        <v>0</v>
      </c>
      <c r="N110" s="44">
        <f t="shared" si="22"/>
        <v>0</v>
      </c>
      <c r="O110" s="44">
        <f t="shared" si="22"/>
        <v>0</v>
      </c>
      <c r="P110" s="44">
        <f t="shared" si="22"/>
        <v>0</v>
      </c>
      <c r="Q110" s="44">
        <f t="shared" si="22"/>
        <v>0</v>
      </c>
      <c r="R110" s="44">
        <f t="shared" si="22"/>
        <v>4.8772928551435182E-2</v>
      </c>
      <c r="S110" s="44">
        <f t="shared" si="22"/>
        <v>0</v>
      </c>
      <c r="T110" s="44">
        <f t="shared" si="21"/>
        <v>0</v>
      </c>
      <c r="U110" s="44">
        <f t="shared" si="20"/>
        <v>0</v>
      </c>
      <c r="V110" s="44">
        <f t="shared" si="20"/>
        <v>0</v>
      </c>
      <c r="W110" s="44">
        <f t="shared" si="20"/>
        <v>0</v>
      </c>
      <c r="X110" s="44">
        <f t="shared" si="20"/>
        <v>0</v>
      </c>
      <c r="Y110" s="44">
        <f t="shared" si="20"/>
        <v>0</v>
      </c>
      <c r="Z110" s="44">
        <f t="shared" si="17"/>
        <v>0</v>
      </c>
      <c r="AA110" s="44">
        <f t="shared" si="17"/>
        <v>0</v>
      </c>
      <c r="AB110" s="44">
        <f t="shared" si="17"/>
        <v>0</v>
      </c>
      <c r="AC110" s="44">
        <f t="shared" si="17"/>
        <v>0</v>
      </c>
      <c r="AD110" s="44">
        <f t="shared" si="17"/>
        <v>0</v>
      </c>
      <c r="AE110" s="44">
        <f t="shared" si="13"/>
        <v>1.6257642850478395E-2</v>
      </c>
      <c r="AF110" s="44">
        <f t="shared" si="14"/>
        <v>0</v>
      </c>
      <c r="AG110" s="44">
        <f>Table114[[#This Row],[Column2]]/$D$129*0.5</f>
        <v>1.3559733399028504E-2</v>
      </c>
      <c r="AH110" s="44">
        <f>Table114[[#This Row],[Column29]]/$D$129*1.5</f>
        <v>4.0679200197085513E-2</v>
      </c>
    </row>
    <row r="111" spans="3:34">
      <c r="C111" s="44" t="s">
        <v>466</v>
      </c>
      <c r="D111" s="44">
        <v>2.4432571250028422E-2</v>
      </c>
      <c r="E111" s="44">
        <f t="shared" si="22"/>
        <v>0</v>
      </c>
      <c r="F111" s="44">
        <f t="shared" si="22"/>
        <v>0</v>
      </c>
      <c r="G111" s="44">
        <f t="shared" si="22"/>
        <v>0</v>
      </c>
      <c r="H111" s="44">
        <f t="shared" si="22"/>
        <v>0</v>
      </c>
      <c r="I111" s="44">
        <f t="shared" si="22"/>
        <v>0</v>
      </c>
      <c r="J111" s="44">
        <f t="shared" si="22"/>
        <v>0</v>
      </c>
      <c r="K111" s="44">
        <f t="shared" si="22"/>
        <v>0</v>
      </c>
      <c r="L111" s="44">
        <f t="shared" si="22"/>
        <v>0</v>
      </c>
      <c r="M111" s="44">
        <f t="shared" si="22"/>
        <v>0</v>
      </c>
      <c r="N111" s="44">
        <f t="shared" si="22"/>
        <v>0</v>
      </c>
      <c r="O111" s="44">
        <f t="shared" si="22"/>
        <v>0</v>
      </c>
      <c r="P111" s="44">
        <f t="shared" si="22"/>
        <v>0</v>
      </c>
      <c r="Q111" s="44">
        <f t="shared" si="22"/>
        <v>0</v>
      </c>
      <c r="R111" s="44">
        <f t="shared" si="22"/>
        <v>4.8865142500056843E-2</v>
      </c>
      <c r="S111" s="44">
        <f t="shared" si="22"/>
        <v>2.4432571250028422E-2</v>
      </c>
      <c r="T111" s="44">
        <f t="shared" si="21"/>
        <v>0</v>
      </c>
      <c r="U111" s="44">
        <f t="shared" si="20"/>
        <v>0</v>
      </c>
      <c r="V111" s="44">
        <f t="shared" si="20"/>
        <v>0</v>
      </c>
      <c r="W111" s="44">
        <f t="shared" si="20"/>
        <v>0</v>
      </c>
      <c r="X111" s="44">
        <f t="shared" si="20"/>
        <v>0</v>
      </c>
      <c r="Y111" s="44">
        <f t="shared" si="20"/>
        <v>0</v>
      </c>
      <c r="Z111" s="44">
        <f t="shared" si="17"/>
        <v>0</v>
      </c>
      <c r="AA111" s="44">
        <f t="shared" si="17"/>
        <v>0</v>
      </c>
      <c r="AB111" s="44">
        <f t="shared" si="17"/>
        <v>0</v>
      </c>
      <c r="AC111" s="44">
        <f t="shared" si="17"/>
        <v>0</v>
      </c>
      <c r="AD111" s="44">
        <f t="shared" si="17"/>
        <v>0</v>
      </c>
      <c r="AE111" s="44">
        <f t="shared" si="13"/>
        <v>2.4432571250028418E-2</v>
      </c>
      <c r="AF111" s="44">
        <f t="shared" si="14"/>
        <v>0</v>
      </c>
      <c r="AG111" s="44">
        <f>Table114[[#This Row],[Column2]]/$D$129*0.5</f>
        <v>2.0378055752000065E-2</v>
      </c>
      <c r="AH111" s="44">
        <f>Table114[[#This Row],[Column29]]/$D$129*1.5</f>
        <v>6.1134167256000183E-2</v>
      </c>
    </row>
    <row r="112" spans="3:34">
      <c r="C112" s="44" t="s">
        <v>467</v>
      </c>
      <c r="D112" s="44">
        <v>4.6091218587994481E-3</v>
      </c>
      <c r="E112" s="44">
        <f t="shared" si="22"/>
        <v>0</v>
      </c>
      <c r="F112" s="44">
        <f t="shared" si="22"/>
        <v>0</v>
      </c>
      <c r="G112" s="44">
        <f t="shared" si="22"/>
        <v>0</v>
      </c>
      <c r="H112" s="44">
        <f t="shared" si="22"/>
        <v>0</v>
      </c>
      <c r="I112" s="44">
        <f t="shared" si="22"/>
        <v>0</v>
      </c>
      <c r="J112" s="44">
        <f t="shared" si="22"/>
        <v>0</v>
      </c>
      <c r="K112" s="44">
        <f t="shared" si="22"/>
        <v>0</v>
      </c>
      <c r="L112" s="44">
        <f t="shared" si="22"/>
        <v>0</v>
      </c>
      <c r="M112" s="44">
        <f t="shared" si="22"/>
        <v>0</v>
      </c>
      <c r="N112" s="44">
        <f t="shared" si="22"/>
        <v>0</v>
      </c>
      <c r="O112" s="44">
        <f t="shared" si="22"/>
        <v>0</v>
      </c>
      <c r="P112" s="44">
        <f t="shared" si="22"/>
        <v>0</v>
      </c>
      <c r="Q112" s="44">
        <f t="shared" si="22"/>
        <v>0</v>
      </c>
      <c r="R112" s="44">
        <f t="shared" si="22"/>
        <v>9.2182437175988962E-3</v>
      </c>
      <c r="S112" s="44">
        <f t="shared" si="22"/>
        <v>0</v>
      </c>
      <c r="T112" s="44">
        <f t="shared" si="21"/>
        <v>4.6091218587994481E-3</v>
      </c>
      <c r="U112" s="44">
        <f t="shared" si="20"/>
        <v>0</v>
      </c>
      <c r="V112" s="44">
        <f t="shared" si="20"/>
        <v>0</v>
      </c>
      <c r="W112" s="44">
        <f t="shared" si="20"/>
        <v>0</v>
      </c>
      <c r="X112" s="44">
        <f t="shared" si="20"/>
        <v>0</v>
      </c>
      <c r="Y112" s="44">
        <f t="shared" si="20"/>
        <v>0</v>
      </c>
      <c r="Z112" s="44">
        <f t="shared" si="20"/>
        <v>0</v>
      </c>
      <c r="AA112" s="44">
        <f t="shared" si="20"/>
        <v>0</v>
      </c>
      <c r="AB112" s="44">
        <f t="shared" si="20"/>
        <v>0</v>
      </c>
      <c r="AC112" s="44">
        <f t="shared" si="20"/>
        <v>0</v>
      </c>
      <c r="AD112" s="44">
        <f t="shared" si="20"/>
        <v>0</v>
      </c>
      <c r="AE112" s="44">
        <f t="shared" si="13"/>
        <v>4.6091218587994481E-3</v>
      </c>
      <c r="AF112" s="44">
        <f t="shared" si="14"/>
        <v>0</v>
      </c>
      <c r="AG112" s="44">
        <f>Table114[[#This Row],[Column2]]/$D$129*0.5</f>
        <v>3.8442512351731322E-3</v>
      </c>
      <c r="AH112" s="44">
        <f>Table114[[#This Row],[Column29]]/$D$129*1.5</f>
        <v>1.1532753705519396E-2</v>
      </c>
    </row>
    <row r="113" spans="3:34">
      <c r="C113" s="44" t="s">
        <v>468</v>
      </c>
      <c r="D113" s="44">
        <v>6.3006562602313746E-3</v>
      </c>
      <c r="E113" s="44">
        <f t="shared" si="22"/>
        <v>0</v>
      </c>
      <c r="F113" s="44">
        <f t="shared" si="22"/>
        <v>0</v>
      </c>
      <c r="G113" s="44">
        <f t="shared" si="22"/>
        <v>0</v>
      </c>
      <c r="H113" s="44">
        <f t="shared" si="22"/>
        <v>0</v>
      </c>
      <c r="I113" s="44">
        <f t="shared" si="22"/>
        <v>0</v>
      </c>
      <c r="J113" s="44">
        <f t="shared" si="22"/>
        <v>0</v>
      </c>
      <c r="K113" s="44">
        <f t="shared" si="22"/>
        <v>0</v>
      </c>
      <c r="L113" s="44">
        <f t="shared" si="22"/>
        <v>0</v>
      </c>
      <c r="M113" s="44">
        <f t="shared" si="22"/>
        <v>0</v>
      </c>
      <c r="N113" s="44">
        <f t="shared" si="22"/>
        <v>0</v>
      </c>
      <c r="O113" s="44">
        <f t="shared" si="22"/>
        <v>0</v>
      </c>
      <c r="P113" s="44">
        <f t="shared" si="22"/>
        <v>0</v>
      </c>
      <c r="Q113" s="44">
        <f t="shared" si="22"/>
        <v>0</v>
      </c>
      <c r="R113" s="44">
        <f t="shared" si="22"/>
        <v>1.2601312520462749E-2</v>
      </c>
      <c r="S113" s="44">
        <f t="shared" si="22"/>
        <v>0</v>
      </c>
      <c r="T113" s="44">
        <f t="shared" si="21"/>
        <v>0</v>
      </c>
      <c r="U113" s="44">
        <f t="shared" si="20"/>
        <v>6.3006562602313746E-3</v>
      </c>
      <c r="V113" s="44">
        <f t="shared" si="20"/>
        <v>0</v>
      </c>
      <c r="W113" s="44">
        <f t="shared" si="20"/>
        <v>0</v>
      </c>
      <c r="X113" s="44">
        <f t="shared" si="20"/>
        <v>0</v>
      </c>
      <c r="Y113" s="44">
        <f t="shared" si="20"/>
        <v>0</v>
      </c>
      <c r="Z113" s="44">
        <f t="shared" si="20"/>
        <v>0</v>
      </c>
      <c r="AA113" s="44">
        <f t="shared" si="20"/>
        <v>0</v>
      </c>
      <c r="AB113" s="44">
        <f t="shared" si="20"/>
        <v>0</v>
      </c>
      <c r="AC113" s="44">
        <f t="shared" si="20"/>
        <v>0</v>
      </c>
      <c r="AD113" s="44">
        <f t="shared" si="20"/>
        <v>0</v>
      </c>
      <c r="AE113" s="44">
        <f t="shared" si="13"/>
        <v>6.3006562602313755E-3</v>
      </c>
      <c r="AF113" s="44">
        <f t="shared" si="14"/>
        <v>0</v>
      </c>
      <c r="AG113" s="44">
        <f>Table114[[#This Row],[Column2]]/$D$129*0.5</f>
        <v>5.2550803282742425E-3</v>
      </c>
      <c r="AH113" s="44">
        <f>Table114[[#This Row],[Column29]]/$D$129*1.5</f>
        <v>1.576524098482273E-2</v>
      </c>
    </row>
    <row r="114" spans="3:34">
      <c r="C114" s="44" t="s">
        <v>469</v>
      </c>
      <c r="D114" s="44">
        <v>4.0768792187201135E-3</v>
      </c>
      <c r="E114" s="44">
        <f t="shared" si="22"/>
        <v>0</v>
      </c>
      <c r="F114" s="44">
        <f t="shared" si="22"/>
        <v>0</v>
      </c>
      <c r="G114" s="44">
        <f t="shared" si="22"/>
        <v>0</v>
      </c>
      <c r="H114" s="44">
        <f t="shared" si="22"/>
        <v>0</v>
      </c>
      <c r="I114" s="44">
        <f t="shared" si="22"/>
        <v>0</v>
      </c>
      <c r="J114" s="44">
        <f t="shared" si="22"/>
        <v>0</v>
      </c>
      <c r="K114" s="44">
        <f t="shared" si="22"/>
        <v>0</v>
      </c>
      <c r="L114" s="44">
        <f t="shared" si="22"/>
        <v>0</v>
      </c>
      <c r="M114" s="44">
        <f t="shared" si="22"/>
        <v>0</v>
      </c>
      <c r="N114" s="44">
        <f t="shared" si="22"/>
        <v>0</v>
      </c>
      <c r="O114" s="44">
        <f t="shared" si="22"/>
        <v>0</v>
      </c>
      <c r="P114" s="44">
        <f t="shared" si="22"/>
        <v>0</v>
      </c>
      <c r="Q114" s="44">
        <f t="shared" si="22"/>
        <v>0</v>
      </c>
      <c r="R114" s="44">
        <f t="shared" si="22"/>
        <v>8.1537584374402269E-3</v>
      </c>
      <c r="S114" s="44">
        <f t="shared" si="22"/>
        <v>0</v>
      </c>
      <c r="T114" s="44">
        <f t="shared" si="21"/>
        <v>0</v>
      </c>
      <c r="U114" s="44">
        <f t="shared" si="20"/>
        <v>0</v>
      </c>
      <c r="V114" s="44">
        <f t="shared" si="20"/>
        <v>0</v>
      </c>
      <c r="W114" s="44">
        <f t="shared" si="20"/>
        <v>0</v>
      </c>
      <c r="X114" s="44">
        <f t="shared" si="20"/>
        <v>0</v>
      </c>
      <c r="Y114" s="44">
        <f t="shared" si="20"/>
        <v>0</v>
      </c>
      <c r="Z114" s="44">
        <f t="shared" si="20"/>
        <v>0</v>
      </c>
      <c r="AA114" s="44">
        <f t="shared" si="20"/>
        <v>0</v>
      </c>
      <c r="AB114" s="44">
        <f t="shared" si="20"/>
        <v>0</v>
      </c>
      <c r="AC114" s="44">
        <f t="shared" si="20"/>
        <v>0</v>
      </c>
      <c r="AD114" s="44">
        <f t="shared" si="20"/>
        <v>4.0768792187201135E-3</v>
      </c>
      <c r="AE114" s="44">
        <f t="shared" si="13"/>
        <v>4.0768792187201135E-3</v>
      </c>
      <c r="AF114" s="44">
        <f t="shared" si="14"/>
        <v>0</v>
      </c>
      <c r="AG114" s="44">
        <f>Table114[[#This Row],[Column2]]/$D$129*0.5</f>
        <v>3.4003327428402483E-3</v>
      </c>
      <c r="AH114" s="44">
        <f>Table114[[#This Row],[Column29]]/$D$129*1.5</f>
        <v>1.0200998228520745E-2</v>
      </c>
    </row>
    <row r="115" spans="3:34">
      <c r="C115" s="44" t="s">
        <v>470</v>
      </c>
      <c r="D115" s="44">
        <v>7.5382253172063896E-3</v>
      </c>
      <c r="E115" s="44">
        <f t="shared" si="22"/>
        <v>0</v>
      </c>
      <c r="F115" s="44">
        <f t="shared" si="22"/>
        <v>0</v>
      </c>
      <c r="G115" s="44">
        <f t="shared" si="22"/>
        <v>0</v>
      </c>
      <c r="H115" s="44">
        <f t="shared" si="22"/>
        <v>0</v>
      </c>
      <c r="I115" s="44">
        <f t="shared" si="22"/>
        <v>0</v>
      </c>
      <c r="J115" s="44">
        <f t="shared" si="22"/>
        <v>0</v>
      </c>
      <c r="K115" s="44">
        <f t="shared" si="22"/>
        <v>0</v>
      </c>
      <c r="L115" s="44">
        <f t="shared" si="22"/>
        <v>0</v>
      </c>
      <c r="M115" s="44">
        <f t="shared" si="22"/>
        <v>0</v>
      </c>
      <c r="N115" s="44">
        <f t="shared" si="22"/>
        <v>0</v>
      </c>
      <c r="O115" s="44">
        <f t="shared" si="22"/>
        <v>0</v>
      </c>
      <c r="P115" s="44">
        <f t="shared" si="22"/>
        <v>0</v>
      </c>
      <c r="Q115" s="44">
        <f t="shared" si="22"/>
        <v>0</v>
      </c>
      <c r="R115" s="44">
        <f t="shared" si="22"/>
        <v>7.5382253172063896E-3</v>
      </c>
      <c r="S115" s="44">
        <f t="shared" si="22"/>
        <v>1.5076450634412779E-2</v>
      </c>
      <c r="T115" s="44">
        <f t="shared" si="21"/>
        <v>0</v>
      </c>
      <c r="U115" s="44">
        <f t="shared" si="20"/>
        <v>0</v>
      </c>
      <c r="V115" s="44">
        <f t="shared" si="20"/>
        <v>0</v>
      </c>
      <c r="W115" s="44">
        <f t="shared" si="20"/>
        <v>0</v>
      </c>
      <c r="X115" s="44">
        <f t="shared" si="20"/>
        <v>0</v>
      </c>
      <c r="Y115" s="44">
        <f t="shared" si="20"/>
        <v>0</v>
      </c>
      <c r="Z115" s="44">
        <f t="shared" si="20"/>
        <v>0</v>
      </c>
      <c r="AA115" s="44">
        <f t="shared" si="20"/>
        <v>0</v>
      </c>
      <c r="AB115" s="44">
        <f t="shared" si="20"/>
        <v>0</v>
      </c>
      <c r="AC115" s="44">
        <f t="shared" si="20"/>
        <v>0</v>
      </c>
      <c r="AD115" s="44">
        <f t="shared" si="20"/>
        <v>0</v>
      </c>
      <c r="AE115" s="44">
        <f t="shared" si="13"/>
        <v>7.5382253172063896E-3</v>
      </c>
      <c r="AF115" s="44">
        <f t="shared" si="14"/>
        <v>0</v>
      </c>
      <c r="AG115" s="44">
        <f>Table114[[#This Row],[Column2]]/$D$129*0.5</f>
        <v>6.287278330764777E-3</v>
      </c>
      <c r="AH115" s="44">
        <f>Table114[[#This Row],[Column29]]/$D$129*1.5</f>
        <v>1.8861834992294331E-2</v>
      </c>
    </row>
    <row r="116" spans="3:34">
      <c r="C116" s="44" t="s">
        <v>471</v>
      </c>
      <c r="D116" s="44">
        <v>4.0583590827201546E-3</v>
      </c>
      <c r="E116" s="44">
        <f t="shared" si="22"/>
        <v>0</v>
      </c>
      <c r="F116" s="44">
        <f t="shared" si="22"/>
        <v>0</v>
      </c>
      <c r="G116" s="44">
        <f t="shared" si="22"/>
        <v>0</v>
      </c>
      <c r="H116" s="44">
        <f t="shared" si="22"/>
        <v>0</v>
      </c>
      <c r="I116" s="44">
        <f t="shared" si="22"/>
        <v>0</v>
      </c>
      <c r="J116" s="44">
        <f t="shared" si="22"/>
        <v>0</v>
      </c>
      <c r="K116" s="44">
        <f t="shared" si="22"/>
        <v>0</v>
      </c>
      <c r="L116" s="44">
        <f t="shared" si="22"/>
        <v>0</v>
      </c>
      <c r="M116" s="44">
        <f t="shared" si="22"/>
        <v>0</v>
      </c>
      <c r="N116" s="44">
        <f t="shared" si="22"/>
        <v>0</v>
      </c>
      <c r="O116" s="44">
        <f t="shared" si="22"/>
        <v>0</v>
      </c>
      <c r="P116" s="44">
        <f t="shared" si="22"/>
        <v>0</v>
      </c>
      <c r="Q116" s="44">
        <f t="shared" si="22"/>
        <v>0</v>
      </c>
      <c r="R116" s="44">
        <f t="shared" si="22"/>
        <v>4.0583590827201546E-3</v>
      </c>
      <c r="S116" s="44">
        <f t="shared" si="22"/>
        <v>4.0583590827201546E-3</v>
      </c>
      <c r="T116" s="44">
        <f t="shared" si="21"/>
        <v>4.0583590827201546E-3</v>
      </c>
      <c r="U116" s="44">
        <f t="shared" si="20"/>
        <v>0</v>
      </c>
      <c r="V116" s="44">
        <f t="shared" si="20"/>
        <v>0</v>
      </c>
      <c r="W116" s="44">
        <f t="shared" si="20"/>
        <v>0</v>
      </c>
      <c r="X116" s="44">
        <f t="shared" si="20"/>
        <v>0</v>
      </c>
      <c r="Y116" s="44">
        <f t="shared" si="20"/>
        <v>0</v>
      </c>
      <c r="Z116" s="44">
        <f t="shared" si="20"/>
        <v>0</v>
      </c>
      <c r="AA116" s="44">
        <f t="shared" si="20"/>
        <v>0</v>
      </c>
      <c r="AB116" s="44">
        <f t="shared" si="20"/>
        <v>0</v>
      </c>
      <c r="AC116" s="44">
        <f t="shared" si="20"/>
        <v>0</v>
      </c>
      <c r="AD116" s="44">
        <f t="shared" si="20"/>
        <v>0</v>
      </c>
      <c r="AE116" s="44">
        <f t="shared" si="13"/>
        <v>4.0583590827201546E-3</v>
      </c>
      <c r="AF116" s="44">
        <f t="shared" si="14"/>
        <v>0</v>
      </c>
      <c r="AG116" s="44">
        <f>Table114[[#This Row],[Column2]]/$D$129*0.5</f>
        <v>3.3848859705754852E-3</v>
      </c>
      <c r="AH116" s="44">
        <f>Table114[[#This Row],[Column29]]/$D$129*1.5</f>
        <v>1.0154657911726456E-2</v>
      </c>
    </row>
    <row r="117" spans="3:34">
      <c r="C117" s="44" t="s">
        <v>473</v>
      </c>
      <c r="D117" s="44">
        <v>4.1168557845174042E-3</v>
      </c>
      <c r="E117" s="44">
        <f t="shared" si="22"/>
        <v>0</v>
      </c>
      <c r="F117" s="44">
        <f t="shared" si="22"/>
        <v>0</v>
      </c>
      <c r="G117" s="44">
        <f t="shared" si="22"/>
        <v>0</v>
      </c>
      <c r="H117" s="44">
        <f t="shared" si="22"/>
        <v>0</v>
      </c>
      <c r="I117" s="44">
        <f t="shared" si="22"/>
        <v>0</v>
      </c>
      <c r="J117" s="44">
        <f t="shared" si="22"/>
        <v>0</v>
      </c>
      <c r="K117" s="44">
        <f t="shared" si="22"/>
        <v>0</v>
      </c>
      <c r="L117" s="44">
        <f t="shared" si="22"/>
        <v>0</v>
      </c>
      <c r="M117" s="44">
        <f t="shared" si="22"/>
        <v>0</v>
      </c>
      <c r="N117" s="44">
        <f t="shared" si="22"/>
        <v>0</v>
      </c>
      <c r="O117" s="44">
        <f t="shared" si="22"/>
        <v>0</v>
      </c>
      <c r="P117" s="44">
        <f t="shared" si="22"/>
        <v>0</v>
      </c>
      <c r="Q117" s="44">
        <f t="shared" si="22"/>
        <v>0</v>
      </c>
      <c r="R117" s="44">
        <f t="shared" si="22"/>
        <v>4.1168557845174042E-3</v>
      </c>
      <c r="S117" s="44">
        <f t="shared" si="22"/>
        <v>4.1168557845174042E-3</v>
      </c>
      <c r="T117" s="44">
        <f t="shared" si="21"/>
        <v>0</v>
      </c>
      <c r="U117" s="44">
        <f t="shared" si="20"/>
        <v>4.1168557845174042E-3</v>
      </c>
      <c r="V117" s="44">
        <f t="shared" si="20"/>
        <v>0</v>
      </c>
      <c r="W117" s="44">
        <f t="shared" si="20"/>
        <v>0</v>
      </c>
      <c r="X117" s="44">
        <f t="shared" si="20"/>
        <v>0</v>
      </c>
      <c r="Y117" s="44">
        <f t="shared" si="20"/>
        <v>0</v>
      </c>
      <c r="Z117" s="44">
        <f t="shared" si="20"/>
        <v>0</v>
      </c>
      <c r="AA117" s="44">
        <f t="shared" si="20"/>
        <v>0</v>
      </c>
      <c r="AB117" s="44">
        <f t="shared" si="20"/>
        <v>0</v>
      </c>
      <c r="AC117" s="44">
        <f t="shared" si="20"/>
        <v>0</v>
      </c>
      <c r="AD117" s="44">
        <f t="shared" si="20"/>
        <v>0</v>
      </c>
      <c r="AE117" s="44">
        <f t="shared" si="13"/>
        <v>4.1168557845174042E-3</v>
      </c>
      <c r="AF117" s="44">
        <f t="shared" si="14"/>
        <v>0</v>
      </c>
      <c r="AG117" s="44">
        <f>Table114[[#This Row],[Column2]]/$D$129*0.5</f>
        <v>3.4336753115880932E-3</v>
      </c>
      <c r="AH117" s="44">
        <f>Table114[[#This Row],[Column29]]/$D$129*1.5</f>
        <v>1.030102593476428E-2</v>
      </c>
    </row>
    <row r="118" spans="3:34">
      <c r="C118" s="47" t="s">
        <v>662</v>
      </c>
      <c r="D118" s="47">
        <f>0.000645669520963863/2</f>
        <v>3.2283476048193148E-4</v>
      </c>
      <c r="E118" s="47">
        <f t="shared" si="22"/>
        <v>0</v>
      </c>
      <c r="F118" s="47">
        <f t="shared" si="22"/>
        <v>0</v>
      </c>
      <c r="G118" s="47">
        <f t="shared" si="22"/>
        <v>0</v>
      </c>
      <c r="H118" s="47">
        <f t="shared" si="22"/>
        <v>0</v>
      </c>
      <c r="I118" s="47">
        <f t="shared" si="22"/>
        <v>0</v>
      </c>
      <c r="J118" s="47">
        <f t="shared" si="22"/>
        <v>0</v>
      </c>
      <c r="K118" s="47">
        <f t="shared" si="22"/>
        <v>0</v>
      </c>
      <c r="L118" s="47">
        <f t="shared" si="22"/>
        <v>0</v>
      </c>
      <c r="M118" s="47">
        <f t="shared" si="22"/>
        <v>0</v>
      </c>
      <c r="N118" s="47">
        <f t="shared" si="22"/>
        <v>0</v>
      </c>
      <c r="O118" s="47">
        <f t="shared" si="22"/>
        <v>0</v>
      </c>
      <c r="P118" s="47">
        <f t="shared" si="22"/>
        <v>0</v>
      </c>
      <c r="Q118" s="47">
        <f t="shared" si="22"/>
        <v>0</v>
      </c>
      <c r="R118" s="47">
        <f t="shared" si="22"/>
        <v>3.2283476048193148E-4</v>
      </c>
      <c r="S118" s="47">
        <f t="shared" si="22"/>
        <v>3.2283476048193148E-4</v>
      </c>
      <c r="T118" s="47">
        <f t="shared" si="21"/>
        <v>0</v>
      </c>
      <c r="U118" s="47">
        <f t="shared" si="20"/>
        <v>0</v>
      </c>
      <c r="V118" s="47">
        <f t="shared" si="20"/>
        <v>3.2283476048193148E-4</v>
      </c>
      <c r="W118" s="47">
        <f t="shared" si="20"/>
        <v>0</v>
      </c>
      <c r="X118" s="47">
        <f t="shared" si="20"/>
        <v>0</v>
      </c>
      <c r="Y118" s="47">
        <f t="shared" si="20"/>
        <v>0</v>
      </c>
      <c r="Z118" s="47">
        <f t="shared" si="20"/>
        <v>0</v>
      </c>
      <c r="AA118" s="47">
        <f t="shared" si="20"/>
        <v>0</v>
      </c>
      <c r="AB118" s="47">
        <f t="shared" si="20"/>
        <v>0</v>
      </c>
      <c r="AC118" s="47">
        <f t="shared" si="20"/>
        <v>0</v>
      </c>
      <c r="AD118" s="47">
        <f t="shared" si="20"/>
        <v>0</v>
      </c>
      <c r="AE118" s="47">
        <f t="shared" si="13"/>
        <v>3.2283476048193148E-4</v>
      </c>
      <c r="AF118" s="47">
        <f t="shared" si="14"/>
        <v>0</v>
      </c>
      <c r="AG118" s="47">
        <f>Table114[[#This Row],[Column2]]/$D$129*0.5</f>
        <v>2.6926125295866001E-4</v>
      </c>
      <c r="AH118" s="47">
        <f>Table114[[#This Row],[Column29]]/$D$129*1.5</f>
        <v>8.0778375887598003E-4</v>
      </c>
    </row>
    <row r="119" spans="3:34">
      <c r="C119" s="44" t="s">
        <v>660</v>
      </c>
      <c r="D119" s="44">
        <f>0.00243852754348143/2</f>
        <v>1.2192637717407149E-3</v>
      </c>
      <c r="E119" s="44">
        <f t="shared" ref="E119:S128" si="23">((LEN($C119)-LEN(SUBSTITUTE($C119,E$3,"")))/4)*$D119</f>
        <v>0</v>
      </c>
      <c r="F119" s="44">
        <f t="shared" si="23"/>
        <v>0</v>
      </c>
      <c r="G119" s="44">
        <f t="shared" si="23"/>
        <v>0</v>
      </c>
      <c r="H119" s="44">
        <f t="shared" si="23"/>
        <v>0</v>
      </c>
      <c r="I119" s="44">
        <f t="shared" si="23"/>
        <v>0</v>
      </c>
      <c r="J119" s="44">
        <f t="shared" si="23"/>
        <v>0</v>
      </c>
      <c r="K119" s="44">
        <f t="shared" si="23"/>
        <v>0</v>
      </c>
      <c r="L119" s="44">
        <f t="shared" si="23"/>
        <v>0</v>
      </c>
      <c r="M119" s="44">
        <f t="shared" si="23"/>
        <v>0</v>
      </c>
      <c r="N119" s="44">
        <f t="shared" si="23"/>
        <v>0</v>
      </c>
      <c r="O119" s="44">
        <f t="shared" si="23"/>
        <v>0</v>
      </c>
      <c r="P119" s="44">
        <f t="shared" si="23"/>
        <v>0</v>
      </c>
      <c r="Q119" s="44">
        <f t="shared" si="23"/>
        <v>0</v>
      </c>
      <c r="R119" s="44">
        <f t="shared" si="23"/>
        <v>1.2192637717407149E-3</v>
      </c>
      <c r="S119" s="44">
        <f t="shared" si="23"/>
        <v>0</v>
      </c>
      <c r="T119" s="44">
        <f t="shared" si="21"/>
        <v>2.4385275434814298E-3</v>
      </c>
      <c r="U119" s="44">
        <f t="shared" si="20"/>
        <v>0</v>
      </c>
      <c r="V119" s="44">
        <f t="shared" si="20"/>
        <v>0</v>
      </c>
      <c r="W119" s="44">
        <f t="shared" si="20"/>
        <v>0</v>
      </c>
      <c r="X119" s="44">
        <f t="shared" si="20"/>
        <v>0</v>
      </c>
      <c r="Y119" s="44">
        <f t="shared" si="20"/>
        <v>0</v>
      </c>
      <c r="Z119" s="44">
        <f t="shared" si="20"/>
        <v>0</v>
      </c>
      <c r="AA119" s="44">
        <f t="shared" si="20"/>
        <v>0</v>
      </c>
      <c r="AB119" s="44">
        <f t="shared" si="20"/>
        <v>0</v>
      </c>
      <c r="AC119" s="44">
        <f t="shared" si="20"/>
        <v>0</v>
      </c>
      <c r="AD119" s="44">
        <f t="shared" si="20"/>
        <v>0</v>
      </c>
      <c r="AE119" s="44">
        <f t="shared" si="13"/>
        <v>1.2192637717407149E-3</v>
      </c>
      <c r="AF119" s="44">
        <f t="shared" si="14"/>
        <v>0</v>
      </c>
      <c r="AG119" s="44">
        <f>Table114[[#This Row],[Column2]]/$D$129*0.5</f>
        <v>1.0169304271197925E-3</v>
      </c>
      <c r="AH119" s="44">
        <f>Table114[[#This Row],[Column29]]/$D$129*1.5</f>
        <v>3.0507912813593774E-3</v>
      </c>
    </row>
    <row r="120" spans="3:34">
      <c r="C120" s="44" t="s">
        <v>476</v>
      </c>
      <c r="D120" s="44">
        <v>1.5432014328197062E-3</v>
      </c>
      <c r="E120" s="44">
        <f t="shared" si="23"/>
        <v>0</v>
      </c>
      <c r="F120" s="44">
        <f t="shared" si="23"/>
        <v>0</v>
      </c>
      <c r="G120" s="44">
        <f t="shared" si="23"/>
        <v>0</v>
      </c>
      <c r="H120" s="44">
        <f t="shared" si="23"/>
        <v>0</v>
      </c>
      <c r="I120" s="44">
        <f t="shared" si="23"/>
        <v>0</v>
      </c>
      <c r="J120" s="44">
        <f t="shared" si="23"/>
        <v>0</v>
      </c>
      <c r="K120" s="44">
        <f t="shared" si="23"/>
        <v>0</v>
      </c>
      <c r="L120" s="44">
        <f t="shared" si="23"/>
        <v>0</v>
      </c>
      <c r="M120" s="44">
        <f t="shared" si="23"/>
        <v>0</v>
      </c>
      <c r="N120" s="44">
        <f t="shared" si="23"/>
        <v>0</v>
      </c>
      <c r="O120" s="44">
        <f t="shared" si="23"/>
        <v>0</v>
      </c>
      <c r="P120" s="44">
        <f t="shared" si="23"/>
        <v>0</v>
      </c>
      <c r="Q120" s="44">
        <f t="shared" si="23"/>
        <v>0</v>
      </c>
      <c r="R120" s="44">
        <f t="shared" si="23"/>
        <v>1.5432014328197062E-3</v>
      </c>
      <c r="S120" s="44">
        <f t="shared" si="23"/>
        <v>0</v>
      </c>
      <c r="T120" s="44">
        <f t="shared" si="21"/>
        <v>1.5432014328197062E-3</v>
      </c>
      <c r="U120" s="44">
        <f t="shared" si="20"/>
        <v>1.5432014328197062E-3</v>
      </c>
      <c r="V120" s="44">
        <f t="shared" si="20"/>
        <v>0</v>
      </c>
      <c r="W120" s="44">
        <f t="shared" si="20"/>
        <v>0</v>
      </c>
      <c r="X120" s="44">
        <f t="shared" si="20"/>
        <v>0</v>
      </c>
      <c r="Y120" s="44">
        <f t="shared" si="20"/>
        <v>0</v>
      </c>
      <c r="Z120" s="44">
        <f t="shared" si="20"/>
        <v>0</v>
      </c>
      <c r="AA120" s="44">
        <f t="shared" si="20"/>
        <v>0</v>
      </c>
      <c r="AB120" s="44">
        <f t="shared" si="20"/>
        <v>0</v>
      </c>
      <c r="AC120" s="44">
        <f t="shared" si="20"/>
        <v>0</v>
      </c>
      <c r="AD120" s="44">
        <f t="shared" si="20"/>
        <v>0</v>
      </c>
      <c r="AE120" s="44">
        <f t="shared" si="13"/>
        <v>1.5432014328197062E-3</v>
      </c>
      <c r="AF120" s="44">
        <f t="shared" si="14"/>
        <v>0</v>
      </c>
      <c r="AG120" s="44">
        <f>Table114[[#This Row],[Column2]]/$D$129*0.5</f>
        <v>1.2871115574677706E-3</v>
      </c>
      <c r="AH120" s="44">
        <f>Table114[[#This Row],[Column29]]/$D$129*1.5</f>
        <v>3.861334672403312E-3</v>
      </c>
    </row>
    <row r="121" spans="3:34">
      <c r="C121" s="44" t="s">
        <v>659</v>
      </c>
      <c r="D121" s="44">
        <f>0.0042491179158582/2</f>
        <v>2.1245589579291001E-3</v>
      </c>
      <c r="E121" s="44">
        <f t="shared" si="23"/>
        <v>0</v>
      </c>
      <c r="F121" s="44">
        <f t="shared" si="23"/>
        <v>0</v>
      </c>
      <c r="G121" s="44">
        <f t="shared" si="23"/>
        <v>0</v>
      </c>
      <c r="H121" s="44">
        <f t="shared" si="23"/>
        <v>0</v>
      </c>
      <c r="I121" s="44">
        <f t="shared" si="23"/>
        <v>0</v>
      </c>
      <c r="J121" s="44">
        <f t="shared" si="23"/>
        <v>0</v>
      </c>
      <c r="K121" s="44">
        <f t="shared" si="23"/>
        <v>0</v>
      </c>
      <c r="L121" s="44">
        <f t="shared" si="23"/>
        <v>0</v>
      </c>
      <c r="M121" s="44">
        <f t="shared" si="23"/>
        <v>0</v>
      </c>
      <c r="N121" s="44">
        <f t="shared" si="23"/>
        <v>0</v>
      </c>
      <c r="O121" s="44">
        <f t="shared" si="23"/>
        <v>0</v>
      </c>
      <c r="P121" s="44">
        <f t="shared" si="23"/>
        <v>0</v>
      </c>
      <c r="Q121" s="44">
        <f t="shared" si="23"/>
        <v>0</v>
      </c>
      <c r="R121" s="44">
        <f t="shared" si="23"/>
        <v>0</v>
      </c>
      <c r="S121" s="44">
        <f t="shared" si="23"/>
        <v>6.3736768737873003E-3</v>
      </c>
      <c r="T121" s="44">
        <f t="shared" si="21"/>
        <v>0</v>
      </c>
      <c r="U121" s="44">
        <f t="shared" si="20"/>
        <v>0</v>
      </c>
      <c r="V121" s="44">
        <f t="shared" si="20"/>
        <v>0</v>
      </c>
      <c r="W121" s="44">
        <f t="shared" si="20"/>
        <v>0</v>
      </c>
      <c r="X121" s="44">
        <f t="shared" si="20"/>
        <v>0</v>
      </c>
      <c r="Y121" s="44">
        <f t="shared" si="20"/>
        <v>0</v>
      </c>
      <c r="Z121" s="44">
        <f t="shared" si="20"/>
        <v>0</v>
      </c>
      <c r="AA121" s="44">
        <f t="shared" si="20"/>
        <v>0</v>
      </c>
      <c r="AB121" s="44">
        <f t="shared" si="20"/>
        <v>0</v>
      </c>
      <c r="AC121" s="44">
        <f t="shared" si="20"/>
        <v>0</v>
      </c>
      <c r="AD121" s="44">
        <f t="shared" si="20"/>
        <v>0</v>
      </c>
      <c r="AE121" s="44">
        <f t="shared" si="13"/>
        <v>2.1245589579291001E-3</v>
      </c>
      <c r="AF121" s="44">
        <f t="shared" si="14"/>
        <v>0</v>
      </c>
      <c r="AG121" s="44">
        <f>Table114[[#This Row],[Column2]]/$D$129*0.5</f>
        <v>1.7719944597742654E-3</v>
      </c>
      <c r="AH121" s="44">
        <f>Table114[[#This Row],[Column29]]/$D$129*1.5</f>
        <v>5.3159833793227961E-3</v>
      </c>
    </row>
    <row r="122" spans="3:34">
      <c r="C122" s="44" t="s">
        <v>661</v>
      </c>
      <c r="D122" s="44">
        <f>0.00118153597729068/2</f>
        <v>5.9076798864534004E-4</v>
      </c>
      <c r="E122" s="44">
        <f t="shared" si="23"/>
        <v>0</v>
      </c>
      <c r="F122" s="44">
        <f t="shared" si="23"/>
        <v>0</v>
      </c>
      <c r="G122" s="44">
        <f t="shared" si="23"/>
        <v>0</v>
      </c>
      <c r="H122" s="44">
        <f t="shared" si="23"/>
        <v>0</v>
      </c>
      <c r="I122" s="44">
        <f t="shared" si="23"/>
        <v>0</v>
      </c>
      <c r="J122" s="44">
        <f t="shared" si="23"/>
        <v>0</v>
      </c>
      <c r="K122" s="44">
        <f t="shared" si="23"/>
        <v>0</v>
      </c>
      <c r="L122" s="44">
        <f t="shared" si="23"/>
        <v>0</v>
      </c>
      <c r="M122" s="44">
        <f t="shared" si="23"/>
        <v>0</v>
      </c>
      <c r="N122" s="44">
        <f t="shared" si="23"/>
        <v>0</v>
      </c>
      <c r="O122" s="44">
        <f t="shared" si="23"/>
        <v>0</v>
      </c>
      <c r="P122" s="44">
        <f t="shared" si="23"/>
        <v>0</v>
      </c>
      <c r="Q122" s="44">
        <f t="shared" si="23"/>
        <v>0</v>
      </c>
      <c r="R122" s="44">
        <f t="shared" si="23"/>
        <v>0</v>
      </c>
      <c r="S122" s="44">
        <f t="shared" si="23"/>
        <v>1.1815359772906801E-3</v>
      </c>
      <c r="T122" s="44">
        <f t="shared" si="21"/>
        <v>0</v>
      </c>
      <c r="U122" s="44">
        <f t="shared" si="20"/>
        <v>5.9076798864534004E-4</v>
      </c>
      <c r="V122" s="44">
        <f t="shared" si="20"/>
        <v>0</v>
      </c>
      <c r="W122" s="44">
        <f t="shared" si="20"/>
        <v>0</v>
      </c>
      <c r="X122" s="44">
        <f t="shared" si="20"/>
        <v>0</v>
      </c>
      <c r="Y122" s="44">
        <f t="shared" si="20"/>
        <v>0</v>
      </c>
      <c r="Z122" s="44">
        <f t="shared" si="20"/>
        <v>0</v>
      </c>
      <c r="AA122" s="44">
        <f t="shared" si="20"/>
        <v>0</v>
      </c>
      <c r="AB122" s="44">
        <f t="shared" si="20"/>
        <v>0</v>
      </c>
      <c r="AC122" s="44">
        <f t="shared" si="20"/>
        <v>0</v>
      </c>
      <c r="AD122" s="44">
        <f t="shared" si="20"/>
        <v>0</v>
      </c>
      <c r="AE122" s="44">
        <f t="shared" si="13"/>
        <v>5.9076798864534004E-4</v>
      </c>
      <c r="AF122" s="44">
        <f t="shared" si="14"/>
        <v>0</v>
      </c>
      <c r="AG122" s="44">
        <f>Table114[[#This Row],[Column2]]/$D$129*0.5</f>
        <v>4.9273172626469579E-4</v>
      </c>
      <c r="AH122" s="44">
        <f>Table114[[#This Row],[Column29]]/$D$129*1.5</f>
        <v>1.4781951787940875E-3</v>
      </c>
    </row>
    <row r="123" spans="3:34">
      <c r="C123" s="44" t="s">
        <v>478</v>
      </c>
      <c r="D123" s="44">
        <v>8.1288071018548202E-4</v>
      </c>
      <c r="E123" s="44">
        <f t="shared" si="23"/>
        <v>0</v>
      </c>
      <c r="F123" s="44">
        <f t="shared" si="23"/>
        <v>0</v>
      </c>
      <c r="G123" s="44">
        <f t="shared" si="23"/>
        <v>0</v>
      </c>
      <c r="H123" s="44">
        <f t="shared" si="23"/>
        <v>0</v>
      </c>
      <c r="I123" s="44">
        <f t="shared" si="23"/>
        <v>0</v>
      </c>
      <c r="J123" s="44">
        <f t="shared" si="23"/>
        <v>0</v>
      </c>
      <c r="K123" s="44">
        <f t="shared" si="23"/>
        <v>0</v>
      </c>
      <c r="L123" s="44">
        <f t="shared" si="23"/>
        <v>0</v>
      </c>
      <c r="M123" s="44">
        <f t="shared" si="23"/>
        <v>0</v>
      </c>
      <c r="N123" s="44">
        <f t="shared" si="23"/>
        <v>0</v>
      </c>
      <c r="O123" s="44">
        <f t="shared" si="23"/>
        <v>0</v>
      </c>
      <c r="P123" s="44">
        <f t="shared" si="23"/>
        <v>0</v>
      </c>
      <c r="Q123" s="44">
        <f t="shared" si="23"/>
        <v>0</v>
      </c>
      <c r="R123" s="44">
        <f t="shared" si="23"/>
        <v>0</v>
      </c>
      <c r="S123" s="44">
        <f t="shared" si="23"/>
        <v>0</v>
      </c>
      <c r="T123" s="44">
        <f t="shared" si="21"/>
        <v>0</v>
      </c>
      <c r="U123" s="44">
        <f t="shared" si="20"/>
        <v>1.625761420370964E-3</v>
      </c>
      <c r="V123" s="44">
        <f t="shared" si="20"/>
        <v>0</v>
      </c>
      <c r="W123" s="44">
        <f t="shared" si="20"/>
        <v>0</v>
      </c>
      <c r="X123" s="44">
        <f t="shared" si="20"/>
        <v>0</v>
      </c>
      <c r="Y123" s="44">
        <f t="shared" si="20"/>
        <v>0</v>
      </c>
      <c r="Z123" s="44">
        <f t="shared" si="20"/>
        <v>0</v>
      </c>
      <c r="AA123" s="44">
        <f t="shared" si="20"/>
        <v>0</v>
      </c>
      <c r="AB123" s="44">
        <f t="shared" si="20"/>
        <v>0</v>
      </c>
      <c r="AC123" s="44">
        <f t="shared" si="20"/>
        <v>0</v>
      </c>
      <c r="AD123" s="44">
        <f t="shared" si="20"/>
        <v>8.1288071018548202E-4</v>
      </c>
      <c r="AE123" s="44">
        <f t="shared" si="13"/>
        <v>8.1288071018548213E-4</v>
      </c>
      <c r="AF123" s="44">
        <f t="shared" si="14"/>
        <v>0</v>
      </c>
      <c r="AG123" s="44">
        <f>Table114[[#This Row],[Column2]]/$D$129*0.5</f>
        <v>6.77985475305465E-4</v>
      </c>
      <c r="AH123" s="44">
        <f>Table114[[#This Row],[Column29]]/$D$129*1.5</f>
        <v>2.0339564259163954E-3</v>
      </c>
    </row>
    <row r="124" spans="3:34">
      <c r="C124" s="44" t="s">
        <v>479</v>
      </c>
      <c r="D124" s="44">
        <v>4.3368343217853166E-3</v>
      </c>
      <c r="E124" s="44">
        <f t="shared" si="23"/>
        <v>0</v>
      </c>
      <c r="F124" s="44">
        <f t="shared" si="23"/>
        <v>0</v>
      </c>
      <c r="G124" s="44">
        <f t="shared" si="23"/>
        <v>0</v>
      </c>
      <c r="H124" s="44">
        <f t="shared" si="23"/>
        <v>0</v>
      </c>
      <c r="I124" s="44">
        <f t="shared" si="23"/>
        <v>0</v>
      </c>
      <c r="J124" s="44">
        <f t="shared" si="23"/>
        <v>0</v>
      </c>
      <c r="K124" s="44">
        <f t="shared" si="23"/>
        <v>0</v>
      </c>
      <c r="L124" s="44">
        <f t="shared" si="23"/>
        <v>0</v>
      </c>
      <c r="M124" s="44">
        <f t="shared" si="23"/>
        <v>0</v>
      </c>
      <c r="N124" s="44">
        <f t="shared" si="23"/>
        <v>0</v>
      </c>
      <c r="O124" s="44">
        <f t="shared" si="23"/>
        <v>0</v>
      </c>
      <c r="P124" s="44">
        <f t="shared" si="23"/>
        <v>0</v>
      </c>
      <c r="Q124" s="44">
        <f t="shared" si="23"/>
        <v>0</v>
      </c>
      <c r="R124" s="44">
        <f t="shared" si="23"/>
        <v>0</v>
      </c>
      <c r="S124" s="44">
        <f t="shared" si="23"/>
        <v>0</v>
      </c>
      <c r="T124" s="44">
        <f t="shared" si="21"/>
        <v>0</v>
      </c>
      <c r="U124" s="44">
        <f t="shared" si="20"/>
        <v>4.3368343217853166E-3</v>
      </c>
      <c r="V124" s="44">
        <f t="shared" si="20"/>
        <v>0</v>
      </c>
      <c r="W124" s="44">
        <f t="shared" si="20"/>
        <v>0</v>
      </c>
      <c r="X124" s="44">
        <f t="shared" si="20"/>
        <v>0</v>
      </c>
      <c r="Y124" s="44">
        <f t="shared" si="20"/>
        <v>0</v>
      </c>
      <c r="Z124" s="44">
        <f t="shared" si="20"/>
        <v>0</v>
      </c>
      <c r="AA124" s="44">
        <f t="shared" si="20"/>
        <v>4.3368343217853166E-3</v>
      </c>
      <c r="AB124" s="44">
        <f t="shared" si="20"/>
        <v>0</v>
      </c>
      <c r="AC124" s="44">
        <f t="shared" si="20"/>
        <v>0</v>
      </c>
      <c r="AD124" s="44">
        <f t="shared" si="20"/>
        <v>4.3368343217853166E-3</v>
      </c>
      <c r="AE124" s="44">
        <f t="shared" si="13"/>
        <v>4.3368343217853166E-3</v>
      </c>
      <c r="AF124" s="44">
        <f t="shared" si="14"/>
        <v>0</v>
      </c>
      <c r="AG124" s="44">
        <f>Table114[[#This Row],[Column2]]/$D$129*0.5</f>
        <v>3.6171490381482368E-3</v>
      </c>
      <c r="AH124" s="44">
        <f>Table114[[#This Row],[Column29]]/$D$129*1.5</f>
        <v>1.0851447114444711E-2</v>
      </c>
    </row>
    <row r="125" spans="3:34">
      <c r="C125" s="47" t="s">
        <v>480</v>
      </c>
      <c r="D125" s="47">
        <v>1.4227990637433869E-3</v>
      </c>
      <c r="E125" s="47">
        <f t="shared" si="23"/>
        <v>0</v>
      </c>
      <c r="F125" s="47">
        <f t="shared" si="23"/>
        <v>0</v>
      </c>
      <c r="G125" s="47">
        <f t="shared" si="23"/>
        <v>0</v>
      </c>
      <c r="H125" s="47">
        <f t="shared" si="23"/>
        <v>0</v>
      </c>
      <c r="I125" s="47">
        <f t="shared" si="23"/>
        <v>0</v>
      </c>
      <c r="J125" s="47">
        <f t="shared" si="23"/>
        <v>0</v>
      </c>
      <c r="K125" s="47">
        <f t="shared" si="23"/>
        <v>0</v>
      </c>
      <c r="L125" s="47">
        <f t="shared" si="23"/>
        <v>0</v>
      </c>
      <c r="M125" s="47">
        <f t="shared" si="23"/>
        <v>0</v>
      </c>
      <c r="N125" s="47">
        <f t="shared" si="23"/>
        <v>0</v>
      </c>
      <c r="O125" s="47">
        <f t="shared" si="23"/>
        <v>0</v>
      </c>
      <c r="P125" s="47">
        <f t="shared" si="23"/>
        <v>0</v>
      </c>
      <c r="Q125" s="47">
        <f t="shared" si="23"/>
        <v>0</v>
      </c>
      <c r="R125" s="47">
        <f t="shared" si="23"/>
        <v>0</v>
      </c>
      <c r="S125" s="47">
        <f t="shared" si="23"/>
        <v>0</v>
      </c>
      <c r="T125" s="47">
        <f t="shared" si="21"/>
        <v>0</v>
      </c>
      <c r="U125" s="47">
        <f t="shared" si="20"/>
        <v>0</v>
      </c>
      <c r="V125" s="47">
        <f t="shared" si="20"/>
        <v>0</v>
      </c>
      <c r="W125" s="47">
        <f t="shared" si="20"/>
        <v>0</v>
      </c>
      <c r="X125" s="47">
        <f t="shared" si="20"/>
        <v>1.4227990637433869E-3</v>
      </c>
      <c r="Y125" s="47">
        <f t="shared" si="20"/>
        <v>0</v>
      </c>
      <c r="Z125" s="47">
        <f t="shared" si="20"/>
        <v>0</v>
      </c>
      <c r="AA125" s="47">
        <f t="shared" si="20"/>
        <v>0</v>
      </c>
      <c r="AB125" s="47">
        <f t="shared" si="20"/>
        <v>0</v>
      </c>
      <c r="AC125" s="47">
        <f t="shared" si="20"/>
        <v>2.8455981274867737E-3</v>
      </c>
      <c r="AD125" s="47">
        <f t="shared" si="20"/>
        <v>0</v>
      </c>
      <c r="AE125" s="47">
        <f t="shared" si="13"/>
        <v>1.4227990637433869E-3</v>
      </c>
      <c r="AF125" s="47">
        <f t="shared" si="14"/>
        <v>0</v>
      </c>
      <c r="AG125" s="47">
        <f>Table114[[#This Row],[Column2]]/$D$129*0.5</f>
        <v>1.1866896180573914E-3</v>
      </c>
      <c r="AH125" s="47">
        <f>Table114[[#This Row],[Column29]]/$D$129*1.5</f>
        <v>3.5600688541721744E-3</v>
      </c>
    </row>
    <row r="126" spans="3:34">
      <c r="C126" s="47" t="s">
        <v>481</v>
      </c>
      <c r="D126" s="47">
        <v>8.7366915348311368E-4</v>
      </c>
      <c r="E126" s="47">
        <f t="shared" si="23"/>
        <v>0</v>
      </c>
      <c r="F126" s="47">
        <f t="shared" si="23"/>
        <v>0</v>
      </c>
      <c r="G126" s="47">
        <f t="shared" si="23"/>
        <v>0</v>
      </c>
      <c r="H126" s="47">
        <f t="shared" si="23"/>
        <v>0</v>
      </c>
      <c r="I126" s="47">
        <f t="shared" si="23"/>
        <v>0</v>
      </c>
      <c r="J126" s="47">
        <f t="shared" si="23"/>
        <v>0</v>
      </c>
      <c r="K126" s="47">
        <f t="shared" si="23"/>
        <v>0</v>
      </c>
      <c r="L126" s="47">
        <f t="shared" si="23"/>
        <v>0</v>
      </c>
      <c r="M126" s="47">
        <f t="shared" si="23"/>
        <v>0</v>
      </c>
      <c r="N126" s="47">
        <f t="shared" si="23"/>
        <v>0</v>
      </c>
      <c r="O126" s="47">
        <f t="shared" si="23"/>
        <v>0</v>
      </c>
      <c r="P126" s="47">
        <f t="shared" si="23"/>
        <v>0</v>
      </c>
      <c r="Q126" s="47">
        <f t="shared" si="23"/>
        <v>0</v>
      </c>
      <c r="R126" s="47">
        <f t="shared" si="23"/>
        <v>0</v>
      </c>
      <c r="S126" s="47">
        <f t="shared" si="23"/>
        <v>0</v>
      </c>
      <c r="T126" s="47">
        <f t="shared" si="21"/>
        <v>0</v>
      </c>
      <c r="U126" s="47">
        <f t="shared" si="20"/>
        <v>0</v>
      </c>
      <c r="V126" s="47">
        <f t="shared" si="20"/>
        <v>0</v>
      </c>
      <c r="W126" s="47">
        <f t="shared" si="20"/>
        <v>0</v>
      </c>
      <c r="X126" s="47">
        <f t="shared" si="20"/>
        <v>8.7366915348311368E-4</v>
      </c>
      <c r="Y126" s="47">
        <f t="shared" si="20"/>
        <v>0</v>
      </c>
      <c r="Z126" s="47">
        <f t="shared" si="20"/>
        <v>0</v>
      </c>
      <c r="AA126" s="47">
        <f t="shared" si="20"/>
        <v>0</v>
      </c>
      <c r="AB126" s="47">
        <f t="shared" si="20"/>
        <v>0</v>
      </c>
      <c r="AC126" s="47">
        <f t="shared" si="20"/>
        <v>8.7366915348311368E-4</v>
      </c>
      <c r="AD126" s="47">
        <f t="shared" si="20"/>
        <v>8.7366915348311368E-4</v>
      </c>
      <c r="AE126" s="47">
        <f t="shared" si="13"/>
        <v>8.7366915348311357E-4</v>
      </c>
      <c r="AF126" s="47">
        <f t="shared" si="14"/>
        <v>0</v>
      </c>
      <c r="AG126" s="47">
        <f>Table114[[#This Row],[Column2]]/$D$129*0.5</f>
        <v>7.2868624985431615E-4</v>
      </c>
      <c r="AH126" s="47">
        <f>Table114[[#This Row],[Column29]]/$D$129*1.5</f>
        <v>2.186058749562948E-3</v>
      </c>
    </row>
    <row r="127" spans="3:34">
      <c r="C127" s="44" t="s">
        <v>482</v>
      </c>
      <c r="D127" s="44">
        <v>3.9185914979656079E-3</v>
      </c>
      <c r="E127" s="44">
        <f t="shared" si="23"/>
        <v>0</v>
      </c>
      <c r="F127" s="44">
        <f t="shared" si="23"/>
        <v>0</v>
      </c>
      <c r="G127" s="44">
        <f t="shared" si="23"/>
        <v>0</v>
      </c>
      <c r="H127" s="44">
        <f t="shared" si="23"/>
        <v>0</v>
      </c>
      <c r="I127" s="44">
        <f t="shared" si="23"/>
        <v>0</v>
      </c>
      <c r="J127" s="44">
        <f t="shared" si="23"/>
        <v>0</v>
      </c>
      <c r="K127" s="44">
        <f t="shared" si="23"/>
        <v>0</v>
      </c>
      <c r="L127" s="44">
        <f t="shared" si="23"/>
        <v>0</v>
      </c>
      <c r="M127" s="44">
        <f t="shared" si="23"/>
        <v>0</v>
      </c>
      <c r="N127" s="44">
        <f t="shared" si="23"/>
        <v>0</v>
      </c>
      <c r="O127" s="44">
        <f t="shared" si="23"/>
        <v>0</v>
      </c>
      <c r="P127" s="44">
        <f t="shared" si="23"/>
        <v>0</v>
      </c>
      <c r="Q127" s="44">
        <f t="shared" si="23"/>
        <v>0</v>
      </c>
      <c r="R127" s="44">
        <f t="shared" si="23"/>
        <v>0</v>
      </c>
      <c r="S127" s="44">
        <f t="shared" si="23"/>
        <v>0</v>
      </c>
      <c r="T127" s="44">
        <f t="shared" si="21"/>
        <v>0</v>
      </c>
      <c r="U127" s="44">
        <f t="shared" si="20"/>
        <v>0</v>
      </c>
      <c r="V127" s="44">
        <f t="shared" si="20"/>
        <v>0</v>
      </c>
      <c r="W127" s="44">
        <f t="shared" si="20"/>
        <v>0</v>
      </c>
      <c r="X127" s="44">
        <f t="shared" si="20"/>
        <v>0</v>
      </c>
      <c r="Y127" s="44">
        <f t="shared" si="20"/>
        <v>0</v>
      </c>
      <c r="Z127" s="44">
        <f t="shared" si="20"/>
        <v>0</v>
      </c>
      <c r="AA127" s="44">
        <f t="shared" si="20"/>
        <v>1.1755774493896823E-2</v>
      </c>
      <c r="AB127" s="44">
        <f t="shared" si="20"/>
        <v>0</v>
      </c>
      <c r="AC127" s="44">
        <f t="shared" si="20"/>
        <v>0</v>
      </c>
      <c r="AD127" s="44">
        <f t="shared" si="20"/>
        <v>0</v>
      </c>
      <c r="AE127" s="44">
        <f t="shared" si="13"/>
        <v>3.9185914979656079E-3</v>
      </c>
      <c r="AF127" s="44">
        <f t="shared" si="14"/>
        <v>0</v>
      </c>
      <c r="AG127" s="44">
        <f>Table114[[#This Row],[Column2]]/$D$129*0.5</f>
        <v>3.2683124177838511E-3</v>
      </c>
      <c r="AH127" s="44">
        <f>Table114[[#This Row],[Column29]]/$D$129*1.5</f>
        <v>9.804937253351553E-3</v>
      </c>
    </row>
    <row r="128" spans="3:34">
      <c r="C128" s="44" t="s">
        <v>483</v>
      </c>
      <c r="D128" s="44">
        <v>2.0078520220221468E-3</v>
      </c>
      <c r="E128" s="44">
        <f t="shared" si="23"/>
        <v>0</v>
      </c>
      <c r="F128" s="44">
        <f t="shared" si="23"/>
        <v>0</v>
      </c>
      <c r="G128" s="44">
        <f t="shared" si="23"/>
        <v>0</v>
      </c>
      <c r="H128" s="44">
        <f t="shared" si="23"/>
        <v>0</v>
      </c>
      <c r="I128" s="44">
        <f t="shared" si="23"/>
        <v>0</v>
      </c>
      <c r="J128" s="44">
        <f t="shared" si="23"/>
        <v>0</v>
      </c>
      <c r="K128" s="44">
        <f t="shared" si="23"/>
        <v>0</v>
      </c>
      <c r="L128" s="44">
        <f t="shared" si="23"/>
        <v>0</v>
      </c>
      <c r="M128" s="44">
        <f t="shared" si="23"/>
        <v>0</v>
      </c>
      <c r="N128" s="44">
        <f t="shared" si="23"/>
        <v>0</v>
      </c>
      <c r="O128" s="44">
        <f t="shared" si="23"/>
        <v>0</v>
      </c>
      <c r="P128" s="44">
        <f t="shared" si="23"/>
        <v>0</v>
      </c>
      <c r="Q128" s="44">
        <f t="shared" si="23"/>
        <v>0</v>
      </c>
      <c r="R128" s="44">
        <f t="shared" si="23"/>
        <v>0</v>
      </c>
      <c r="S128" s="44">
        <f t="shared" si="23"/>
        <v>0</v>
      </c>
      <c r="T128" s="44">
        <f t="shared" si="21"/>
        <v>0</v>
      </c>
      <c r="U128" s="44">
        <f t="shared" si="20"/>
        <v>0</v>
      </c>
      <c r="V128" s="44">
        <f t="shared" si="20"/>
        <v>0</v>
      </c>
      <c r="W128" s="44">
        <f t="shared" si="20"/>
        <v>0</v>
      </c>
      <c r="X128" s="44">
        <f t="shared" si="20"/>
        <v>0</v>
      </c>
      <c r="Y128" s="44">
        <f t="shared" si="20"/>
        <v>0</v>
      </c>
      <c r="Z128" s="44">
        <f t="shared" si="20"/>
        <v>0</v>
      </c>
      <c r="AA128" s="44">
        <f t="shared" si="20"/>
        <v>4.0157040440442935E-3</v>
      </c>
      <c r="AB128" s="44">
        <f t="shared" si="20"/>
        <v>0</v>
      </c>
      <c r="AC128" s="44">
        <f t="shared" si="20"/>
        <v>0</v>
      </c>
      <c r="AD128" s="44">
        <f t="shared" si="20"/>
        <v>2.0078520220221468E-3</v>
      </c>
      <c r="AE128" s="44">
        <f t="shared" si="13"/>
        <v>2.0078520220221468E-3</v>
      </c>
      <c r="AF128" s="44">
        <f t="shared" si="14"/>
        <v>0</v>
      </c>
      <c r="AG128" s="44">
        <f>Table114[[#This Row],[Column2]]/$D$129*0.5</f>
        <v>1.6746547069410786E-3</v>
      </c>
      <c r="AH128" s="44">
        <f>Table114[[#This Row],[Column29]]/$D$129*1.5</f>
        <v>5.0239641208232357E-3</v>
      </c>
    </row>
    <row r="129" spans="3:34">
      <c r="C129" s="44"/>
      <c r="D129" s="44">
        <f t="shared" ref="D129:AF129" si="24">SUM(D4:D128)</f>
        <v>0.59948239290763583</v>
      </c>
      <c r="E129" s="44">
        <f t="shared" si="24"/>
        <v>1.0969535192211425E-2</v>
      </c>
      <c r="F129" s="44">
        <f t="shared" si="24"/>
        <v>2.2562195071260424E-3</v>
      </c>
      <c r="G129" s="44">
        <f t="shared" si="24"/>
        <v>0.15316324352580885</v>
      </c>
      <c r="H129" s="44">
        <f t="shared" si="24"/>
        <v>5.5167517566413488E-3</v>
      </c>
      <c r="I129" s="44">
        <f t="shared" si="24"/>
        <v>4.4443127011379181E-2</v>
      </c>
      <c r="J129" s="44">
        <f t="shared" si="24"/>
        <v>8.7011695415752154E-4</v>
      </c>
      <c r="K129" s="44">
        <f t="shared" si="24"/>
        <v>0.47322957541437577</v>
      </c>
      <c r="L129" s="44">
        <f t="shared" si="24"/>
        <v>0.32296616789822929</v>
      </c>
      <c r="M129" s="44">
        <f t="shared" si="24"/>
        <v>1.8649089429511354E-2</v>
      </c>
      <c r="N129" s="44">
        <f t="shared" si="24"/>
        <v>8.5130891813157399E-3</v>
      </c>
      <c r="O129" s="44">
        <f t="shared" si="24"/>
        <v>1.0588012837915734E-2</v>
      </c>
      <c r="P129" s="44">
        <f t="shared" si="24"/>
        <v>2.0183816193241111E-2</v>
      </c>
      <c r="Q129" s="44">
        <f t="shared" si="24"/>
        <v>1.056490921891501E-2</v>
      </c>
      <c r="R129" s="44">
        <f t="shared" si="24"/>
        <v>0.42661984562390026</v>
      </c>
      <c r="S129" s="44">
        <f t="shared" si="24"/>
        <v>0.1266250201852295</v>
      </c>
      <c r="T129" s="44">
        <f t="shared" si="24"/>
        <v>2.7310081877907996E-2</v>
      </c>
      <c r="U129" s="44">
        <f t="shared" si="24"/>
        <v>2.6011652760713468E-2</v>
      </c>
      <c r="V129" s="44">
        <f t="shared" si="24"/>
        <v>5.1385141453876807E-4</v>
      </c>
      <c r="W129" s="44">
        <f t="shared" si="24"/>
        <v>8.2015698944919494E-4</v>
      </c>
      <c r="X129" s="44">
        <f t="shared" si="24"/>
        <v>1.6206622955326159E-2</v>
      </c>
      <c r="Y129" s="44">
        <f t="shared" si="24"/>
        <v>2.7159428521026634E-3</v>
      </c>
      <c r="Z129" s="44">
        <f t="shared" si="24"/>
        <v>6.4168332309163627E-3</v>
      </c>
      <c r="AA129" s="44">
        <f t="shared" si="24"/>
        <v>4.3149453257797926E-2</v>
      </c>
      <c r="AB129" s="44">
        <f t="shared" si="24"/>
        <v>1.5926457556904449E-3</v>
      </c>
      <c r="AC129" s="44">
        <f t="shared" si="24"/>
        <v>9.0144506046774316E-3</v>
      </c>
      <c r="AD129" s="44">
        <f t="shared" si="24"/>
        <v>2.9536967093829147E-2</v>
      </c>
      <c r="AE129" s="44">
        <f t="shared" si="24"/>
        <v>0.59948239290763583</v>
      </c>
      <c r="AF129" s="44">
        <f t="shared" si="24"/>
        <v>0</v>
      </c>
      <c r="AG129" s="44">
        <f>Table114[[#This Row],[Column2]]/$D$129*0.5</f>
        <v>0.5</v>
      </c>
      <c r="AH129" s="44">
        <f>Table114[[#This Row],[Column29]]/$D$129*1.5</f>
        <v>1.5</v>
      </c>
    </row>
    <row r="130" spans="3:34">
      <c r="C130" s="44"/>
      <c r="D130" s="44">
        <f>SUM(E129:AD129)</f>
        <v>1.7984471787229079</v>
      </c>
      <c r="E130" s="44">
        <f t="shared" ref="E130:AD130" si="25">E129/$D$130*100</f>
        <v>0.60994480805385576</v>
      </c>
      <c r="F130" s="44">
        <f t="shared" si="25"/>
        <v>0.12545375442876239</v>
      </c>
      <c r="G130" s="44">
        <f t="shared" si="25"/>
        <v>8.5164160136508045</v>
      </c>
      <c r="H130" s="44">
        <f t="shared" si="25"/>
        <v>0.30675083604951014</v>
      </c>
      <c r="I130" s="44">
        <f t="shared" si="25"/>
        <v>2.4711944580401082</v>
      </c>
      <c r="J130" s="44">
        <f t="shared" si="25"/>
        <v>4.8381568524875927E-2</v>
      </c>
      <c r="K130" s="44">
        <f t="shared" si="25"/>
        <v>26.313231826492672</v>
      </c>
      <c r="L130" s="44">
        <f t="shared" si="25"/>
        <v>17.958056912606697</v>
      </c>
      <c r="M130" s="44">
        <f t="shared" si="25"/>
        <v>1.0369550827038594</v>
      </c>
      <c r="N130" s="44">
        <f t="shared" si="25"/>
        <v>0.47335775451358847</v>
      </c>
      <c r="O130" s="44">
        <f t="shared" si="25"/>
        <v>0.5887308208537082</v>
      </c>
      <c r="P130" s="44">
        <f t="shared" si="25"/>
        <v>1.1222912984063176</v>
      </c>
      <c r="Q130" s="44">
        <f t="shared" si="25"/>
        <v>0.58744617823122491</v>
      </c>
      <c r="R130" s="44">
        <f t="shared" si="25"/>
        <v>23.721566619868508</v>
      </c>
      <c r="S130" s="44">
        <f t="shared" si="25"/>
        <v>7.0407972879774512</v>
      </c>
      <c r="T130" s="44">
        <f t="shared" si="25"/>
        <v>1.5185367800071343</v>
      </c>
      <c r="U130" s="44">
        <f t="shared" si="25"/>
        <v>1.4463395460513082</v>
      </c>
      <c r="V130" s="44">
        <f t="shared" si="25"/>
        <v>2.8571949213635407E-2</v>
      </c>
      <c r="W130" s="44">
        <f t="shared" si="25"/>
        <v>4.5603618452202475E-2</v>
      </c>
      <c r="X130" s="44">
        <f t="shared" si="25"/>
        <v>0.90114534066186003</v>
      </c>
      <c r="Y130" s="44">
        <f t="shared" si="25"/>
        <v>0.15101599225345483</v>
      </c>
      <c r="Z130" s="44">
        <f t="shared" si="25"/>
        <v>0.35679853747347801</v>
      </c>
      <c r="AA130" s="44">
        <f t="shared" si="25"/>
        <v>2.3992616390567947</v>
      </c>
      <c r="AB130" s="44">
        <f t="shared" si="25"/>
        <v>8.8556715734147709E-2</v>
      </c>
      <c r="AC130" s="44">
        <f t="shared" si="25"/>
        <v>0.50123521620905587</v>
      </c>
      <c r="AD130" s="44">
        <f t="shared" si="25"/>
        <v>1.6423594444849687</v>
      </c>
      <c r="AE130" s="44"/>
      <c r="AF130" s="44"/>
      <c r="AG130" s="44"/>
      <c r="AH130" s="44">
        <f>Table114[[#This Row],[Column29]]/$D$129*1.5</f>
        <v>0</v>
      </c>
    </row>
    <row r="131" spans="3:34">
      <c r="C131" s="44"/>
      <c r="D131" s="44">
        <f>SUM(E130:AD130)</f>
        <v>99.999999999999972</v>
      </c>
      <c r="E131" s="47">
        <f t="shared" ref="E131:P131" si="26">IF(E130 &gt; 1, E130, 0)</f>
        <v>0</v>
      </c>
      <c r="F131" s="47">
        <f t="shared" si="26"/>
        <v>0</v>
      </c>
      <c r="G131" s="44">
        <f t="shared" si="26"/>
        <v>8.5164160136508045</v>
      </c>
      <c r="H131" s="47">
        <f t="shared" si="26"/>
        <v>0</v>
      </c>
      <c r="I131" s="44">
        <f t="shared" si="26"/>
        <v>2.4711944580401082</v>
      </c>
      <c r="J131" s="47">
        <f t="shared" si="26"/>
        <v>0</v>
      </c>
      <c r="K131" s="44">
        <f t="shared" si="26"/>
        <v>26.313231826492672</v>
      </c>
      <c r="L131" s="44">
        <f t="shared" si="26"/>
        <v>17.958056912606697</v>
      </c>
      <c r="M131" s="44">
        <f t="shared" si="26"/>
        <v>1.0369550827038594</v>
      </c>
      <c r="N131" s="47">
        <f t="shared" si="26"/>
        <v>0</v>
      </c>
      <c r="O131" s="47">
        <f t="shared" si="26"/>
        <v>0</v>
      </c>
      <c r="P131" s="44">
        <f t="shared" si="26"/>
        <v>1.1222912984063176</v>
      </c>
      <c r="Q131" s="44">
        <f>Q130</f>
        <v>0.58744617823122491</v>
      </c>
      <c r="R131" s="44">
        <f t="shared" ref="R131:Y131" si="27">IF(R130 &gt; 1, R130, 0)</f>
        <v>23.721566619868508</v>
      </c>
      <c r="S131" s="44">
        <f t="shared" si="27"/>
        <v>7.0407972879774512</v>
      </c>
      <c r="T131" s="44">
        <f t="shared" si="27"/>
        <v>1.5185367800071343</v>
      </c>
      <c r="U131" s="44">
        <f t="shared" si="27"/>
        <v>1.4463395460513082</v>
      </c>
      <c r="V131" s="47">
        <f t="shared" si="27"/>
        <v>0</v>
      </c>
      <c r="W131" s="47">
        <f t="shared" si="27"/>
        <v>0</v>
      </c>
      <c r="X131" s="47">
        <f t="shared" si="27"/>
        <v>0</v>
      </c>
      <c r="Y131" s="47">
        <f t="shared" si="27"/>
        <v>0</v>
      </c>
      <c r="Z131" s="44">
        <f>Z130</f>
        <v>0.35679853747347801</v>
      </c>
      <c r="AA131" s="44">
        <f>IF(AA130 &gt; 1, AA130, 0)</f>
        <v>2.3992616390567947</v>
      </c>
      <c r="AB131" s="47">
        <f>IF(AB130 &gt; 1, AB130, 0)</f>
        <v>0</v>
      </c>
      <c r="AC131" s="44">
        <f>AC130</f>
        <v>0.50123521620905587</v>
      </c>
      <c r="AD131" s="44">
        <f>IF(AD130 &gt; 1, AD130, 0)</f>
        <v>1.6423594444849687</v>
      </c>
      <c r="AE131" s="44"/>
      <c r="AF131" s="44"/>
      <c r="AG131" s="44"/>
      <c r="AH131" s="44">
        <f>Table114[[#This Row],[Column29]]/$D$129*1.5</f>
        <v>0</v>
      </c>
    </row>
    <row r="132" spans="3:34">
      <c r="C132" s="44"/>
      <c r="D132" s="44">
        <f>SUM(E131:AD131)</f>
        <v>96.632486841260373</v>
      </c>
      <c r="E132" s="44">
        <f t="shared" ref="E132:AD132" si="28">E131/$D$132</f>
        <v>0</v>
      </c>
      <c r="F132" s="44">
        <f t="shared" si="28"/>
        <v>0</v>
      </c>
      <c r="G132" s="44">
        <f t="shared" si="28"/>
        <v>8.8132017420195843E-2</v>
      </c>
      <c r="H132" s="44">
        <f t="shared" si="28"/>
        <v>0</v>
      </c>
      <c r="I132" s="44">
        <f t="shared" si="28"/>
        <v>2.5573122857735994E-2</v>
      </c>
      <c r="J132" s="44">
        <f t="shared" si="28"/>
        <v>0</v>
      </c>
      <c r="K132" s="44">
        <f t="shared" si="28"/>
        <v>0.2723021282658058</v>
      </c>
      <c r="L132" s="44">
        <f t="shared" si="28"/>
        <v>0.18583871221390239</v>
      </c>
      <c r="M132" s="44">
        <f t="shared" si="28"/>
        <v>1.0730915829655517E-2</v>
      </c>
      <c r="N132" s="44">
        <f t="shared" si="28"/>
        <v>0</v>
      </c>
      <c r="O132" s="44">
        <f t="shared" si="28"/>
        <v>0</v>
      </c>
      <c r="P132" s="44">
        <f t="shared" si="28"/>
        <v>1.1614016518584709E-2</v>
      </c>
      <c r="Q132" s="44">
        <f t="shared" si="28"/>
        <v>6.07917893281823E-3</v>
      </c>
      <c r="R132" s="44">
        <f t="shared" si="28"/>
        <v>0.24548231547467342</v>
      </c>
      <c r="S132" s="44">
        <f t="shared" si="28"/>
        <v>7.2861596737580331E-2</v>
      </c>
      <c r="T132" s="44">
        <f t="shared" si="28"/>
        <v>1.5714557594917921E-2</v>
      </c>
      <c r="U132" s="44">
        <f t="shared" si="28"/>
        <v>1.4967425483183847E-2</v>
      </c>
      <c r="V132" s="44">
        <f t="shared" si="28"/>
        <v>0</v>
      </c>
      <c r="W132" s="44">
        <f t="shared" si="28"/>
        <v>0</v>
      </c>
      <c r="X132" s="44">
        <f t="shared" si="28"/>
        <v>0</v>
      </c>
      <c r="Y132" s="44">
        <f t="shared" si="28"/>
        <v>0</v>
      </c>
      <c r="Z132" s="44">
        <f t="shared" si="28"/>
        <v>3.6923249016616562E-3</v>
      </c>
      <c r="AA132" s="44">
        <f t="shared" si="28"/>
        <v>2.4828727040814933E-2</v>
      </c>
      <c r="AB132" s="44">
        <f t="shared" si="28"/>
        <v>0</v>
      </c>
      <c r="AC132" s="44">
        <f t="shared" si="28"/>
        <v>5.1870259432776726E-3</v>
      </c>
      <c r="AD132" s="44">
        <f t="shared" si="28"/>
        <v>1.6995934785191829E-2</v>
      </c>
      <c r="AE132" s="44"/>
      <c r="AF132" s="44"/>
      <c r="AG132" s="44"/>
      <c r="AH132" s="44">
        <f>Table114[[#This Row],[Column29]]/$D$129*1.5</f>
        <v>0</v>
      </c>
    </row>
    <row r="133" spans="3:34">
      <c r="C133" s="44"/>
      <c r="D133" s="44">
        <f>SUM(E132:AD132)</f>
        <v>1.0000000000000002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>
        <f>Table114[[#This Row],[Column29]]/$D$129*1.5</f>
        <v>0</v>
      </c>
    </row>
    <row r="134" spans="3:34">
      <c r="C134" s="44"/>
      <c r="D134" s="44"/>
      <c r="E134" s="44" t="s">
        <v>317</v>
      </c>
      <c r="F134" s="44" t="s">
        <v>318</v>
      </c>
      <c r="G134" s="44" t="s">
        <v>319</v>
      </c>
      <c r="H134" s="44" t="s">
        <v>320</v>
      </c>
      <c r="I134" s="44" t="s">
        <v>321</v>
      </c>
      <c r="J134" s="44" t="s">
        <v>322</v>
      </c>
      <c r="K134" s="44" t="s">
        <v>323</v>
      </c>
      <c r="L134" s="44" t="s">
        <v>324</v>
      </c>
      <c r="M134" s="44" t="s">
        <v>325</v>
      </c>
      <c r="N134" s="44" t="s">
        <v>326</v>
      </c>
      <c r="O134" s="44" t="s">
        <v>327</v>
      </c>
      <c r="P134" s="44" t="s">
        <v>328</v>
      </c>
      <c r="Q134" s="44" t="s">
        <v>329</v>
      </c>
      <c r="R134" s="44" t="s">
        <v>330</v>
      </c>
      <c r="S134" s="44" t="s">
        <v>331</v>
      </c>
      <c r="T134" s="44" t="s">
        <v>332</v>
      </c>
      <c r="U134" s="44" t="s">
        <v>333</v>
      </c>
      <c r="V134" s="44" t="s">
        <v>334</v>
      </c>
      <c r="W134" s="44" t="s">
        <v>335</v>
      </c>
      <c r="X134" s="44" t="s">
        <v>336</v>
      </c>
      <c r="Y134" s="44" t="s">
        <v>337</v>
      </c>
      <c r="Z134" s="44" t="s">
        <v>338</v>
      </c>
      <c r="AA134" s="44" t="s">
        <v>339</v>
      </c>
      <c r="AB134" s="44" t="s">
        <v>340</v>
      </c>
      <c r="AC134" s="44" t="s">
        <v>341</v>
      </c>
      <c r="AD134" s="44" t="s">
        <v>342</v>
      </c>
      <c r="AE134" s="44"/>
      <c r="AF134" s="44"/>
      <c r="AG134" s="44"/>
      <c r="AH134" s="44">
        <f>Table114[[#This Row],[Column29]]/$D$129*1.5</f>
        <v>0</v>
      </c>
    </row>
    <row r="135" spans="3:34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7" spans="3:34">
      <c r="C137" s="44" t="s">
        <v>315</v>
      </c>
      <c r="D137" s="45" t="s">
        <v>345</v>
      </c>
      <c r="E137" s="45" t="s">
        <v>346</v>
      </c>
    </row>
    <row r="138" spans="3:34">
      <c r="C138" s="44" t="s">
        <v>673</v>
      </c>
      <c r="D138" s="44">
        <v>4.3685932935434478E-3</v>
      </c>
      <c r="E138" s="44">
        <v>1.3105779880630344E-2</v>
      </c>
      <c r="G138" t="s">
        <v>760</v>
      </c>
      <c r="H138" t="s">
        <v>847</v>
      </c>
    </row>
    <row r="139" spans="3:34">
      <c r="C139" s="44" t="s">
        <v>674</v>
      </c>
      <c r="D139" s="44">
        <v>9.7763852149039066E-4</v>
      </c>
      <c r="E139" s="44">
        <v>2.932915564471172E-3</v>
      </c>
      <c r="G139" t="s">
        <v>761</v>
      </c>
      <c r="H139" t="s">
        <v>848</v>
      </c>
    </row>
    <row r="140" spans="3:34">
      <c r="C140" s="44" t="s">
        <v>675</v>
      </c>
      <c r="D140" s="44">
        <v>2.6303475821434778E-3</v>
      </c>
      <c r="E140" s="44">
        <v>7.891042746430434E-3</v>
      </c>
      <c r="G140" t="s">
        <v>762</v>
      </c>
      <c r="H140" t="s">
        <v>849</v>
      </c>
    </row>
    <row r="141" spans="3:34">
      <c r="C141" s="44" t="s">
        <v>676</v>
      </c>
      <c r="D141" s="44">
        <v>1.1104114735016866E-3</v>
      </c>
      <c r="E141" s="44">
        <v>3.3312344205050598E-3</v>
      </c>
      <c r="G141" t="s">
        <v>763</v>
      </c>
      <c r="H141" t="s">
        <v>850</v>
      </c>
    </row>
    <row r="142" spans="3:34">
      <c r="C142" s="44" t="s">
        <v>677</v>
      </c>
      <c r="D142" s="44">
        <v>2.3402994894781721E-3</v>
      </c>
      <c r="E142" s="44">
        <v>7.0208984684345145E-3</v>
      </c>
      <c r="G142" t="s">
        <v>764</v>
      </c>
      <c r="H142" t="s">
        <v>851</v>
      </c>
    </row>
    <row r="143" spans="3:34">
      <c r="C143" s="44" t="s">
        <v>678</v>
      </c>
      <c r="D143" s="44">
        <v>3.9440400122246304E-3</v>
      </c>
      <c r="E143" s="44">
        <v>1.1832120036673891E-2</v>
      </c>
      <c r="G143" t="s">
        <v>765</v>
      </c>
      <c r="H143" t="s">
        <v>852</v>
      </c>
    </row>
    <row r="144" spans="3:34">
      <c r="C144" s="44" t="s">
        <v>679</v>
      </c>
      <c r="D144" s="44">
        <v>2.8305463521457533E-3</v>
      </c>
      <c r="E144" s="44">
        <v>8.4916390564372599E-3</v>
      </c>
      <c r="G144" t="s">
        <v>766</v>
      </c>
      <c r="H144" t="s">
        <v>853</v>
      </c>
    </row>
    <row r="145" spans="3:8">
      <c r="C145" s="44" t="s">
        <v>680</v>
      </c>
      <c r="D145" s="44">
        <v>6.4222733242619533E-3</v>
      </c>
      <c r="E145" s="44">
        <v>1.926681997278586E-2</v>
      </c>
      <c r="G145" t="s">
        <v>767</v>
      </c>
      <c r="H145" t="s">
        <v>854</v>
      </c>
    </row>
    <row r="146" spans="3:8">
      <c r="C146" s="44" t="s">
        <v>681</v>
      </c>
      <c r="D146" s="44">
        <v>1.5865053654793428E-2</v>
      </c>
      <c r="E146" s="44">
        <v>4.7595160964380281E-2</v>
      </c>
      <c r="G146" t="s">
        <v>768</v>
      </c>
      <c r="H146" t="s">
        <v>855</v>
      </c>
    </row>
    <row r="147" spans="3:8">
      <c r="C147" s="44" t="s">
        <v>682</v>
      </c>
      <c r="D147" s="44">
        <v>4.6236223309634979E-3</v>
      </c>
      <c r="E147" s="44">
        <v>1.3870866992890491E-2</v>
      </c>
      <c r="G147" t="s">
        <v>769</v>
      </c>
      <c r="H147" t="s">
        <v>856</v>
      </c>
    </row>
    <row r="148" spans="3:8">
      <c r="C148" s="44" t="s">
        <v>683</v>
      </c>
      <c r="D148" s="44">
        <v>1.1746061723857745E-2</v>
      </c>
      <c r="E148" s="44">
        <v>3.5238185171573233E-2</v>
      </c>
      <c r="G148" t="s">
        <v>770</v>
      </c>
      <c r="H148" t="s">
        <v>857</v>
      </c>
    </row>
    <row r="149" spans="3:8">
      <c r="C149" s="44" t="s">
        <v>684</v>
      </c>
      <c r="D149" s="44">
        <v>7.4500630831595277E-3</v>
      </c>
      <c r="E149" s="44">
        <v>2.2350189249478583E-2</v>
      </c>
      <c r="G149" t="s">
        <v>771</v>
      </c>
      <c r="H149" t="s">
        <v>858</v>
      </c>
    </row>
    <row r="150" spans="3:8">
      <c r="C150" s="44" t="s">
        <v>685</v>
      </c>
      <c r="D150" s="44">
        <v>8.0709922674081312E-3</v>
      </c>
      <c r="E150" s="44">
        <v>2.4212976802224395E-2</v>
      </c>
      <c r="G150" t="s">
        <v>772</v>
      </c>
      <c r="H150" t="s">
        <v>859</v>
      </c>
    </row>
    <row r="151" spans="3:8">
      <c r="C151" s="44" t="s">
        <v>686</v>
      </c>
      <c r="D151" s="44">
        <v>7.0290579003423593E-4</v>
      </c>
      <c r="E151" s="44">
        <v>2.108717370102708E-3</v>
      </c>
      <c r="G151" t="s">
        <v>773</v>
      </c>
      <c r="H151" t="s">
        <v>860</v>
      </c>
    </row>
    <row r="152" spans="3:8">
      <c r="C152" s="44" t="s">
        <v>687</v>
      </c>
      <c r="D152" s="44">
        <v>2.3690032479627442E-2</v>
      </c>
      <c r="E152" s="44">
        <v>7.1070097438882318E-2</v>
      </c>
      <c r="G152" t="s">
        <v>774</v>
      </c>
      <c r="H152" t="s">
        <v>861</v>
      </c>
    </row>
    <row r="153" spans="3:8">
      <c r="C153" s="44" t="s">
        <v>688</v>
      </c>
      <c r="D153" s="44">
        <v>1.3214337359029377E-3</v>
      </c>
      <c r="E153" s="44">
        <v>3.9643012077088119E-3</v>
      </c>
      <c r="G153" t="s">
        <v>775</v>
      </c>
      <c r="H153" t="s">
        <v>862</v>
      </c>
    </row>
    <row r="154" spans="3:8">
      <c r="C154" s="44" t="s">
        <v>689</v>
      </c>
      <c r="D154" s="44">
        <v>3.3904052349113865E-4</v>
      </c>
      <c r="E154" s="44">
        <v>1.0171215704734161E-3</v>
      </c>
      <c r="G154" t="s">
        <v>776</v>
      </c>
      <c r="H154" t="s">
        <v>863</v>
      </c>
    </row>
    <row r="155" spans="3:8">
      <c r="C155" s="44" t="s">
        <v>690</v>
      </c>
      <c r="D155" s="44">
        <v>1.7532863040382834E-3</v>
      </c>
      <c r="E155" s="44">
        <v>5.2598589121148499E-3</v>
      </c>
      <c r="G155" t="s">
        <v>777</v>
      </c>
      <c r="H155" t="s">
        <v>864</v>
      </c>
    </row>
    <row r="156" spans="3:8">
      <c r="C156" s="44" t="s">
        <v>691</v>
      </c>
      <c r="D156" s="44">
        <v>4.2124052807131791E-3</v>
      </c>
      <c r="E156" s="44">
        <v>1.2637215842139537E-2</v>
      </c>
      <c r="G156" t="s">
        <v>778</v>
      </c>
      <c r="H156" t="s">
        <v>865</v>
      </c>
    </row>
    <row r="157" spans="3:8">
      <c r="C157" s="44" t="s">
        <v>692</v>
      </c>
      <c r="D157" s="44">
        <v>2.9901988382604648E-3</v>
      </c>
      <c r="E157" s="44">
        <v>8.9705965147813954E-3</v>
      </c>
      <c r="G157" t="s">
        <v>779</v>
      </c>
      <c r="H157" t="s">
        <v>866</v>
      </c>
    </row>
    <row r="158" spans="3:8">
      <c r="C158" s="44" t="s">
        <v>693</v>
      </c>
      <c r="D158" s="44">
        <v>4.8721485122071194E-3</v>
      </c>
      <c r="E158" s="44">
        <v>1.4616445536621357E-2</v>
      </c>
      <c r="G158" t="s">
        <v>780</v>
      </c>
      <c r="H158" t="s">
        <v>867</v>
      </c>
    </row>
    <row r="159" spans="3:8">
      <c r="C159" s="44" t="s">
        <v>694</v>
      </c>
      <c r="D159" s="44">
        <v>2.4668483360370756E-3</v>
      </c>
      <c r="E159" s="44">
        <v>7.4005450081112267E-3</v>
      </c>
      <c r="G159" t="s">
        <v>781</v>
      </c>
      <c r="H159" t="s">
        <v>868</v>
      </c>
    </row>
    <row r="160" spans="3:8">
      <c r="C160" s="44" t="s">
        <v>695</v>
      </c>
      <c r="D160" s="44">
        <v>3.940898093349429E-4</v>
      </c>
      <c r="E160" s="44">
        <v>1.1822694280048287E-3</v>
      </c>
      <c r="G160" t="s">
        <v>782</v>
      </c>
      <c r="H160" t="s">
        <v>869</v>
      </c>
    </row>
    <row r="161" spans="3:8">
      <c r="C161" s="44" t="s">
        <v>696</v>
      </c>
      <c r="D161" s="44">
        <v>3.6906197646975863E-4</v>
      </c>
      <c r="E161" s="44">
        <v>1.1071859294092758E-3</v>
      </c>
      <c r="G161" t="s">
        <v>783</v>
      </c>
      <c r="H161" t="s">
        <v>870</v>
      </c>
    </row>
    <row r="162" spans="3:8">
      <c r="C162" s="44" t="s">
        <v>697</v>
      </c>
      <c r="D162" s="44">
        <v>2.4428120593188168E-4</v>
      </c>
      <c r="E162" s="44">
        <v>7.328436177956451E-4</v>
      </c>
      <c r="G162" t="s">
        <v>784</v>
      </c>
      <c r="H162" t="s">
        <v>871</v>
      </c>
    </row>
    <row r="163" spans="3:8">
      <c r="C163" s="44" t="s">
        <v>698</v>
      </c>
      <c r="D163" s="44">
        <v>3.9673475549071935E-3</v>
      </c>
      <c r="E163" s="44">
        <v>1.1902042664721581E-2</v>
      </c>
      <c r="G163" t="s">
        <v>785</v>
      </c>
      <c r="H163" t="s">
        <v>872</v>
      </c>
    </row>
    <row r="164" spans="3:8">
      <c r="C164" s="44" t="s">
        <v>699</v>
      </c>
      <c r="D164" s="44">
        <v>6.554512667744386E-3</v>
      </c>
      <c r="E164" s="44">
        <v>1.9663538003233158E-2</v>
      </c>
      <c r="G164" t="s">
        <v>786</v>
      </c>
      <c r="H164" t="s">
        <v>873</v>
      </c>
    </row>
    <row r="165" spans="3:8">
      <c r="C165" s="44" t="s">
        <v>700</v>
      </c>
      <c r="D165" s="44">
        <v>4.7447275740973068E-3</v>
      </c>
      <c r="E165" s="44">
        <v>1.423418272229192E-2</v>
      </c>
      <c r="G165" t="s">
        <v>787</v>
      </c>
      <c r="H165" t="s">
        <v>874</v>
      </c>
    </row>
    <row r="166" spans="3:8">
      <c r="C166" s="44" t="s">
        <v>701</v>
      </c>
      <c r="D166" s="44">
        <v>1.4422562461595088E-2</v>
      </c>
      <c r="E166" s="44">
        <v>4.3267687384785265E-2</v>
      </c>
      <c r="G166" t="s">
        <v>788</v>
      </c>
      <c r="H166" t="s">
        <v>875</v>
      </c>
    </row>
    <row r="167" spans="3:8">
      <c r="C167" s="44" t="s">
        <v>702</v>
      </c>
      <c r="D167" s="44">
        <v>2.2111956934258273E-2</v>
      </c>
      <c r="E167" s="44">
        <v>6.6335870802774838E-2</v>
      </c>
      <c r="G167" t="s">
        <v>789</v>
      </c>
      <c r="H167" t="s">
        <v>876</v>
      </c>
    </row>
    <row r="168" spans="3:8">
      <c r="C168" s="44" t="s">
        <v>703</v>
      </c>
      <c r="D168" s="44">
        <v>4.638236833209357E-3</v>
      </c>
      <c r="E168" s="44">
        <v>1.3914710499628072E-2</v>
      </c>
      <c r="G168" t="s">
        <v>790</v>
      </c>
      <c r="H168" t="s">
        <v>877</v>
      </c>
    </row>
    <row r="169" spans="3:8">
      <c r="C169" s="44" t="s">
        <v>704</v>
      </c>
      <c r="D169" s="44">
        <v>3.8773070888905394E-3</v>
      </c>
      <c r="E169" s="44">
        <v>1.1631921266671619E-2</v>
      </c>
      <c r="G169" t="s">
        <v>791</v>
      </c>
      <c r="H169" t="s">
        <v>878</v>
      </c>
    </row>
    <row r="170" spans="3:8">
      <c r="C170" s="44" t="s">
        <v>705</v>
      </c>
      <c r="D170" s="44">
        <v>1.1640009019821844E-2</v>
      </c>
      <c r="E170" s="44">
        <v>3.4920027059465529E-2</v>
      </c>
      <c r="G170" t="s">
        <v>792</v>
      </c>
      <c r="H170" t="s">
        <v>879</v>
      </c>
    </row>
    <row r="171" spans="3:8">
      <c r="C171" s="44" t="s">
        <v>706</v>
      </c>
      <c r="D171" s="44">
        <v>5.4133709179943834E-3</v>
      </c>
      <c r="E171" s="44">
        <v>1.6240112753983151E-2</v>
      </c>
      <c r="G171" t="s">
        <v>793</v>
      </c>
      <c r="H171" t="s">
        <v>880</v>
      </c>
    </row>
    <row r="172" spans="3:8">
      <c r="C172" s="44" t="s">
        <v>707</v>
      </c>
      <c r="D172" s="44">
        <v>3.7298208772340108E-2</v>
      </c>
      <c r="E172" s="44">
        <v>0.11189462631702032</v>
      </c>
      <c r="G172" t="s">
        <v>794</v>
      </c>
      <c r="H172" t="s">
        <v>881</v>
      </c>
    </row>
    <row r="173" spans="3:8">
      <c r="C173" s="44" t="s">
        <v>708</v>
      </c>
      <c r="D173" s="44">
        <v>1.4656418390448045E-2</v>
      </c>
      <c r="E173" s="44">
        <v>4.3969255171344132E-2</v>
      </c>
      <c r="G173" t="s">
        <v>795</v>
      </c>
      <c r="H173" t="s">
        <v>882</v>
      </c>
    </row>
    <row r="174" spans="3:8">
      <c r="C174" s="44" t="s">
        <v>709</v>
      </c>
      <c r="D174" s="44">
        <v>4.0329336181195398E-3</v>
      </c>
      <c r="E174" s="44">
        <v>1.2098800854358618E-2</v>
      </c>
      <c r="G174" t="s">
        <v>796</v>
      </c>
      <c r="H174" t="s">
        <v>883</v>
      </c>
    </row>
    <row r="175" spans="3:8">
      <c r="C175" s="44" t="s">
        <v>710</v>
      </c>
      <c r="D175" s="44">
        <v>1.7502519032994975E-3</v>
      </c>
      <c r="E175" s="44">
        <v>5.2507557098984926E-3</v>
      </c>
      <c r="G175" t="s">
        <v>797</v>
      </c>
      <c r="H175" t="s">
        <v>884</v>
      </c>
    </row>
    <row r="176" spans="3:8">
      <c r="C176" s="44" t="s">
        <v>711</v>
      </c>
      <c r="D176" s="44">
        <v>4.8104569948248695E-3</v>
      </c>
      <c r="E176" s="44">
        <v>1.4431370984474608E-2</v>
      </c>
      <c r="G176" t="s">
        <v>798</v>
      </c>
      <c r="H176" t="s">
        <v>885</v>
      </c>
    </row>
    <row r="177" spans="3:8">
      <c r="C177" s="44" t="s">
        <v>712</v>
      </c>
      <c r="D177" s="44">
        <v>6.9638541238372627E-3</v>
      </c>
      <c r="E177" s="44">
        <v>2.0891562371511789E-2</v>
      </c>
      <c r="G177" t="s">
        <v>799</v>
      </c>
      <c r="H177" t="s">
        <v>886</v>
      </c>
    </row>
    <row r="178" spans="3:8">
      <c r="C178" s="44" t="s">
        <v>713</v>
      </c>
      <c r="D178" s="44">
        <v>2.0130262286945323E-3</v>
      </c>
      <c r="E178" s="44">
        <v>6.0390786860835969E-3</v>
      </c>
      <c r="G178" t="s">
        <v>800</v>
      </c>
      <c r="H178" t="s">
        <v>887</v>
      </c>
    </row>
    <row r="179" spans="3:8">
      <c r="C179" s="44" t="s">
        <v>714</v>
      </c>
      <c r="D179" s="44">
        <v>2.7243662192074415E-3</v>
      </c>
      <c r="E179" s="44">
        <v>8.1730986576223231E-3</v>
      </c>
      <c r="G179" t="s">
        <v>801</v>
      </c>
      <c r="H179" t="s">
        <v>888</v>
      </c>
    </row>
    <row r="180" spans="3:8">
      <c r="C180" s="44" t="s">
        <v>715</v>
      </c>
      <c r="D180" s="44">
        <v>1.2997150723473708E-3</v>
      </c>
      <c r="E180" s="44">
        <v>3.8991452170421123E-3</v>
      </c>
      <c r="G180" t="s">
        <v>802</v>
      </c>
      <c r="H180" t="s">
        <v>889</v>
      </c>
    </row>
    <row r="181" spans="3:8">
      <c r="C181" s="44" t="s">
        <v>716</v>
      </c>
      <c r="D181" s="44">
        <v>2.4554275206580224E-3</v>
      </c>
      <c r="E181" s="44">
        <v>7.3662825619740671E-3</v>
      </c>
      <c r="G181" t="s">
        <v>803</v>
      </c>
      <c r="H181" t="s">
        <v>890</v>
      </c>
    </row>
    <row r="182" spans="3:8">
      <c r="C182" s="44" t="s">
        <v>717</v>
      </c>
      <c r="D182" s="44">
        <v>1.0194391836361109E-3</v>
      </c>
      <c r="E182" s="44">
        <v>3.0583175509083325E-3</v>
      </c>
      <c r="G182" t="s">
        <v>804</v>
      </c>
      <c r="H182" t="s">
        <v>891</v>
      </c>
    </row>
    <row r="183" spans="3:8">
      <c r="C183" s="44" t="s">
        <v>718</v>
      </c>
      <c r="D183" s="44">
        <v>2.2735307267652783E-3</v>
      </c>
      <c r="E183" s="44">
        <v>6.820592180295835E-3</v>
      </c>
      <c r="G183" t="s">
        <v>805</v>
      </c>
      <c r="H183" t="s">
        <v>892</v>
      </c>
    </row>
    <row r="184" spans="3:8">
      <c r="C184" s="44" t="s">
        <v>719</v>
      </c>
      <c r="D184" s="44">
        <v>2.9449026420353415E-2</v>
      </c>
      <c r="E184" s="44">
        <v>8.8347079261060252E-2</v>
      </c>
      <c r="G184" t="s">
        <v>806</v>
      </c>
      <c r="H184" t="s">
        <v>893</v>
      </c>
    </row>
    <row r="185" spans="3:8">
      <c r="C185" s="44" t="s">
        <v>720</v>
      </c>
      <c r="D185" s="44">
        <v>1.4025908145599021E-2</v>
      </c>
      <c r="E185" s="44">
        <v>4.2077724436797061E-2</v>
      </c>
      <c r="G185" t="s">
        <v>807</v>
      </c>
      <c r="H185" t="s">
        <v>894</v>
      </c>
    </row>
    <row r="186" spans="3:8">
      <c r="C186" s="44" t="s">
        <v>721</v>
      </c>
      <c r="D186" s="44">
        <v>5.4752774716494597E-3</v>
      </c>
      <c r="E186" s="44">
        <v>1.6425832414948379E-2</v>
      </c>
      <c r="G186" t="s">
        <v>808</v>
      </c>
      <c r="H186" t="s">
        <v>895</v>
      </c>
    </row>
    <row r="187" spans="3:8">
      <c r="C187" s="44" t="s">
        <v>722</v>
      </c>
      <c r="D187" s="44">
        <v>3.0217613845276814E-3</v>
      </c>
      <c r="E187" s="44">
        <v>9.0652841535830437E-3</v>
      </c>
      <c r="G187" t="s">
        <v>809</v>
      </c>
      <c r="H187" t="s">
        <v>896</v>
      </c>
    </row>
    <row r="188" spans="3:8">
      <c r="C188" s="44" t="s">
        <v>723</v>
      </c>
      <c r="D188" s="44">
        <v>3.5351246465242002E-3</v>
      </c>
      <c r="E188" s="44">
        <v>1.0605373939572602E-2</v>
      </c>
      <c r="G188" t="s">
        <v>810</v>
      </c>
      <c r="H188" t="s">
        <v>897</v>
      </c>
    </row>
    <row r="189" spans="3:8">
      <c r="C189" s="44" t="s">
        <v>724</v>
      </c>
      <c r="D189" s="44">
        <v>1.3283507360122159E-3</v>
      </c>
      <c r="E189" s="44">
        <v>3.985052208036648E-3</v>
      </c>
      <c r="G189" t="s">
        <v>811</v>
      </c>
      <c r="H189" t="s">
        <v>898</v>
      </c>
    </row>
    <row r="190" spans="3:8">
      <c r="C190" s="44" t="s">
        <v>725</v>
      </c>
      <c r="D190" s="44">
        <v>1.9496144211296638E-3</v>
      </c>
      <c r="E190" s="44">
        <v>5.8488432633889914E-3</v>
      </c>
      <c r="G190" t="s">
        <v>812</v>
      </c>
      <c r="H190" t="s">
        <v>899</v>
      </c>
    </row>
    <row r="191" spans="3:8">
      <c r="C191" s="44" t="s">
        <v>726</v>
      </c>
      <c r="D191" s="44">
        <v>6.1002445592433785E-3</v>
      </c>
      <c r="E191" s="44">
        <v>1.8300733677730135E-2</v>
      </c>
      <c r="G191" t="s">
        <v>813</v>
      </c>
      <c r="H191" t="s">
        <v>900</v>
      </c>
    </row>
    <row r="192" spans="3:8">
      <c r="C192" s="44" t="s">
        <v>727</v>
      </c>
      <c r="D192" s="44">
        <v>2.4823190012210456E-3</v>
      </c>
      <c r="E192" s="44">
        <v>7.4469570036631363E-3</v>
      </c>
      <c r="G192" t="s">
        <v>814</v>
      </c>
      <c r="H192" t="s">
        <v>901</v>
      </c>
    </row>
    <row r="193" spans="3:14">
      <c r="C193" s="44" t="s">
        <v>728</v>
      </c>
      <c r="D193" s="44">
        <v>3.3410663567571062E-3</v>
      </c>
      <c r="E193" s="44">
        <v>1.0023199070271318E-2</v>
      </c>
      <c r="G193" t="s">
        <v>815</v>
      </c>
      <c r="H193" t="s">
        <v>902</v>
      </c>
    </row>
    <row r="194" spans="3:14">
      <c r="C194" s="44" t="s">
        <v>729</v>
      </c>
      <c r="D194" s="44">
        <v>6.8988414906857908E-4</v>
      </c>
      <c r="E194" s="44">
        <v>2.0696524472057372E-3</v>
      </c>
      <c r="G194" t="s">
        <v>816</v>
      </c>
      <c r="H194" t="s">
        <v>903</v>
      </c>
    </row>
    <row r="195" spans="3:14">
      <c r="C195" s="44" t="s">
        <v>730</v>
      </c>
      <c r="D195" s="44">
        <v>5.656887550511767E-4</v>
      </c>
      <c r="E195" s="44">
        <v>1.6970662651535301E-3</v>
      </c>
      <c r="G195" t="s">
        <v>817</v>
      </c>
      <c r="H195" t="s">
        <v>904</v>
      </c>
    </row>
    <row r="196" spans="3:14">
      <c r="C196" s="44" t="s">
        <v>731</v>
      </c>
      <c r="D196" s="44">
        <v>1.0196494413250975E-2</v>
      </c>
      <c r="E196" s="44">
        <v>3.0589483239752926E-2</v>
      </c>
      <c r="G196" t="s">
        <v>818</v>
      </c>
      <c r="H196" t="s">
        <v>905</v>
      </c>
    </row>
    <row r="197" spans="3:14">
      <c r="C197" s="44" t="s">
        <v>732</v>
      </c>
      <c r="D197" s="44">
        <v>2.3002669033534815E-3</v>
      </c>
      <c r="E197" s="44">
        <v>6.9008007100604448E-3</v>
      </c>
      <c r="G197" t="s">
        <v>819</v>
      </c>
      <c r="H197" t="s">
        <v>906</v>
      </c>
    </row>
    <row r="198" spans="3:14">
      <c r="C198" s="44" t="s">
        <v>733</v>
      </c>
      <c r="D198" s="44">
        <v>3.3000900003238953E-3</v>
      </c>
      <c r="E198" s="44">
        <v>9.9002700009716855E-3</v>
      </c>
      <c r="G198" t="s">
        <v>820</v>
      </c>
      <c r="H198" t="s">
        <v>907</v>
      </c>
    </row>
    <row r="199" spans="3:14">
      <c r="C199" s="44" t="s">
        <v>734</v>
      </c>
      <c r="D199" s="44">
        <v>1.3613826968104181E-3</v>
      </c>
      <c r="E199" s="44">
        <v>4.0841480904312546E-3</v>
      </c>
      <c r="G199" t="s">
        <v>821</v>
      </c>
      <c r="H199" t="s">
        <v>908</v>
      </c>
    </row>
    <row r="200" spans="3:14">
      <c r="C200" s="44" t="s">
        <v>735</v>
      </c>
      <c r="D200" s="44">
        <v>8.5022952984017952E-5</v>
      </c>
      <c r="E200" s="44">
        <v>2.5506885895205386E-4</v>
      </c>
      <c r="G200" t="s">
        <v>822</v>
      </c>
      <c r="H200" t="s">
        <v>909</v>
      </c>
    </row>
    <row r="201" spans="3:14">
      <c r="C201" s="44" t="s">
        <v>736</v>
      </c>
      <c r="D201" s="44">
        <v>5.7285902010400904E-3</v>
      </c>
      <c r="E201" s="44">
        <v>1.7185770603120272E-2</v>
      </c>
      <c r="G201" t="s">
        <v>823</v>
      </c>
      <c r="H201" t="s">
        <v>910</v>
      </c>
    </row>
    <row r="202" spans="3:14">
      <c r="C202" s="44" t="s">
        <v>737</v>
      </c>
      <c r="D202" s="44">
        <v>5.3182412601874814E-3</v>
      </c>
      <c r="E202" s="44">
        <v>1.5954723780562442E-2</v>
      </c>
      <c r="G202" t="s">
        <v>824</v>
      </c>
      <c r="H202" t="s">
        <v>911</v>
      </c>
    </row>
    <row r="203" spans="3:14">
      <c r="C203" s="44" t="s">
        <v>738</v>
      </c>
      <c r="D203" s="44">
        <v>1.2332569175841144E-3</v>
      </c>
      <c r="E203" s="44">
        <v>3.6997707527523433E-3</v>
      </c>
      <c r="G203" t="s">
        <v>825</v>
      </c>
      <c r="H203" t="s">
        <v>912</v>
      </c>
    </row>
    <row r="204" spans="3:14">
      <c r="C204" s="44" t="s">
        <v>739</v>
      </c>
      <c r="D204" s="44">
        <v>8.4466247966587271E-4</v>
      </c>
      <c r="E204" s="44">
        <v>2.5339874389976183E-3</v>
      </c>
      <c r="G204" t="s">
        <v>826</v>
      </c>
      <c r="H204" t="s">
        <v>913</v>
      </c>
      <c r="M204">
        <v>6.0581700000000003E-4</v>
      </c>
      <c r="N204">
        <v>1.8174504999999999E-3</v>
      </c>
    </row>
    <row r="205" spans="3:14">
      <c r="C205" s="44" t="s">
        <v>740</v>
      </c>
      <c r="D205" s="44">
        <v>8.5022952984017952E-5</v>
      </c>
      <c r="E205" s="44">
        <v>2.5506885895205386E-4</v>
      </c>
      <c r="G205" t="s">
        <v>827</v>
      </c>
      <c r="H205" t="s">
        <v>909</v>
      </c>
      <c r="M205">
        <f>M204/2</f>
        <v>3.0290850000000002E-4</v>
      </c>
      <c r="N205">
        <f>N204/2</f>
        <v>9.0872524999999996E-4</v>
      </c>
    </row>
    <row r="206" spans="3:14">
      <c r="C206" s="44" t="s">
        <v>741</v>
      </c>
      <c r="D206" s="44">
        <v>4.1521114991043039E-4</v>
      </c>
      <c r="E206" s="44">
        <v>1.2456334497312912E-3</v>
      </c>
      <c r="G206" t="s">
        <v>828</v>
      </c>
      <c r="H206" t="s">
        <v>914</v>
      </c>
    </row>
    <row r="207" spans="3:14">
      <c r="C207" s="44" t="s">
        <v>742</v>
      </c>
      <c r="D207" s="44">
        <v>5.6193756673629947E-4</v>
      </c>
      <c r="E207" s="44">
        <v>1.6858127002088981E-3</v>
      </c>
      <c r="G207" t="s">
        <v>829</v>
      </c>
      <c r="H207" t="s">
        <v>915</v>
      </c>
    </row>
    <row r="208" spans="3:14">
      <c r="C208" s="44" t="s">
        <v>743</v>
      </c>
      <c r="D208" s="44">
        <v>1.2116338257053653E-3</v>
      </c>
      <c r="E208" s="44">
        <v>3.634901477116096E-3</v>
      </c>
      <c r="G208" t="s">
        <v>830</v>
      </c>
      <c r="H208" t="s">
        <v>916</v>
      </c>
    </row>
    <row r="209" spans="3:14">
      <c r="C209" s="44" t="s">
        <v>744</v>
      </c>
      <c r="D209" s="44">
        <v>1.3559733399028504E-2</v>
      </c>
      <c r="E209" s="44">
        <v>4.0679200197085513E-2</v>
      </c>
      <c r="G209" t="s">
        <v>831</v>
      </c>
      <c r="H209" t="s">
        <v>917</v>
      </c>
      <c r="K209">
        <v>1.3559732999999999E-2</v>
      </c>
      <c r="L209">
        <v>4.0679199999999999E-2</v>
      </c>
      <c r="M209">
        <f>K209/2</f>
        <v>6.7798664999999996E-3</v>
      </c>
      <c r="N209">
        <f>L209/2</f>
        <v>2.0339599999999999E-2</v>
      </c>
    </row>
    <row r="210" spans="3:14">
      <c r="C210" s="44" t="s">
        <v>745</v>
      </c>
      <c r="D210" s="44">
        <v>2.0378055752000065E-2</v>
      </c>
      <c r="E210" s="44">
        <v>6.1134167256000183E-2</v>
      </c>
      <c r="G210" t="s">
        <v>832</v>
      </c>
      <c r="H210" t="s">
        <v>918</v>
      </c>
      <c r="M210">
        <f>M209/2</f>
        <v>3.3899332499999998E-3</v>
      </c>
      <c r="N210">
        <f>N209/2</f>
        <v>1.01698E-2</v>
      </c>
    </row>
    <row r="211" spans="3:14">
      <c r="C211" s="44" t="s">
        <v>746</v>
      </c>
      <c r="D211" s="44">
        <v>3.8442512351731322E-3</v>
      </c>
      <c r="E211" s="44">
        <v>1.1532753705519396E-2</v>
      </c>
      <c r="G211" t="s">
        <v>833</v>
      </c>
      <c r="H211" t="s">
        <v>919</v>
      </c>
      <c r="M211">
        <f>M210/2</f>
        <v>1.6949666249999999E-3</v>
      </c>
      <c r="N211">
        <f>N210/2</f>
        <v>5.0848999999999998E-3</v>
      </c>
    </row>
    <row r="212" spans="3:14">
      <c r="C212" s="44" t="s">
        <v>747</v>
      </c>
      <c r="D212" s="44">
        <v>5.2550803282742425E-3</v>
      </c>
      <c r="E212" s="44">
        <v>1.576524098482273E-2</v>
      </c>
      <c r="G212" t="s">
        <v>834</v>
      </c>
      <c r="H212" t="s">
        <v>920</v>
      </c>
    </row>
    <row r="213" spans="3:14">
      <c r="C213" s="44" t="s">
        <v>748</v>
      </c>
      <c r="D213" s="44">
        <v>3.4003327428402483E-3</v>
      </c>
      <c r="E213" s="44">
        <v>1.0200998228520745E-2</v>
      </c>
      <c r="G213" t="s">
        <v>835</v>
      </c>
      <c r="H213" t="s">
        <v>921</v>
      </c>
    </row>
    <row r="214" spans="3:14">
      <c r="C214" s="44" t="s">
        <v>749</v>
      </c>
      <c r="D214" s="44">
        <v>6.287278330764777E-3</v>
      </c>
      <c r="E214" s="44">
        <v>1.8861834992294331E-2</v>
      </c>
      <c r="G214" t="s">
        <v>836</v>
      </c>
      <c r="H214" t="s">
        <v>922</v>
      </c>
    </row>
    <row r="215" spans="3:14">
      <c r="C215" s="44" t="s">
        <v>750</v>
      </c>
      <c r="D215" s="44">
        <v>3.3848859705754852E-3</v>
      </c>
      <c r="E215" s="44">
        <v>1.0154657911726456E-2</v>
      </c>
      <c r="G215" t="s">
        <v>837</v>
      </c>
      <c r="H215" t="s">
        <v>923</v>
      </c>
    </row>
    <row r="216" spans="3:14">
      <c r="C216" s="44" t="s">
        <v>751</v>
      </c>
      <c r="D216" s="44">
        <v>3.4336753115880932E-3</v>
      </c>
      <c r="E216" s="44">
        <v>1.030102593476428E-2</v>
      </c>
      <c r="G216" t="s">
        <v>838</v>
      </c>
      <c r="H216" t="s">
        <v>924</v>
      </c>
    </row>
    <row r="217" spans="3:14">
      <c r="C217" s="44" t="s">
        <v>752</v>
      </c>
      <c r="D217" s="44">
        <v>1.0169304271197925E-3</v>
      </c>
      <c r="E217" s="44">
        <v>3.0507912813593774E-3</v>
      </c>
      <c r="G217" t="s">
        <v>839</v>
      </c>
      <c r="H217" t="s">
        <v>925</v>
      </c>
    </row>
    <row r="218" spans="3:14">
      <c r="C218" s="44" t="s">
        <v>753</v>
      </c>
      <c r="D218" s="44">
        <v>1.2871115574677706E-3</v>
      </c>
      <c r="E218" s="44">
        <v>3.861334672403312E-3</v>
      </c>
      <c r="G218" t="s">
        <v>840</v>
      </c>
      <c r="H218" t="s">
        <v>926</v>
      </c>
    </row>
    <row r="219" spans="3:14">
      <c r="C219" s="44" t="s">
        <v>754</v>
      </c>
      <c r="D219" s="44">
        <v>1.7719944597742654E-3</v>
      </c>
      <c r="E219" s="44">
        <v>5.3159833793227961E-3</v>
      </c>
      <c r="G219" t="s">
        <v>841</v>
      </c>
      <c r="H219" t="s">
        <v>927</v>
      </c>
    </row>
    <row r="220" spans="3:14">
      <c r="C220" s="44" t="s">
        <v>755</v>
      </c>
      <c r="D220" s="44">
        <v>4.9273172626469579E-4</v>
      </c>
      <c r="E220" s="44">
        <v>1.4781951787940875E-3</v>
      </c>
      <c r="G220" t="s">
        <v>842</v>
      </c>
      <c r="H220" t="s">
        <v>928</v>
      </c>
    </row>
    <row r="221" spans="3:14">
      <c r="C221" s="44" t="s">
        <v>756</v>
      </c>
      <c r="D221" s="44">
        <v>6.77985475305465E-4</v>
      </c>
      <c r="E221" s="44">
        <v>2.0339564259163954E-3</v>
      </c>
      <c r="G221" t="s">
        <v>843</v>
      </c>
      <c r="H221" t="s">
        <v>929</v>
      </c>
    </row>
    <row r="222" spans="3:14">
      <c r="C222" s="44" t="s">
        <v>757</v>
      </c>
      <c r="D222" s="44">
        <v>3.6171490381482368E-3</v>
      </c>
      <c r="E222" s="44">
        <v>1.0851447114444711E-2</v>
      </c>
      <c r="G222" t="s">
        <v>844</v>
      </c>
      <c r="H222" t="s">
        <v>930</v>
      </c>
    </row>
    <row r="223" spans="3:14">
      <c r="C223" s="44" t="s">
        <v>758</v>
      </c>
      <c r="D223" s="44">
        <v>3.2683124177838511E-3</v>
      </c>
      <c r="E223" s="44">
        <v>9.804937253351553E-3</v>
      </c>
      <c r="G223" t="s">
        <v>845</v>
      </c>
      <c r="H223" t="s">
        <v>931</v>
      </c>
    </row>
    <row r="224" spans="3:14">
      <c r="C224" s="44" t="s">
        <v>759</v>
      </c>
      <c r="D224" s="44">
        <v>1.6746547069410786E-3</v>
      </c>
      <c r="E224" s="44">
        <v>5.0239641208232357E-3</v>
      </c>
      <c r="G224" t="s">
        <v>846</v>
      </c>
      <c r="H224" t="s">
        <v>932</v>
      </c>
    </row>
    <row r="225" spans="3:11">
      <c r="H225" t="s">
        <v>933</v>
      </c>
    </row>
    <row r="230" spans="3:11">
      <c r="C230" t="s">
        <v>315</v>
      </c>
      <c r="D230" t="s">
        <v>316</v>
      </c>
      <c r="E230" t="s">
        <v>936</v>
      </c>
      <c r="F230" t="s">
        <v>937</v>
      </c>
      <c r="G230" t="s">
        <v>938</v>
      </c>
    </row>
    <row r="231" spans="3:11">
      <c r="C231" s="11" t="s">
        <v>625</v>
      </c>
      <c r="D231" s="11">
        <v>6.862333455206239E-4</v>
      </c>
      <c r="E231" s="11">
        <v>1.3123826909022378E-2</v>
      </c>
      <c r="F231" s="11">
        <v>3.9371480727067136E-2</v>
      </c>
      <c r="G231" s="13">
        <f>Table12[[#This Row],[Column2]]/$D$241</f>
        <v>3.2336968626863381E-2</v>
      </c>
      <c r="J231">
        <f>684.12</f>
        <v>684.12</v>
      </c>
      <c r="K231">
        <f>J231*Table12[[#This Row],[Column41]]</f>
        <v>22.122366977009776</v>
      </c>
    </row>
    <row r="232" spans="3:11">
      <c r="C232" s="11" t="s">
        <v>627</v>
      </c>
      <c r="D232" s="11">
        <v>4.9550315915133513E-4</v>
      </c>
      <c r="E232" s="11">
        <v>9.4762193298000459E-3</v>
      </c>
      <c r="F232" s="11">
        <v>2.8428657989400138E-2</v>
      </c>
      <c r="G232" s="13">
        <f>Table12[[#This Row],[Column2]]/$D$241</f>
        <v>2.3349302706694049E-2</v>
      </c>
      <c r="J232">
        <f>712.18</f>
        <v>712.18</v>
      </c>
      <c r="K232">
        <f>J232*Table12[[#This Row],[Column41]]</f>
        <v>16.628906401653367</v>
      </c>
    </row>
    <row r="233" spans="3:11">
      <c r="C233" s="11" t="s">
        <v>628</v>
      </c>
      <c r="D233" s="11">
        <v>4.7032264941588827E-4</v>
      </c>
      <c r="E233" s="11">
        <v>8.9946562384608381E-3</v>
      </c>
      <c r="F233" s="11">
        <v>2.6983968715382514E-2</v>
      </c>
      <c r="G233" s="13">
        <f>Table12[[#This Row],[Column2]]/$D$241</f>
        <v>2.2162736418945648E-2</v>
      </c>
      <c r="J233">
        <f>666.11</f>
        <v>666.11</v>
      </c>
      <c r="K233">
        <f>J233*Table12[[#This Row],[Column41]]</f>
        <v>14.762820356023886</v>
      </c>
    </row>
    <row r="234" spans="3:11">
      <c r="C234" s="11" t="s">
        <v>630</v>
      </c>
      <c r="D234" s="11">
        <v>4.9550315915133513E-4</v>
      </c>
      <c r="E234" s="11">
        <v>9.4762193298000459E-3</v>
      </c>
      <c r="F234" s="11">
        <v>2.8428657989400138E-2</v>
      </c>
      <c r="G234" s="13">
        <f>Table12[[#This Row],[Column2]]/$D$241</f>
        <v>2.3349302706694049E-2</v>
      </c>
      <c r="J234">
        <v>712.18</v>
      </c>
      <c r="K234">
        <f>J234*Table12[[#This Row],[Column41]]</f>
        <v>16.628906401653367</v>
      </c>
    </row>
    <row r="235" spans="3:11">
      <c r="C235" s="11" t="s">
        <v>633</v>
      </c>
      <c r="D235" s="11">
        <v>7.9093728531932491E-5</v>
      </c>
      <c r="E235" s="11">
        <v>1.5126230889505651E-3</v>
      </c>
      <c r="F235" s="11">
        <v>4.5378692668516952E-3</v>
      </c>
      <c r="G235" s="13">
        <f>Table12[[#This Row],[Column2]]/$D$241</f>
        <v>3.7270870540083408E-3</v>
      </c>
      <c r="J235">
        <v>652.13</v>
      </c>
      <c r="K235">
        <f>J235*Table12[[#This Row],[Column41]]</f>
        <v>2.4305452805304593</v>
      </c>
    </row>
    <row r="236" spans="3:11">
      <c r="C236" s="11" t="s">
        <v>634</v>
      </c>
      <c r="D236" s="11">
        <v>1.0252678537333805E-4</v>
      </c>
      <c r="E236" s="11">
        <v>1.9607671261695297E-3</v>
      </c>
      <c r="F236" s="11">
        <v>5.8823013785085886E-3</v>
      </c>
      <c r="G236" s="13">
        <f>Table12[[#This Row],[Column2]]/$D$241</f>
        <v>4.8313091511393881E-3</v>
      </c>
      <c r="J236">
        <v>680.18</v>
      </c>
      <c r="K236">
        <f>J236*Table12[[#This Row],[Column41]]</f>
        <v>3.2861598584219887</v>
      </c>
    </row>
    <row r="237" spans="3:11">
      <c r="C237" s="11" t="s">
        <v>637</v>
      </c>
      <c r="D237" s="11">
        <v>3.4507897642001403E-4</v>
      </c>
      <c r="E237" s="11">
        <v>6.5994414087281808E-3</v>
      </c>
      <c r="F237" s="11">
        <v>1.9798324226184542E-2</v>
      </c>
      <c r="G237" s="13">
        <f>Table12[[#This Row],[Column2]]/$D$241</f>
        <v>1.6260952789780684E-2</v>
      </c>
      <c r="J237">
        <v>668.13</v>
      </c>
      <c r="K237">
        <f>J237*Table12[[#This Row],[Column41]]</f>
        <v>10.864430387436169</v>
      </c>
    </row>
    <row r="238" spans="3:11">
      <c r="C238" s="11" t="s">
        <v>638</v>
      </c>
      <c r="D238" s="11">
        <v>5.5812499564927213E-4</v>
      </c>
      <c r="E238" s="11">
        <v>1.0673826744666373E-2</v>
      </c>
      <c r="F238" s="11">
        <v>3.2021480233999117E-2</v>
      </c>
      <c r="G238" s="13">
        <f>Table12[[#This Row],[Column2]]/$D$241</f>
        <v>2.6300194521276524E-2</v>
      </c>
      <c r="J238">
        <v>696.18</v>
      </c>
      <c r="K238">
        <f>J238*Table12[[#This Row],[Column41]]</f>
        <v>18.309669421822289</v>
      </c>
    </row>
    <row r="239" spans="3:11">
      <c r="C239" s="11" t="s">
        <v>639</v>
      </c>
      <c r="D239" s="11">
        <v>7.0983828297455803E-4</v>
      </c>
      <c r="E239" s="11">
        <v>1.3575258066318742E-2</v>
      </c>
      <c r="F239" s="11">
        <v>4.0725774198956226E-2</v>
      </c>
      <c r="G239" s="13">
        <f>Table12[[#This Row],[Column2]]/$D$241</f>
        <v>3.3449290152579733E-2</v>
      </c>
      <c r="J239">
        <v>724.23</v>
      </c>
      <c r="K239">
        <f>J239*Table12[[#This Row],[Column41]]</f>
        <v>24.22497940720282</v>
      </c>
    </row>
    <row r="240" spans="3:11">
      <c r="C240" s="11" t="s">
        <v>642</v>
      </c>
      <c r="D240" s="11">
        <v>1.7279100683967392E-2</v>
      </c>
      <c r="E240" s="11">
        <v>0.33045308567440196</v>
      </c>
      <c r="F240" s="11">
        <v>0.99135925702320593</v>
      </c>
      <c r="G240" s="13">
        <f>Table12[[#This Row],[Column2]]/$D$241</f>
        <v>0.81423285587201832</v>
      </c>
      <c r="J240">
        <v>551.91999999999996</v>
      </c>
      <c r="K240">
        <f>J240*Table12[[#This Row],[Column41]]</f>
        <v>449.39139781288429</v>
      </c>
    </row>
    <row r="241" spans="3:11">
      <c r="D241">
        <f>SUM(D231:D240)</f>
        <v>2.1221325766155687E-2</v>
      </c>
      <c r="E241">
        <v>0.5</v>
      </c>
      <c r="F241">
        <v>1.5</v>
      </c>
      <c r="G241">
        <f>Table12[[#This Row],[Column2]]/$D$241</f>
        <v>1</v>
      </c>
      <c r="K241">
        <f>SUM(K231:K240)</f>
        <v>578.65018230463841</v>
      </c>
    </row>
    <row r="242" spans="3:11">
      <c r="D242">
        <v>4.5513355968673168E-2</v>
      </c>
      <c r="E242">
        <v>0</v>
      </c>
      <c r="F242">
        <v>0</v>
      </c>
      <c r="G242">
        <f>Table12[[#This Row],[Column2]]/$D$241</f>
        <v>2.144698991486151</v>
      </c>
    </row>
    <row r="243" spans="3:11">
      <c r="D243">
        <v>100.00000000000003</v>
      </c>
      <c r="E243">
        <v>0</v>
      </c>
      <c r="F243">
        <v>0</v>
      </c>
      <c r="G243">
        <f>Table12[[#This Row],[Column2]]/$D$241</f>
        <v>4712.2409364019368</v>
      </c>
    </row>
    <row r="244" spans="3:11">
      <c r="D244">
        <v>98.24531809982264</v>
      </c>
      <c r="E244">
        <v>0</v>
      </c>
      <c r="F244">
        <v>0</v>
      </c>
      <c r="G244">
        <f>Table12[[#This Row],[Column2]]/$D$241</f>
        <v>4629.5560975981425</v>
      </c>
    </row>
    <row r="245" spans="3:11">
      <c r="D245">
        <v>1</v>
      </c>
      <c r="E245">
        <v>0</v>
      </c>
      <c r="F245">
        <v>0</v>
      </c>
      <c r="G245">
        <f>Table12[[#This Row],[Column2]]/$D$241</f>
        <v>47.122409364019354</v>
      </c>
    </row>
    <row r="249" spans="3:11">
      <c r="C249" t="s">
        <v>315</v>
      </c>
      <c r="D249" t="s">
        <v>934</v>
      </c>
      <c r="E249" t="s">
        <v>935</v>
      </c>
    </row>
    <row r="250" spans="3:11">
      <c r="C250" s="11" t="s">
        <v>564</v>
      </c>
      <c r="D250">
        <v>0.21936708860759496</v>
      </c>
      <c r="E250">
        <v>0.65810126582278494</v>
      </c>
    </row>
    <row r="251" spans="3:11">
      <c r="C251" s="11" t="s">
        <v>565</v>
      </c>
      <c r="D251">
        <v>1.4338928232866782E-2</v>
      </c>
      <c r="E251">
        <v>4.3016784698600347E-2</v>
      </c>
    </row>
    <row r="252" spans="3:11">
      <c r="C252" s="11" t="s">
        <v>566</v>
      </c>
      <c r="D252">
        <v>0.11828138069480847</v>
      </c>
      <c r="E252">
        <v>0.35484414208442538</v>
      </c>
      <c r="G252" t="s">
        <v>939</v>
      </c>
    </row>
    <row r="253" spans="3:11">
      <c r="C253" s="11" t="s">
        <v>567</v>
      </c>
      <c r="D253">
        <v>3.5072770869347007E-2</v>
      </c>
      <c r="E253">
        <v>0.10521831260804101</v>
      </c>
      <c r="G253" t="s">
        <v>940</v>
      </c>
    </row>
    <row r="254" spans="3:11">
      <c r="C254" s="11" t="s">
        <v>568</v>
      </c>
      <c r="D254">
        <v>5.5540065800479561E-3</v>
      </c>
      <c r="E254">
        <v>1.666201974014387E-2</v>
      </c>
      <c r="G254" t="s">
        <v>941</v>
      </c>
    </row>
    <row r="255" spans="3:11">
      <c r="C255" s="11" t="s">
        <v>569</v>
      </c>
      <c r="D255">
        <v>2.5851781631628839E-3</v>
      </c>
      <c r="E255">
        <v>7.7555344894886516E-3</v>
      </c>
      <c r="G255" t="s">
        <v>942</v>
      </c>
    </row>
    <row r="256" spans="3:11">
      <c r="C256" s="11" t="s">
        <v>570</v>
      </c>
      <c r="D256">
        <v>4.5748062231639993E-3</v>
      </c>
      <c r="E256">
        <v>1.3724418669491999E-2</v>
      </c>
    </row>
    <row r="257" spans="3:17">
      <c r="C257" s="11" t="s">
        <v>571</v>
      </c>
      <c r="D257">
        <v>2.3403780739418949E-3</v>
      </c>
      <c r="E257">
        <v>7.0211342218256846E-3</v>
      </c>
      <c r="G257" t="s">
        <v>941</v>
      </c>
    </row>
    <row r="258" spans="3:17">
      <c r="C258" s="11" t="s">
        <v>572</v>
      </c>
      <c r="D258">
        <v>1.7560363575531143E-2</v>
      </c>
      <c r="E258">
        <v>5.2681090726593424E-2</v>
      </c>
    </row>
    <row r="259" spans="3:17">
      <c r="C259" s="11" t="s">
        <v>573</v>
      </c>
      <c r="D259">
        <v>4.3952489823230911E-2</v>
      </c>
      <c r="E259">
        <v>0.13185746946969273</v>
      </c>
    </row>
    <row r="260" spans="3:17">
      <c r="C260" s="11" t="s">
        <v>574</v>
      </c>
      <c r="D260">
        <v>2.0621201137567616E-3</v>
      </c>
      <c r="E260">
        <v>6.1863603412702847E-3</v>
      </c>
    </row>
    <row r="261" spans="3:17">
      <c r="C261" s="11" t="s">
        <v>575</v>
      </c>
      <c r="D261">
        <v>1.3734456030781242E-3</v>
      </c>
      <c r="E261">
        <v>4.1203368092343727E-3</v>
      </c>
    </row>
    <row r="262" spans="3:17">
      <c r="C262" t="s">
        <v>576</v>
      </c>
      <c r="D262">
        <v>2.9142920872135169E-2</v>
      </c>
      <c r="E262">
        <v>8.7428762616405503E-2</v>
      </c>
    </row>
    <row r="263" spans="3:17">
      <c r="C263" s="11" t="s">
        <v>577</v>
      </c>
      <c r="D263">
        <v>2.4290414319968773E-3</v>
      </c>
      <c r="E263">
        <v>7.287124295990632E-3</v>
      </c>
      <c r="G263" t="s">
        <v>943</v>
      </c>
    </row>
    <row r="264" spans="3:17">
      <c r="D264">
        <v>0.5</v>
      </c>
      <c r="E264">
        <v>1.5</v>
      </c>
    </row>
    <row r="265" spans="3:17">
      <c r="D265">
        <v>0</v>
      </c>
      <c r="E265">
        <v>0</v>
      </c>
    </row>
    <row r="266" spans="3:17">
      <c r="D266">
        <v>0</v>
      </c>
      <c r="E266">
        <v>0</v>
      </c>
    </row>
    <row r="267" spans="3:17">
      <c r="D267">
        <v>0</v>
      </c>
      <c r="E267">
        <v>0</v>
      </c>
    </row>
    <row r="268" spans="3:17">
      <c r="D268">
        <v>0</v>
      </c>
      <c r="E268">
        <v>0</v>
      </c>
    </row>
    <row r="271" spans="3:17">
      <c r="H271" t="s">
        <v>946</v>
      </c>
      <c r="I271" t="s">
        <v>947</v>
      </c>
      <c r="J271" t="s">
        <v>199</v>
      </c>
      <c r="K271" t="s">
        <v>948</v>
      </c>
      <c r="L271">
        <v>1</v>
      </c>
    </row>
    <row r="272" spans="3:17">
      <c r="H272" t="s">
        <v>949</v>
      </c>
      <c r="I272" t="s">
        <v>950</v>
      </c>
      <c r="J272" s="11" t="s">
        <v>951</v>
      </c>
      <c r="K272" t="s">
        <v>948</v>
      </c>
      <c r="L272" s="56">
        <v>-7.5000000000000002E-4</v>
      </c>
      <c r="M272" t="s">
        <v>644</v>
      </c>
      <c r="N272" t="str">
        <f>SUBSTITUTE(J272,"cc","ts")</f>
        <v>dgts181y226</v>
      </c>
      <c r="O272" t="str">
        <f>SUBSTITUTE(J272,"cc","hs")</f>
        <v>dghs181y226</v>
      </c>
      <c r="Q272" t="s">
        <v>1067</v>
      </c>
    </row>
    <row r="273" spans="3:17">
      <c r="H273" t="s">
        <v>952</v>
      </c>
      <c r="I273" t="s">
        <v>953</v>
      </c>
      <c r="J273" s="11" t="s">
        <v>954</v>
      </c>
      <c r="K273" t="s">
        <v>948</v>
      </c>
      <c r="L273">
        <v>-1.7799999999999999E-3</v>
      </c>
      <c r="N273" t="str">
        <f t="shared" ref="N273:N315" si="29">SUBSTITUTE(J273,"cc","ts")</f>
        <v>dgts160181y</v>
      </c>
      <c r="O273" t="str">
        <f t="shared" ref="O273:O315" si="30">SUBSTITUTE(J273,"cc","hs")</f>
        <v>dghs160181y</v>
      </c>
      <c r="Q273" t="s">
        <v>1068</v>
      </c>
    </row>
    <row r="274" spans="3:17">
      <c r="C274" t="s">
        <v>315</v>
      </c>
      <c r="D274" t="s">
        <v>934</v>
      </c>
      <c r="E274" t="s">
        <v>935</v>
      </c>
      <c r="H274" t="s">
        <v>955</v>
      </c>
      <c r="I274" t="s">
        <v>956</v>
      </c>
      <c r="J274" s="11" t="s">
        <v>957</v>
      </c>
      <c r="K274" t="s">
        <v>948</v>
      </c>
      <c r="L274">
        <v>-8.4399999999999996E-3</v>
      </c>
      <c r="N274" t="str">
        <f t="shared" si="29"/>
        <v>dgts161226</v>
      </c>
      <c r="O274" t="str">
        <f t="shared" si="30"/>
        <v>dghs161226</v>
      </c>
      <c r="Q274" t="s">
        <v>1069</v>
      </c>
    </row>
    <row r="275" spans="3:17">
      <c r="C275" t="s">
        <v>578</v>
      </c>
      <c r="D275">
        <v>1.7946738423870279E-3</v>
      </c>
      <c r="E275">
        <v>5.3840215271610831E-3</v>
      </c>
      <c r="H275" t="s">
        <v>958</v>
      </c>
      <c r="I275" t="s">
        <v>959</v>
      </c>
      <c r="J275" s="11" t="s">
        <v>960</v>
      </c>
      <c r="K275" t="s">
        <v>948</v>
      </c>
      <c r="L275">
        <v>-0.11487</v>
      </c>
      <c r="N275" t="str">
        <f t="shared" si="29"/>
        <v>dgts160205</v>
      </c>
      <c r="O275" t="str">
        <f t="shared" si="30"/>
        <v>dghs160205</v>
      </c>
      <c r="Q275" t="s">
        <v>1070</v>
      </c>
    </row>
    <row r="276" spans="3:17">
      <c r="C276" t="s">
        <v>579</v>
      </c>
      <c r="D276">
        <v>2.902492610822783E-3</v>
      </c>
      <c r="E276">
        <v>8.7074778324683494E-3</v>
      </c>
      <c r="H276" t="s">
        <v>961</v>
      </c>
      <c r="I276" t="s">
        <v>953</v>
      </c>
      <c r="J276" s="11" t="s">
        <v>962</v>
      </c>
      <c r="K276" t="s">
        <v>948</v>
      </c>
      <c r="L276">
        <v>-2.5870000000000001E-2</v>
      </c>
      <c r="N276" t="str">
        <f t="shared" si="29"/>
        <v>dgts181y160</v>
      </c>
      <c r="O276" t="str">
        <f t="shared" si="30"/>
        <v>dghs181y160</v>
      </c>
      <c r="Q276" t="s">
        <v>1071</v>
      </c>
    </row>
    <row r="277" spans="3:17">
      <c r="C277" t="s">
        <v>580</v>
      </c>
      <c r="D277">
        <v>1.7935582142214331E-3</v>
      </c>
      <c r="E277">
        <v>5.3806746426642996E-3</v>
      </c>
      <c r="H277" t="s">
        <v>963</v>
      </c>
      <c r="I277" t="s">
        <v>964</v>
      </c>
      <c r="J277" s="11" t="s">
        <v>965</v>
      </c>
      <c r="K277" t="s">
        <v>948</v>
      </c>
      <c r="L277" s="56">
        <v>-8.9999999999999998E-4</v>
      </c>
      <c r="N277" t="str">
        <f t="shared" si="29"/>
        <v>dgts140183y</v>
      </c>
      <c r="O277" t="str">
        <f t="shared" si="30"/>
        <v>dghs140183y</v>
      </c>
      <c r="Q277" t="s">
        <v>1072</v>
      </c>
    </row>
    <row r="278" spans="3:17">
      <c r="C278" t="s">
        <v>581</v>
      </c>
      <c r="D278">
        <v>5.9615450408840535E-3</v>
      </c>
      <c r="E278">
        <v>1.7884635122652162E-2</v>
      </c>
      <c r="H278" t="s">
        <v>966</v>
      </c>
      <c r="I278" t="s">
        <v>967</v>
      </c>
      <c r="J278" s="11" t="s">
        <v>968</v>
      </c>
      <c r="K278" t="s">
        <v>948</v>
      </c>
      <c r="L278">
        <v>-1.359E-2</v>
      </c>
      <c r="N278" t="str">
        <f t="shared" si="29"/>
        <v>dgts160226</v>
      </c>
      <c r="O278" t="str">
        <f t="shared" si="30"/>
        <v>dghs160226</v>
      </c>
      <c r="Q278" t="s">
        <v>1073</v>
      </c>
    </row>
    <row r="279" spans="3:17">
      <c r="C279" t="s">
        <v>582</v>
      </c>
      <c r="D279">
        <v>5.2707480807476788E-2</v>
      </c>
      <c r="E279">
        <v>0.15812244242243037</v>
      </c>
      <c r="H279" t="s">
        <v>969</v>
      </c>
      <c r="I279" t="s">
        <v>970</v>
      </c>
      <c r="J279" s="11" t="s">
        <v>971</v>
      </c>
      <c r="K279" t="s">
        <v>948</v>
      </c>
      <c r="L279">
        <v>-7.2300000000000003E-3</v>
      </c>
      <c r="N279" t="str">
        <f t="shared" si="29"/>
        <v>dgts140161</v>
      </c>
      <c r="O279" t="str">
        <f t="shared" si="30"/>
        <v>dghs140161</v>
      </c>
      <c r="Q279" t="s">
        <v>1074</v>
      </c>
    </row>
    <row r="280" spans="3:17">
      <c r="C280" t="s">
        <v>583</v>
      </c>
      <c r="D280">
        <v>1.182342729897496E-2</v>
      </c>
      <c r="E280">
        <v>3.5470281896924881E-2</v>
      </c>
      <c r="H280" t="s">
        <v>972</v>
      </c>
      <c r="I280" t="s">
        <v>973</v>
      </c>
      <c r="J280" s="11" t="s">
        <v>974</v>
      </c>
      <c r="K280" t="s">
        <v>948</v>
      </c>
      <c r="L280">
        <v>-5.3299999999999997E-3</v>
      </c>
      <c r="N280" t="str">
        <f t="shared" si="29"/>
        <v>dgts160181</v>
      </c>
      <c r="O280" t="str">
        <f t="shared" si="30"/>
        <v>dghs160181</v>
      </c>
      <c r="Q280" t="s">
        <v>1075</v>
      </c>
    </row>
    <row r="281" spans="3:17">
      <c r="C281" t="s">
        <v>584</v>
      </c>
      <c r="D281">
        <f>0.00165782345407405+0.0107386648459615</f>
        <v>1.2396488300035551E-2</v>
      </c>
      <c r="E281">
        <f>0.00497347036222215+0.0322159945378845</f>
        <v>3.7189464900106647E-2</v>
      </c>
      <c r="H281" t="s">
        <v>975</v>
      </c>
      <c r="I281" t="s">
        <v>976</v>
      </c>
      <c r="J281" s="11" t="s">
        <v>977</v>
      </c>
      <c r="K281" t="s">
        <v>948</v>
      </c>
      <c r="L281">
        <v>-4.2100000000000002E-3</v>
      </c>
      <c r="N281" t="str">
        <f t="shared" si="29"/>
        <v>dgts226226</v>
      </c>
      <c r="O281" t="str">
        <f t="shared" si="30"/>
        <v>dghs226226</v>
      </c>
      <c r="Q281" t="s">
        <v>1076</v>
      </c>
    </row>
    <row r="282" spans="3:17">
      <c r="C282" t="s">
        <v>585</v>
      </c>
      <c r="D282">
        <v>4.9128545652248291E-3</v>
      </c>
      <c r="E282">
        <v>1.4738563695674486E-2</v>
      </c>
      <c r="H282" t="s">
        <v>978</v>
      </c>
      <c r="I282" t="s">
        <v>979</v>
      </c>
      <c r="J282" s="11" t="s">
        <v>980</v>
      </c>
      <c r="K282" t="s">
        <v>948</v>
      </c>
      <c r="L282">
        <v>-1.6500000000000001E-2</v>
      </c>
      <c r="N282" t="str">
        <f t="shared" si="29"/>
        <v>dgts184225</v>
      </c>
      <c r="O282" t="str">
        <f t="shared" si="30"/>
        <v>dghs184225</v>
      </c>
      <c r="Q282" t="s">
        <v>1077</v>
      </c>
    </row>
    <row r="283" spans="3:17">
      <c r="C283" t="s">
        <v>586</v>
      </c>
      <c r="D283">
        <v>3.540260045487879E-3</v>
      </c>
      <c r="E283">
        <v>1.0620780136463637E-2</v>
      </c>
      <c r="H283" t="s">
        <v>981</v>
      </c>
      <c r="I283" t="s">
        <v>982</v>
      </c>
      <c r="J283" s="11" t="s">
        <v>983</v>
      </c>
      <c r="K283" t="s">
        <v>948</v>
      </c>
      <c r="L283">
        <v>-1.8190000000000001E-2</v>
      </c>
      <c r="N283" t="str">
        <f t="shared" si="29"/>
        <v>dgts161205</v>
      </c>
      <c r="O283" t="str">
        <f t="shared" si="30"/>
        <v>dghs161205</v>
      </c>
      <c r="Q283" t="s">
        <v>1078</v>
      </c>
    </row>
    <row r="284" spans="3:17">
      <c r="C284" t="s">
        <v>587</v>
      </c>
      <c r="D284">
        <v>6.5487373320421798E-4</v>
      </c>
      <c r="E284">
        <v>1.9646211996126538E-3</v>
      </c>
      <c r="H284" t="s">
        <v>984</v>
      </c>
      <c r="I284" t="s">
        <v>985</v>
      </c>
      <c r="J284" s="11" t="s">
        <v>986</v>
      </c>
      <c r="K284" t="s">
        <v>948</v>
      </c>
      <c r="L284">
        <v>-3.0799999999999998E-3</v>
      </c>
      <c r="N284" t="str">
        <f t="shared" si="29"/>
        <v>dgts183y205</v>
      </c>
      <c r="O284" t="str">
        <f t="shared" si="30"/>
        <v>dghs183y205</v>
      </c>
      <c r="Q284" t="s">
        <v>1079</v>
      </c>
    </row>
    <row r="285" spans="3:17">
      <c r="C285" t="s">
        <v>945</v>
      </c>
      <c r="D285">
        <v>1.8917334927937859E-3</v>
      </c>
      <c r="E285">
        <v>5.6752004783813571E-3</v>
      </c>
      <c r="H285" t="s">
        <v>987</v>
      </c>
      <c r="I285" t="s">
        <v>988</v>
      </c>
      <c r="J285" s="11" t="s">
        <v>989</v>
      </c>
      <c r="K285" t="s">
        <v>948</v>
      </c>
      <c r="L285">
        <v>-3.73E-2</v>
      </c>
      <c r="N285" t="str">
        <f t="shared" si="29"/>
        <v>dgts160160</v>
      </c>
      <c r="O285" t="str">
        <f t="shared" si="30"/>
        <v>dghs160160</v>
      </c>
      <c r="Q285" t="s">
        <v>1080</v>
      </c>
    </row>
    <row r="286" spans="3:17">
      <c r="C286" t="s">
        <v>589</v>
      </c>
      <c r="D286">
        <v>5.6960255374724636E-3</v>
      </c>
      <c r="E286">
        <v>1.7088076612417392E-2</v>
      </c>
      <c r="H286" t="s">
        <v>990</v>
      </c>
      <c r="I286" t="s">
        <v>991</v>
      </c>
      <c r="J286" s="11" t="s">
        <v>992</v>
      </c>
      <c r="K286" t="s">
        <v>948</v>
      </c>
      <c r="L286">
        <v>-4.8399999999999997E-3</v>
      </c>
      <c r="N286" t="str">
        <f t="shared" si="29"/>
        <v>dgts161161</v>
      </c>
      <c r="O286" t="str">
        <f t="shared" si="30"/>
        <v>dghs161161</v>
      </c>
      <c r="Q286" t="s">
        <v>1081</v>
      </c>
    </row>
    <row r="287" spans="3:17">
      <c r="C287" t="s">
        <v>590</v>
      </c>
      <c r="D287">
        <v>4.1066272775548999E-3</v>
      </c>
      <c r="E287">
        <v>1.2319881832664699E-2</v>
      </c>
      <c r="H287" t="s">
        <v>993</v>
      </c>
      <c r="I287" t="s">
        <v>994</v>
      </c>
      <c r="J287" s="11" t="s">
        <v>995</v>
      </c>
      <c r="K287" t="s">
        <v>948</v>
      </c>
      <c r="L287">
        <v>-1.4599999999999999E-3</v>
      </c>
      <c r="N287" t="str">
        <f t="shared" si="29"/>
        <v>dgts184184</v>
      </c>
      <c r="O287" t="str">
        <f t="shared" si="30"/>
        <v>dghs184184</v>
      </c>
      <c r="Q287" t="s">
        <v>1082</v>
      </c>
    </row>
    <row r="288" spans="3:17">
      <c r="C288" t="s">
        <v>591</v>
      </c>
      <c r="D288">
        <v>0.11453336248841607</v>
      </c>
      <c r="E288">
        <v>0.34360008746524823</v>
      </c>
      <c r="H288" t="s">
        <v>996</v>
      </c>
      <c r="I288" t="s">
        <v>997</v>
      </c>
      <c r="J288" s="11" t="s">
        <v>998</v>
      </c>
      <c r="K288" t="s">
        <v>948</v>
      </c>
      <c r="L288">
        <v>-1.478E-2</v>
      </c>
      <c r="N288" t="str">
        <f t="shared" si="29"/>
        <v>dgts160161</v>
      </c>
      <c r="O288" t="str">
        <f t="shared" si="30"/>
        <v>dghs160161</v>
      </c>
      <c r="Q288" t="s">
        <v>1083</v>
      </c>
    </row>
    <row r="289" spans="3:17">
      <c r="C289" t="s">
        <v>592</v>
      </c>
      <c r="D289">
        <v>1.3553394707757481E-2</v>
      </c>
      <c r="E289">
        <v>4.0660184123272443E-2</v>
      </c>
      <c r="H289" t="s">
        <v>999</v>
      </c>
      <c r="I289" t="s">
        <v>1000</v>
      </c>
      <c r="J289" s="11" t="s">
        <v>1001</v>
      </c>
      <c r="K289" t="s">
        <v>948</v>
      </c>
      <c r="L289">
        <v>-9.8600000000000007E-3</v>
      </c>
      <c r="N289" t="str">
        <f t="shared" si="29"/>
        <v>dgts181181</v>
      </c>
      <c r="O289" t="str">
        <f t="shared" si="30"/>
        <v>dghs181181</v>
      </c>
      <c r="Q289" t="s">
        <v>1084</v>
      </c>
    </row>
    <row r="290" spans="3:17">
      <c r="C290" t="s">
        <v>593</v>
      </c>
      <c r="D290">
        <v>1.6087358147878746E-3</v>
      </c>
      <c r="E290">
        <v>4.8262074443636239E-3</v>
      </c>
      <c r="H290" t="s">
        <v>1002</v>
      </c>
      <c r="I290" t="s">
        <v>1003</v>
      </c>
      <c r="J290" s="11" t="s">
        <v>1004</v>
      </c>
      <c r="K290" t="s">
        <v>948</v>
      </c>
      <c r="L290">
        <v>-0.1452</v>
      </c>
      <c r="N290" t="str">
        <f t="shared" si="29"/>
        <v>dgts205205</v>
      </c>
      <c r="O290" t="str">
        <f t="shared" si="30"/>
        <v>dghs205205</v>
      </c>
      <c r="Q290" t="s">
        <v>1085</v>
      </c>
    </row>
    <row r="291" spans="3:17">
      <c r="C291" t="s">
        <v>594</v>
      </c>
      <c r="D291">
        <v>1.8140857724683792E-2</v>
      </c>
      <c r="E291">
        <v>5.4422573174051372E-2</v>
      </c>
      <c r="H291" t="s">
        <v>1005</v>
      </c>
      <c r="I291" t="s">
        <v>1006</v>
      </c>
      <c r="J291" s="11" t="s">
        <v>1007</v>
      </c>
      <c r="K291" t="s">
        <v>948</v>
      </c>
      <c r="L291">
        <v>-1.2359999999999999E-2</v>
      </c>
      <c r="N291" t="str">
        <f t="shared" si="29"/>
        <v>dgts160204</v>
      </c>
      <c r="O291" t="str">
        <f t="shared" si="30"/>
        <v>dghs160204</v>
      </c>
      <c r="Q291" t="s">
        <v>1086</v>
      </c>
    </row>
    <row r="292" spans="3:17">
      <c r="C292" t="s">
        <v>595</v>
      </c>
      <c r="D292">
        <v>2.8043173322504305E-3</v>
      </c>
      <c r="E292">
        <v>8.412951996751291E-3</v>
      </c>
      <c r="H292" t="s">
        <v>1008</v>
      </c>
      <c r="I292" t="s">
        <v>1009</v>
      </c>
      <c r="J292" s="11" t="s">
        <v>1010</v>
      </c>
      <c r="K292" t="s">
        <v>948</v>
      </c>
      <c r="L292">
        <v>-2E-3</v>
      </c>
      <c r="N292" t="str">
        <f t="shared" si="29"/>
        <v>dgts182182</v>
      </c>
      <c r="O292" t="str">
        <f t="shared" si="30"/>
        <v>dghs182182</v>
      </c>
      <c r="Q292" t="s">
        <v>1087</v>
      </c>
    </row>
    <row r="293" spans="3:17">
      <c r="C293" t="s">
        <v>597</v>
      </c>
      <c r="D293">
        <v>2.7388671465355284E-3</v>
      </c>
      <c r="E293">
        <v>8.2166014396065842E-3</v>
      </c>
      <c r="H293" t="s">
        <v>1011</v>
      </c>
      <c r="I293" t="s">
        <v>1003</v>
      </c>
      <c r="J293" s="11" t="s">
        <v>1012</v>
      </c>
      <c r="K293" t="s">
        <v>948</v>
      </c>
      <c r="L293">
        <v>-7.0830000000000004E-2</v>
      </c>
      <c r="N293" t="str">
        <f t="shared" si="29"/>
        <v>dgts184226</v>
      </c>
      <c r="O293" t="str">
        <f t="shared" si="30"/>
        <v>dghs184226</v>
      </c>
      <c r="Q293" t="s">
        <v>1088</v>
      </c>
    </row>
    <row r="294" spans="3:17">
      <c r="C294" t="s">
        <v>598</v>
      </c>
      <c r="D294">
        <v>6.5703061432436805E-3</v>
      </c>
      <c r="E294">
        <v>1.9710918429731043E-2</v>
      </c>
      <c r="H294" t="s">
        <v>1013</v>
      </c>
      <c r="I294" t="s">
        <v>967</v>
      </c>
      <c r="J294" s="11" t="s">
        <v>1014</v>
      </c>
      <c r="K294" t="s">
        <v>948</v>
      </c>
      <c r="L294">
        <v>-9.4640000000000002E-2</v>
      </c>
      <c r="N294" t="str">
        <f t="shared" si="29"/>
        <v>dgts226160</v>
      </c>
      <c r="O294" t="str">
        <f t="shared" si="30"/>
        <v>dghs226160</v>
      </c>
      <c r="Q294" t="s">
        <v>1089</v>
      </c>
    </row>
    <row r="295" spans="3:17">
      <c r="C295" t="s">
        <v>599</v>
      </c>
      <c r="D295">
        <v>4.3966906006095794E-3</v>
      </c>
      <c r="E295">
        <v>1.3190071801828738E-2</v>
      </c>
      <c r="H295" t="s">
        <v>1015</v>
      </c>
      <c r="I295" t="s">
        <v>979</v>
      </c>
      <c r="J295" s="11" t="s">
        <v>1016</v>
      </c>
      <c r="K295" t="s">
        <v>948</v>
      </c>
      <c r="L295">
        <v>-1.023E-2</v>
      </c>
      <c r="N295" t="str">
        <f t="shared" si="29"/>
        <v>dgts204205</v>
      </c>
      <c r="O295" t="str">
        <f t="shared" si="30"/>
        <v>dghs204205</v>
      </c>
      <c r="Q295" t="s">
        <v>1090</v>
      </c>
    </row>
    <row r="296" spans="3:17">
      <c r="C296" t="s">
        <v>600</v>
      </c>
      <c r="D296">
        <v>1.4897354771244164E-3</v>
      </c>
      <c r="E296">
        <v>4.4692064313732495E-3</v>
      </c>
      <c r="H296" t="s">
        <v>1017</v>
      </c>
      <c r="I296" t="s">
        <v>1018</v>
      </c>
      <c r="J296" s="11" t="s">
        <v>1019</v>
      </c>
      <c r="K296" t="s">
        <v>948</v>
      </c>
      <c r="L296">
        <v>-4.9699999999999996E-3</v>
      </c>
      <c r="N296" t="str">
        <f t="shared" si="29"/>
        <v>dgts140140</v>
      </c>
      <c r="O296" t="str">
        <f t="shared" si="30"/>
        <v>dghs140140</v>
      </c>
      <c r="Q296" t="s">
        <v>1091</v>
      </c>
    </row>
    <row r="297" spans="3:17">
      <c r="C297" t="s">
        <v>601</v>
      </c>
      <c r="D297">
        <v>3.0304179738110011E-3</v>
      </c>
      <c r="E297">
        <v>9.0912539214330033E-3</v>
      </c>
      <c r="H297" t="s">
        <v>1020</v>
      </c>
      <c r="I297" t="s">
        <v>1021</v>
      </c>
      <c r="J297" s="11" t="s">
        <v>1022</v>
      </c>
      <c r="K297" t="s">
        <v>948</v>
      </c>
      <c r="L297">
        <v>-1.8790000000000001E-2</v>
      </c>
      <c r="N297" t="str">
        <f t="shared" si="29"/>
        <v>dgts205180</v>
      </c>
      <c r="O297" t="str">
        <f t="shared" si="30"/>
        <v>dghs205180</v>
      </c>
      <c r="Q297" t="s">
        <v>1092</v>
      </c>
    </row>
    <row r="298" spans="3:17">
      <c r="C298" t="s">
        <v>602</v>
      </c>
      <c r="D298">
        <v>6.1515737050903884E-3</v>
      </c>
      <c r="E298">
        <v>1.8454721115271164E-2</v>
      </c>
      <c r="H298" t="s">
        <v>1023</v>
      </c>
      <c r="I298" t="s">
        <v>1024</v>
      </c>
      <c r="J298" s="11" t="s">
        <v>1025</v>
      </c>
      <c r="K298" t="s">
        <v>948</v>
      </c>
      <c r="L298" s="56">
        <v>-9.5E-4</v>
      </c>
      <c r="N298" t="str">
        <f t="shared" si="29"/>
        <v>dgts160183</v>
      </c>
      <c r="O298" t="str">
        <f t="shared" si="30"/>
        <v>dghs160183</v>
      </c>
      <c r="Q298" t="s">
        <v>1093</v>
      </c>
    </row>
    <row r="299" spans="3:17">
      <c r="C299" t="s">
        <v>603</v>
      </c>
      <c r="D299">
        <v>1.4555228800461723E-3</v>
      </c>
      <c r="E299">
        <v>4.3665686401385172E-3</v>
      </c>
      <c r="H299" t="s">
        <v>1026</v>
      </c>
      <c r="I299" t="s">
        <v>956</v>
      </c>
      <c r="J299" s="11" t="s">
        <v>1027</v>
      </c>
      <c r="K299" t="s">
        <v>948</v>
      </c>
      <c r="L299">
        <v>-3.0400000000000002E-3</v>
      </c>
      <c r="N299" t="str">
        <f t="shared" si="29"/>
        <v>dgts182205</v>
      </c>
      <c r="O299" t="str">
        <f t="shared" si="30"/>
        <v>dghs182205</v>
      </c>
      <c r="Q299" t="s">
        <v>1094</v>
      </c>
    </row>
    <row r="300" spans="3:17">
      <c r="C300" t="s">
        <v>604</v>
      </c>
      <c r="D300">
        <v>1.2404669573249915E-2</v>
      </c>
      <c r="E300">
        <v>3.7214008719749746E-2</v>
      </c>
      <c r="H300" t="s">
        <v>1028</v>
      </c>
      <c r="I300" t="s">
        <v>1021</v>
      </c>
      <c r="J300" s="11" t="s">
        <v>1029</v>
      </c>
      <c r="K300" t="s">
        <v>948</v>
      </c>
      <c r="L300">
        <v>-2.7499999999999998E-3</v>
      </c>
      <c r="N300" t="str">
        <f t="shared" si="29"/>
        <v>dgts180205</v>
      </c>
      <c r="O300" t="str">
        <f t="shared" si="30"/>
        <v>dghs180205</v>
      </c>
      <c r="Q300" t="s">
        <v>1095</v>
      </c>
    </row>
    <row r="301" spans="3:17">
      <c r="C301" t="s">
        <v>605</v>
      </c>
      <c r="D301">
        <v>5.482940557843834E-3</v>
      </c>
      <c r="E301">
        <v>1.6448821673531504E-2</v>
      </c>
      <c r="H301" t="s">
        <v>1030</v>
      </c>
      <c r="I301" t="s">
        <v>1024</v>
      </c>
      <c r="J301" s="11" t="s">
        <v>1031</v>
      </c>
      <c r="K301" t="s">
        <v>948</v>
      </c>
      <c r="L301" s="56">
        <v>-9.5E-4</v>
      </c>
      <c r="N301" t="str">
        <f t="shared" si="29"/>
        <v>dgts160183y</v>
      </c>
      <c r="O301" t="str">
        <f t="shared" si="30"/>
        <v>dghs160183y</v>
      </c>
      <c r="Q301" t="s">
        <v>1096</v>
      </c>
    </row>
    <row r="302" spans="3:17">
      <c r="C302" t="s">
        <v>606</v>
      </c>
      <c r="D302">
        <v>7.0624841022986412E-2</v>
      </c>
      <c r="E302">
        <v>0.21187452306895924</v>
      </c>
      <c r="H302" t="s">
        <v>1032</v>
      </c>
      <c r="I302" t="s">
        <v>959</v>
      </c>
      <c r="J302" s="11" t="s">
        <v>1033</v>
      </c>
      <c r="K302" t="s">
        <v>948</v>
      </c>
      <c r="L302">
        <v>-0.14671000000000001</v>
      </c>
      <c r="N302" t="str">
        <f t="shared" si="29"/>
        <v>dgts205160</v>
      </c>
      <c r="O302" t="str">
        <f t="shared" si="30"/>
        <v>dghs205160</v>
      </c>
      <c r="Q302" t="s">
        <v>1097</v>
      </c>
    </row>
    <row r="303" spans="3:17">
      <c r="C303" t="s">
        <v>607</v>
      </c>
      <c r="D303">
        <v>1.8441333577284026E-3</v>
      </c>
      <c r="E303">
        <v>5.5324000731852077E-3</v>
      </c>
      <c r="H303" t="s">
        <v>1034</v>
      </c>
      <c r="I303" t="s">
        <v>1035</v>
      </c>
      <c r="J303" s="11" t="s">
        <v>1036</v>
      </c>
      <c r="K303" t="s">
        <v>948</v>
      </c>
      <c r="L303">
        <v>-5.9800000000000001E-3</v>
      </c>
      <c r="N303" t="str">
        <f t="shared" si="29"/>
        <v>dgts140184</v>
      </c>
      <c r="O303" t="str">
        <f t="shared" si="30"/>
        <v>dghs140184</v>
      </c>
      <c r="Q303" t="s">
        <v>1098</v>
      </c>
    </row>
    <row r="304" spans="3:17">
      <c r="C304" t="s">
        <v>608</v>
      </c>
      <c r="D304">
        <v>1.9437961405215488E-3</v>
      </c>
      <c r="E304">
        <v>5.8313884215646468E-3</v>
      </c>
      <c r="H304" t="s">
        <v>1037</v>
      </c>
      <c r="I304" t="s">
        <v>1038</v>
      </c>
      <c r="J304" s="11" t="s">
        <v>1039</v>
      </c>
      <c r="K304" t="s">
        <v>948</v>
      </c>
      <c r="L304">
        <v>-0.11433</v>
      </c>
      <c r="N304" t="str">
        <f t="shared" si="29"/>
        <v>dgts140205</v>
      </c>
      <c r="O304" t="str">
        <f t="shared" si="30"/>
        <v>dghs140205</v>
      </c>
      <c r="Q304" t="s">
        <v>1099</v>
      </c>
    </row>
    <row r="305" spans="3:17">
      <c r="C305" t="s">
        <v>609</v>
      </c>
      <c r="D305">
        <v>3.4011784008437127E-3</v>
      </c>
      <c r="E305">
        <v>1.0203535202531137E-2</v>
      </c>
      <c r="H305" t="s">
        <v>1040</v>
      </c>
      <c r="I305" t="s">
        <v>964</v>
      </c>
      <c r="J305" s="11" t="s">
        <v>1041</v>
      </c>
      <c r="K305" t="s">
        <v>948</v>
      </c>
      <c r="L305" s="56">
        <v>-8.9999999999999998E-4</v>
      </c>
      <c r="N305" t="str">
        <f t="shared" si="29"/>
        <v>dgts140183</v>
      </c>
      <c r="O305" t="str">
        <f t="shared" si="30"/>
        <v>dghs140183</v>
      </c>
      <c r="Q305" t="s">
        <v>1100</v>
      </c>
    </row>
    <row r="306" spans="3:17">
      <c r="C306" t="s">
        <v>610</v>
      </c>
      <c r="D306">
        <f>0.0700607050472506+0.00543273729039206</f>
        <v>7.5493442337642658E-2</v>
      </c>
      <c r="E306">
        <f>0.210182115141752+0.0162982118711762</f>
        <v>0.2264803270129282</v>
      </c>
      <c r="H306" t="s">
        <v>1042</v>
      </c>
      <c r="I306" t="s">
        <v>1043</v>
      </c>
      <c r="J306" s="11" t="s">
        <v>1044</v>
      </c>
      <c r="K306" t="s">
        <v>948</v>
      </c>
      <c r="L306" s="56">
        <v>-7.5000000000000002E-4</v>
      </c>
      <c r="N306" t="str">
        <f t="shared" si="29"/>
        <v>dgts181226</v>
      </c>
      <c r="O306" t="str">
        <f t="shared" si="30"/>
        <v>dghs181226</v>
      </c>
      <c r="Q306" t="s">
        <v>1101</v>
      </c>
    </row>
    <row r="307" spans="3:17">
      <c r="C307" t="s">
        <v>611</v>
      </c>
      <c r="D307">
        <v>3.0679402677805098E-2</v>
      </c>
      <c r="E307">
        <v>9.2038208033415295E-2</v>
      </c>
      <c r="H307" t="s">
        <v>1045</v>
      </c>
      <c r="I307" t="s">
        <v>956</v>
      </c>
      <c r="J307" s="11" t="s">
        <v>1046</v>
      </c>
      <c r="K307" t="s">
        <v>948</v>
      </c>
      <c r="L307">
        <v>-2.2000000000000001E-3</v>
      </c>
      <c r="N307" t="str">
        <f t="shared" si="29"/>
        <v>dgts181y205</v>
      </c>
      <c r="O307" t="str">
        <f t="shared" si="30"/>
        <v>dghs181y205</v>
      </c>
      <c r="Q307" t="s">
        <v>1102</v>
      </c>
    </row>
    <row r="308" spans="3:17">
      <c r="C308" t="s">
        <v>612</v>
      </c>
      <c r="D308">
        <f>0.00219778748622199+0.00199548691219411</f>
        <v>4.1932743984160999E-3</v>
      </c>
      <c r="E308">
        <f>0.00659336245866598+0.00598646073658234</f>
        <v>1.2579823195248321E-2</v>
      </c>
      <c r="H308" t="s">
        <v>1047</v>
      </c>
      <c r="I308" t="s">
        <v>1048</v>
      </c>
      <c r="J308" s="11" t="s">
        <v>1049</v>
      </c>
      <c r="K308" t="s">
        <v>948</v>
      </c>
      <c r="L308">
        <v>-3.0769999999999999E-2</v>
      </c>
      <c r="N308" t="str">
        <f t="shared" si="29"/>
        <v>dgts205226</v>
      </c>
      <c r="O308" t="str">
        <f t="shared" si="30"/>
        <v>dghs205226</v>
      </c>
      <c r="Q308" t="s">
        <v>1103</v>
      </c>
    </row>
    <row r="309" spans="3:17">
      <c r="C309" t="s">
        <v>944</v>
      </c>
      <c r="D309">
        <v>1.6526171893012746E-3</v>
      </c>
      <c r="E309">
        <v>4.9578515679038239E-3</v>
      </c>
      <c r="H309" t="s">
        <v>1050</v>
      </c>
      <c r="I309" t="s">
        <v>985</v>
      </c>
      <c r="J309" s="11" t="s">
        <v>1051</v>
      </c>
      <c r="K309" t="s">
        <v>948</v>
      </c>
      <c r="L309">
        <v>-3.0799999999999998E-3</v>
      </c>
      <c r="N309" t="str">
        <f t="shared" si="29"/>
        <v>dgts183205</v>
      </c>
      <c r="O309" t="str">
        <f t="shared" si="30"/>
        <v>dghs183205</v>
      </c>
      <c r="Q309" t="s">
        <v>1104</v>
      </c>
    </row>
    <row r="310" spans="3:17">
      <c r="D310">
        <f>SUM(Table17[Column33])</f>
        <v>0.49437611841723611</v>
      </c>
      <c r="E310">
        <f>SUM(Table17[Column34])</f>
        <v>1.4831283552517083</v>
      </c>
      <c r="H310" t="s">
        <v>1052</v>
      </c>
      <c r="I310" t="s">
        <v>1053</v>
      </c>
      <c r="J310" s="11" t="s">
        <v>1054</v>
      </c>
      <c r="K310" t="s">
        <v>948</v>
      </c>
      <c r="L310">
        <v>-5.4000000000000003E-3</v>
      </c>
      <c r="N310" t="str">
        <f t="shared" si="29"/>
        <v>dgts140160</v>
      </c>
      <c r="O310" t="str">
        <f t="shared" si="30"/>
        <v>dghs140160</v>
      </c>
      <c r="Q310" t="s">
        <v>1105</v>
      </c>
    </row>
    <row r="311" spans="3:17">
      <c r="H311" t="s">
        <v>1055</v>
      </c>
      <c r="I311" t="s">
        <v>953</v>
      </c>
      <c r="J311" s="11" t="s">
        <v>1056</v>
      </c>
      <c r="K311" t="s">
        <v>948</v>
      </c>
      <c r="L311">
        <v>-1.97E-3</v>
      </c>
      <c r="N311" t="str">
        <f t="shared" si="29"/>
        <v>dgts160182</v>
      </c>
      <c r="O311" t="str">
        <f t="shared" si="30"/>
        <v>dghs160182</v>
      </c>
      <c r="Q311" t="s">
        <v>1106</v>
      </c>
    </row>
    <row r="312" spans="3:17">
      <c r="H312" t="s">
        <v>1057</v>
      </c>
      <c r="I312" t="s">
        <v>982</v>
      </c>
      <c r="J312" s="11" t="s">
        <v>1058</v>
      </c>
      <c r="K312" t="s">
        <v>948</v>
      </c>
      <c r="L312">
        <v>-1.1860000000000001E-2</v>
      </c>
      <c r="N312" t="str">
        <f t="shared" si="29"/>
        <v>dgts140226</v>
      </c>
      <c r="O312" t="str">
        <f t="shared" si="30"/>
        <v>dghs140226</v>
      </c>
      <c r="Q312" t="s">
        <v>1107</v>
      </c>
    </row>
    <row r="313" spans="3:17">
      <c r="H313" t="s">
        <v>1059</v>
      </c>
      <c r="I313" t="s">
        <v>1060</v>
      </c>
      <c r="J313" s="11" t="s">
        <v>1061</v>
      </c>
      <c r="K313" t="s">
        <v>948</v>
      </c>
      <c r="L313">
        <v>-1.244E-2</v>
      </c>
      <c r="N313" t="str">
        <f t="shared" si="29"/>
        <v>dgts184205</v>
      </c>
      <c r="O313" t="str">
        <f t="shared" si="30"/>
        <v>dghs184205</v>
      </c>
      <c r="Q313" t="s">
        <v>1108</v>
      </c>
    </row>
    <row r="314" spans="3:17">
      <c r="H314" t="s">
        <v>1062</v>
      </c>
      <c r="I314" t="s">
        <v>1063</v>
      </c>
      <c r="J314" s="11" t="s">
        <v>1064</v>
      </c>
      <c r="K314" t="s">
        <v>948</v>
      </c>
      <c r="L314">
        <v>-5.7099999999999998E-3</v>
      </c>
      <c r="N314" t="str">
        <f t="shared" si="29"/>
        <v>dgts160184</v>
      </c>
      <c r="O314" t="str">
        <f t="shared" si="30"/>
        <v>dghs160184</v>
      </c>
      <c r="Q314" t="s">
        <v>1109</v>
      </c>
    </row>
    <row r="315" spans="3:17">
      <c r="H315" t="s">
        <v>1065</v>
      </c>
      <c r="I315" t="s">
        <v>967</v>
      </c>
      <c r="J315" s="11" t="s">
        <v>1066</v>
      </c>
      <c r="K315" t="s">
        <v>948</v>
      </c>
      <c r="L315">
        <v>-2.2000000000000001E-3</v>
      </c>
      <c r="N315" t="str">
        <f t="shared" si="29"/>
        <v>dgts181205</v>
      </c>
      <c r="O315" t="str">
        <f t="shared" si="30"/>
        <v>dghs181205</v>
      </c>
      <c r="Q315" t="s">
        <v>1110</v>
      </c>
    </row>
  </sheetData>
  <phoneticPr fontId="5" type="noConversion"/>
  <conditionalFormatting sqref="C4:C128">
    <cfRule type="duplicateValues" dxfId="2" priority="182"/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C224">
    <cfRule type="duplicateValues" dxfId="1" priority="186"/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5:C309">
    <cfRule type="duplicateValues" dxfId="0" priority="191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F9EE-D1DF-4663-B0E2-D1EE865DCEBF}">
  <dimension ref="B2:F171"/>
  <sheetViews>
    <sheetView topLeftCell="A151" workbookViewId="0">
      <selection activeCell="I20" sqref="I20"/>
    </sheetView>
  </sheetViews>
  <sheetFormatPr defaultRowHeight="15"/>
  <sheetData>
    <row r="2" spans="2:6">
      <c r="C2" t="s">
        <v>24</v>
      </c>
    </row>
    <row r="3" spans="2:6">
      <c r="B3" t="s">
        <v>35</v>
      </c>
      <c r="C3">
        <v>30.8</v>
      </c>
      <c r="D3">
        <v>27.15</v>
      </c>
      <c r="E3">
        <v>32.630000000000003</v>
      </c>
      <c r="F3">
        <f>AVERAGE(C3:E3)</f>
        <v>30.193333333333339</v>
      </c>
    </row>
    <row r="4" spans="2:6">
      <c r="B4" t="s">
        <v>36</v>
      </c>
      <c r="C4">
        <v>33.78</v>
      </c>
      <c r="D4">
        <v>5.08</v>
      </c>
      <c r="E4">
        <v>47.1</v>
      </c>
      <c r="F4">
        <f t="shared" ref="F4:F67" si="0">AVERAGE(C4:E4)</f>
        <v>28.653333333333336</v>
      </c>
    </row>
    <row r="5" spans="2:6">
      <c r="B5" t="s">
        <v>37</v>
      </c>
      <c r="C5">
        <v>8.66</v>
      </c>
      <c r="D5">
        <v>3.76</v>
      </c>
      <c r="E5">
        <v>5.84</v>
      </c>
      <c r="F5">
        <f t="shared" si="0"/>
        <v>6.086666666666666</v>
      </c>
    </row>
    <row r="6" spans="2:6">
      <c r="B6" t="s">
        <v>45</v>
      </c>
      <c r="C6">
        <v>2.59</v>
      </c>
      <c r="D6">
        <v>3.29</v>
      </c>
      <c r="E6">
        <v>4.8099999999999996</v>
      </c>
      <c r="F6">
        <f t="shared" si="0"/>
        <v>3.563333333333333</v>
      </c>
    </row>
    <row r="7" spans="2:6">
      <c r="B7" t="s">
        <v>39</v>
      </c>
      <c r="C7">
        <v>2.4700000000000002</v>
      </c>
      <c r="D7">
        <v>2.83</v>
      </c>
      <c r="E7">
        <v>3.2</v>
      </c>
      <c r="F7">
        <f t="shared" si="0"/>
        <v>2.8333333333333335</v>
      </c>
    </row>
    <row r="8" spans="2:6">
      <c r="B8" t="s">
        <v>39</v>
      </c>
      <c r="C8">
        <v>1.55</v>
      </c>
      <c r="D8">
        <v>1.02</v>
      </c>
      <c r="E8">
        <v>2.71</v>
      </c>
      <c r="F8">
        <f t="shared" si="0"/>
        <v>1.76</v>
      </c>
    </row>
    <row r="9" spans="2:6">
      <c r="B9" t="s">
        <v>40</v>
      </c>
      <c r="C9">
        <v>1.89</v>
      </c>
      <c r="D9">
        <v>2.31</v>
      </c>
      <c r="E9" t="s">
        <v>229</v>
      </c>
      <c r="F9">
        <f t="shared" si="0"/>
        <v>2.1</v>
      </c>
    </row>
    <row r="10" spans="2:6">
      <c r="B10" t="s">
        <v>41</v>
      </c>
      <c r="C10">
        <v>1.42</v>
      </c>
      <c r="D10">
        <v>0</v>
      </c>
      <c r="E10">
        <v>1.55</v>
      </c>
      <c r="F10">
        <f t="shared" si="0"/>
        <v>0.98999999999999988</v>
      </c>
    </row>
    <row r="11" spans="2:6">
      <c r="B11" t="s">
        <v>41</v>
      </c>
      <c r="C11">
        <v>0.04</v>
      </c>
      <c r="D11">
        <v>0</v>
      </c>
      <c r="E11" t="s">
        <v>229</v>
      </c>
      <c r="F11">
        <f t="shared" si="0"/>
        <v>0.02</v>
      </c>
    </row>
    <row r="12" spans="2:6">
      <c r="B12" t="s">
        <v>158</v>
      </c>
      <c r="C12">
        <v>0.36</v>
      </c>
      <c r="D12">
        <v>4.49</v>
      </c>
      <c r="E12" t="s">
        <v>229</v>
      </c>
      <c r="F12">
        <f t="shared" si="0"/>
        <v>2.4250000000000003</v>
      </c>
    </row>
    <row r="13" spans="2:6">
      <c r="B13" t="s">
        <v>44</v>
      </c>
      <c r="C13">
        <v>13.83</v>
      </c>
      <c r="D13">
        <v>47.31</v>
      </c>
      <c r="E13">
        <v>2.14</v>
      </c>
      <c r="F13">
        <f t="shared" si="0"/>
        <v>21.093333333333334</v>
      </c>
    </row>
    <row r="14" spans="2:6">
      <c r="B14" t="s">
        <v>159</v>
      </c>
      <c r="C14">
        <v>2.6</v>
      </c>
      <c r="D14">
        <v>2.77</v>
      </c>
      <c r="E14" t="s">
        <v>229</v>
      </c>
      <c r="F14">
        <f t="shared" si="0"/>
        <v>2.6850000000000001</v>
      </c>
    </row>
    <row r="15" spans="2:6">
      <c r="C15">
        <f>SUM(C3:C14)</f>
        <v>99.99</v>
      </c>
      <c r="D15">
        <f>SUM(D3:D14)</f>
        <v>100.01</v>
      </c>
      <c r="E15">
        <f>SUM(E3:E14)</f>
        <v>99.98</v>
      </c>
      <c r="F15">
        <f t="shared" si="0"/>
        <v>99.993333333333339</v>
      </c>
    </row>
    <row r="17" spans="3:6">
      <c r="C17" t="s">
        <v>30</v>
      </c>
    </row>
    <row r="18" spans="3:6">
      <c r="C18">
        <v>15.33</v>
      </c>
      <c r="D18">
        <v>19.21</v>
      </c>
      <c r="E18">
        <v>7.17</v>
      </c>
      <c r="F18">
        <f t="shared" si="0"/>
        <v>13.903333333333334</v>
      </c>
    </row>
    <row r="19" spans="3:6">
      <c r="C19">
        <v>18.46</v>
      </c>
      <c r="D19">
        <v>14.06</v>
      </c>
      <c r="E19">
        <v>54.17</v>
      </c>
      <c r="F19">
        <f t="shared" si="0"/>
        <v>28.896666666666665</v>
      </c>
    </row>
    <row r="20" spans="3:6">
      <c r="C20">
        <v>13.84</v>
      </c>
      <c r="D20">
        <v>6.47</v>
      </c>
      <c r="E20">
        <v>14.72</v>
      </c>
      <c r="F20">
        <f t="shared" si="0"/>
        <v>11.676666666666668</v>
      </c>
    </row>
    <row r="21" spans="3:6">
      <c r="C21">
        <v>3.73</v>
      </c>
      <c r="D21">
        <v>2.13</v>
      </c>
      <c r="E21">
        <v>5.82</v>
      </c>
      <c r="F21">
        <f t="shared" si="0"/>
        <v>3.8933333333333331</v>
      </c>
    </row>
    <row r="22" spans="3:6">
      <c r="C22">
        <v>4.17</v>
      </c>
      <c r="D22">
        <v>2.1800000000000002</v>
      </c>
      <c r="E22">
        <v>4.9000000000000004</v>
      </c>
      <c r="F22">
        <f t="shared" si="0"/>
        <v>3.75</v>
      </c>
    </row>
    <row r="23" spans="3:6">
      <c r="C23">
        <v>1.45</v>
      </c>
      <c r="D23">
        <v>1.45</v>
      </c>
      <c r="E23">
        <v>10.72</v>
      </c>
      <c r="F23">
        <f t="shared" si="0"/>
        <v>4.54</v>
      </c>
    </row>
    <row r="24" spans="3:6">
      <c r="C24">
        <v>7.11</v>
      </c>
      <c r="D24">
        <v>1.44</v>
      </c>
      <c r="E24" t="s">
        <v>229</v>
      </c>
      <c r="F24">
        <f t="shared" si="0"/>
        <v>4.2750000000000004</v>
      </c>
    </row>
    <row r="25" spans="3:6">
      <c r="C25">
        <v>2.5099999999999998</v>
      </c>
      <c r="D25">
        <v>1.08</v>
      </c>
      <c r="E25">
        <v>1.82</v>
      </c>
      <c r="F25">
        <f t="shared" si="0"/>
        <v>1.8033333333333335</v>
      </c>
    </row>
    <row r="26" spans="3:6">
      <c r="C26">
        <v>0</v>
      </c>
      <c r="D26">
        <v>0.28000000000000003</v>
      </c>
      <c r="E26">
        <v>0.68</v>
      </c>
      <c r="F26">
        <f t="shared" si="0"/>
        <v>0.32</v>
      </c>
    </row>
    <row r="27" spans="3:6">
      <c r="C27">
        <v>1.88</v>
      </c>
      <c r="D27">
        <v>2.59</v>
      </c>
      <c r="E27" t="s">
        <v>229</v>
      </c>
      <c r="F27">
        <f t="shared" si="0"/>
        <v>2.2349999999999999</v>
      </c>
    </row>
    <row r="28" spans="3:6">
      <c r="C28">
        <v>26.51</v>
      </c>
      <c r="D28">
        <v>47.46</v>
      </c>
      <c r="E28" t="s">
        <v>229</v>
      </c>
      <c r="F28">
        <f t="shared" si="0"/>
        <v>36.984999999999999</v>
      </c>
    </row>
    <row r="29" spans="3:6">
      <c r="C29">
        <v>5.0270000000000001</v>
      </c>
      <c r="D29">
        <v>1.64</v>
      </c>
      <c r="E29" t="s">
        <v>229</v>
      </c>
      <c r="F29">
        <f t="shared" si="0"/>
        <v>3.3334999999999999</v>
      </c>
    </row>
    <row r="30" spans="3:6">
      <c r="C30">
        <f>SUM(C18:C29)</f>
        <v>100.01700000000001</v>
      </c>
      <c r="D30">
        <f>SUM(D18:D29)</f>
        <v>99.99</v>
      </c>
      <c r="E30">
        <f>SUM(E18:E29)</f>
        <v>100</v>
      </c>
      <c r="F30">
        <f t="shared" si="0"/>
        <v>100.00233333333334</v>
      </c>
    </row>
    <row r="32" spans="3:6">
      <c r="C32" t="s">
        <v>230</v>
      </c>
    </row>
    <row r="33" spans="3:6">
      <c r="C33">
        <v>5.72</v>
      </c>
      <c r="D33">
        <v>21.7</v>
      </c>
      <c r="E33">
        <v>32.24</v>
      </c>
      <c r="F33">
        <f t="shared" si="0"/>
        <v>19.886666666666667</v>
      </c>
    </row>
    <row r="34" spans="3:6">
      <c r="C34">
        <v>22.28</v>
      </c>
      <c r="D34">
        <v>33.630000000000003</v>
      </c>
      <c r="E34">
        <v>35.64</v>
      </c>
      <c r="F34">
        <f t="shared" si="0"/>
        <v>30.516666666666669</v>
      </c>
    </row>
    <row r="35" spans="3:6">
      <c r="C35">
        <v>3.32</v>
      </c>
      <c r="D35">
        <v>8.19</v>
      </c>
      <c r="E35">
        <v>7.85</v>
      </c>
      <c r="F35">
        <f t="shared" si="0"/>
        <v>6.4533333333333331</v>
      </c>
    </row>
    <row r="36" spans="3:6">
      <c r="C36">
        <v>6.84</v>
      </c>
      <c r="D36">
        <v>5.95</v>
      </c>
      <c r="E36">
        <v>6.7</v>
      </c>
      <c r="F36">
        <f t="shared" si="0"/>
        <v>6.4966666666666661</v>
      </c>
    </row>
    <row r="37" spans="3:6">
      <c r="C37">
        <v>5.83</v>
      </c>
      <c r="D37">
        <v>3.84</v>
      </c>
      <c r="E37">
        <v>5.27</v>
      </c>
      <c r="F37">
        <f t="shared" si="0"/>
        <v>4.9799999999999995</v>
      </c>
    </row>
    <row r="38" spans="3:6">
      <c r="C38">
        <v>1.47</v>
      </c>
      <c r="D38">
        <v>2.4300000000000002</v>
      </c>
      <c r="E38">
        <v>2.46</v>
      </c>
      <c r="F38">
        <f t="shared" si="0"/>
        <v>2.12</v>
      </c>
    </row>
    <row r="39" spans="3:6">
      <c r="C39">
        <v>6.89</v>
      </c>
      <c r="D39">
        <v>5.01</v>
      </c>
      <c r="E39" t="s">
        <v>229</v>
      </c>
      <c r="F39">
        <f t="shared" si="0"/>
        <v>5.9499999999999993</v>
      </c>
    </row>
    <row r="40" spans="3:6">
      <c r="C40">
        <v>3.67</v>
      </c>
      <c r="D40">
        <v>3.54</v>
      </c>
      <c r="E40">
        <v>3.87</v>
      </c>
      <c r="F40">
        <f t="shared" si="0"/>
        <v>3.6933333333333334</v>
      </c>
    </row>
    <row r="41" spans="3:6">
      <c r="C41" t="s">
        <v>229</v>
      </c>
      <c r="E41" t="s">
        <v>229</v>
      </c>
    </row>
    <row r="42" spans="3:6">
      <c r="C42" t="s">
        <v>229</v>
      </c>
      <c r="E42" t="s">
        <v>229</v>
      </c>
    </row>
    <row r="43" spans="3:6">
      <c r="C43">
        <v>2.92</v>
      </c>
      <c r="D43">
        <v>2.86</v>
      </c>
      <c r="E43">
        <v>2.12</v>
      </c>
      <c r="F43">
        <f t="shared" si="0"/>
        <v>2.6333333333333333</v>
      </c>
    </row>
    <row r="44" spans="3:6">
      <c r="C44">
        <v>41.04</v>
      </c>
      <c r="D44">
        <v>12.85</v>
      </c>
      <c r="E44">
        <v>3.85</v>
      </c>
      <c r="F44">
        <f t="shared" si="0"/>
        <v>19.246666666666666</v>
      </c>
    </row>
    <row r="45" spans="3:6">
      <c r="C45">
        <f>SUM(C33:C44)</f>
        <v>99.97999999999999</v>
      </c>
      <c r="D45">
        <f>SUM(D33:D44)</f>
        <v>100.00000000000001</v>
      </c>
      <c r="E45">
        <f>SUM(E33:E44)</f>
        <v>99.999999999999986</v>
      </c>
      <c r="F45">
        <f t="shared" si="0"/>
        <v>99.993333333333339</v>
      </c>
    </row>
    <row r="48" spans="3:6">
      <c r="C48" t="s">
        <v>29</v>
      </c>
    </row>
    <row r="49" spans="3:6">
      <c r="C49">
        <v>4.08</v>
      </c>
      <c r="D49">
        <v>13.61</v>
      </c>
      <c r="E49">
        <v>9.9499999999999993</v>
      </c>
      <c r="F49">
        <f t="shared" si="0"/>
        <v>9.2133333333333329</v>
      </c>
    </row>
    <row r="50" spans="3:6">
      <c r="C50">
        <v>4.07</v>
      </c>
      <c r="D50">
        <v>26.13</v>
      </c>
      <c r="E50">
        <v>25.11</v>
      </c>
      <c r="F50">
        <f t="shared" si="0"/>
        <v>18.436666666666667</v>
      </c>
    </row>
    <row r="51" spans="3:6">
      <c r="C51">
        <v>1.9</v>
      </c>
      <c r="D51">
        <v>33.450000000000003</v>
      </c>
      <c r="E51">
        <v>11.62</v>
      </c>
      <c r="F51">
        <f t="shared" si="0"/>
        <v>15.656666666666666</v>
      </c>
    </row>
    <row r="52" spans="3:6">
      <c r="C52">
        <v>1.29</v>
      </c>
      <c r="D52">
        <v>7.44</v>
      </c>
      <c r="E52">
        <v>8.4</v>
      </c>
      <c r="F52">
        <f t="shared" si="0"/>
        <v>5.7100000000000009</v>
      </c>
    </row>
    <row r="53" spans="3:6">
      <c r="C53">
        <v>0.54</v>
      </c>
      <c r="D53">
        <v>8.66</v>
      </c>
      <c r="E53">
        <v>6.87</v>
      </c>
      <c r="F53">
        <f t="shared" si="0"/>
        <v>5.3566666666666665</v>
      </c>
    </row>
    <row r="54" spans="3:6">
      <c r="C54">
        <v>0.85</v>
      </c>
      <c r="D54">
        <v>2.86</v>
      </c>
      <c r="E54">
        <v>0</v>
      </c>
      <c r="F54">
        <f t="shared" si="0"/>
        <v>1.2366666666666666</v>
      </c>
    </row>
    <row r="55" spans="3:6">
      <c r="C55">
        <v>1.05</v>
      </c>
      <c r="E55">
        <v>25.62</v>
      </c>
      <c r="F55">
        <f t="shared" si="0"/>
        <v>13.335000000000001</v>
      </c>
    </row>
    <row r="56" spans="3:6">
      <c r="C56">
        <v>3.88</v>
      </c>
      <c r="D56">
        <v>5.42</v>
      </c>
      <c r="E56">
        <v>4.7699999999999996</v>
      </c>
      <c r="F56">
        <f t="shared" si="0"/>
        <v>4.6900000000000004</v>
      </c>
    </row>
    <row r="57" spans="3:6">
      <c r="C57">
        <v>12.4</v>
      </c>
      <c r="E57">
        <v>0</v>
      </c>
      <c r="F57">
        <f t="shared" si="0"/>
        <v>6.2</v>
      </c>
    </row>
    <row r="58" spans="3:6">
      <c r="C58">
        <v>29.97</v>
      </c>
      <c r="E58">
        <v>2.78</v>
      </c>
      <c r="F58">
        <f t="shared" si="0"/>
        <v>16.375</v>
      </c>
    </row>
    <row r="59" spans="3:6">
      <c r="C59">
        <v>39.39</v>
      </c>
      <c r="D59">
        <v>0.3</v>
      </c>
      <c r="E59">
        <v>4</v>
      </c>
      <c r="F59">
        <f t="shared" si="0"/>
        <v>14.563333333333333</v>
      </c>
    </row>
    <row r="60" spans="3:6">
      <c r="C60">
        <v>0.57999999999999996</v>
      </c>
      <c r="D60">
        <v>2.14</v>
      </c>
      <c r="E60">
        <v>0.88</v>
      </c>
      <c r="F60">
        <f t="shared" si="0"/>
        <v>1.2</v>
      </c>
    </row>
    <row r="61" spans="3:6">
      <c r="C61">
        <f>SUM(C49:C60)</f>
        <v>100</v>
      </c>
      <c r="D61">
        <f>SUM(D49:D60)</f>
        <v>100.00999999999999</v>
      </c>
      <c r="E61">
        <f>SUM(E49:E60)</f>
        <v>99.999999999999986</v>
      </c>
      <c r="F61">
        <f t="shared" si="0"/>
        <v>100.00333333333333</v>
      </c>
    </row>
    <row r="64" spans="3:6">
      <c r="C64" t="s">
        <v>25</v>
      </c>
    </row>
    <row r="65" spans="3:6">
      <c r="C65">
        <v>12.79</v>
      </c>
      <c r="D65">
        <v>8.1199999999999992</v>
      </c>
      <c r="E65">
        <v>13.55</v>
      </c>
      <c r="F65">
        <f t="shared" si="0"/>
        <v>11.486666666666665</v>
      </c>
    </row>
    <row r="66" spans="3:6">
      <c r="C66">
        <v>18.16</v>
      </c>
      <c r="D66">
        <v>38.369999999999997</v>
      </c>
      <c r="E66">
        <v>41.17</v>
      </c>
      <c r="F66">
        <f t="shared" si="0"/>
        <v>32.56666666666667</v>
      </c>
    </row>
    <row r="67" spans="3:6">
      <c r="C67">
        <v>19.559999999999999</v>
      </c>
      <c r="D67">
        <v>13.48</v>
      </c>
      <c r="E67">
        <v>9.15</v>
      </c>
      <c r="F67">
        <f t="shared" si="0"/>
        <v>14.063333333333333</v>
      </c>
    </row>
    <row r="68" spans="3:6">
      <c r="C68">
        <v>3.36</v>
      </c>
      <c r="D68">
        <v>5.98</v>
      </c>
      <c r="E68">
        <v>9.56</v>
      </c>
      <c r="F68">
        <f t="shared" ref="F68:F131" si="1">AVERAGE(C68:E68)</f>
        <v>6.3</v>
      </c>
    </row>
    <row r="69" spans="3:6">
      <c r="C69">
        <v>4.8600000000000003</v>
      </c>
      <c r="D69">
        <v>7.16</v>
      </c>
      <c r="E69">
        <v>6.7</v>
      </c>
      <c r="F69">
        <f t="shared" si="1"/>
        <v>6.2399999999999993</v>
      </c>
    </row>
    <row r="70" spans="3:6">
      <c r="C70">
        <v>3.18</v>
      </c>
      <c r="D70">
        <v>13.85</v>
      </c>
      <c r="E70">
        <v>6.97</v>
      </c>
      <c r="F70">
        <f t="shared" si="1"/>
        <v>8</v>
      </c>
    </row>
    <row r="71" spans="3:6">
      <c r="C71">
        <v>14.35</v>
      </c>
      <c r="E71">
        <v>3.55</v>
      </c>
      <c r="F71">
        <f t="shared" si="1"/>
        <v>8.9499999999999993</v>
      </c>
    </row>
    <row r="72" spans="3:6">
      <c r="C72">
        <v>2.4900000000000002</v>
      </c>
      <c r="D72">
        <v>2.87</v>
      </c>
      <c r="E72">
        <v>4.47</v>
      </c>
      <c r="F72">
        <f t="shared" si="1"/>
        <v>3.2766666666666668</v>
      </c>
    </row>
    <row r="73" spans="3:6">
      <c r="C73">
        <v>2.11</v>
      </c>
      <c r="D73">
        <v>0.73</v>
      </c>
      <c r="E73" t="s">
        <v>229</v>
      </c>
      <c r="F73">
        <f t="shared" si="1"/>
        <v>1.42</v>
      </c>
    </row>
    <row r="74" spans="3:6">
      <c r="C74">
        <v>0.77</v>
      </c>
      <c r="E74" t="s">
        <v>229</v>
      </c>
      <c r="F74">
        <f t="shared" si="1"/>
        <v>0.77</v>
      </c>
    </row>
    <row r="75" spans="3:6">
      <c r="C75">
        <v>13.29</v>
      </c>
      <c r="D75">
        <v>4.9800000000000004</v>
      </c>
      <c r="E75">
        <v>2.94</v>
      </c>
      <c r="F75">
        <f t="shared" si="1"/>
        <v>7.07</v>
      </c>
    </row>
    <row r="76" spans="3:6">
      <c r="C76">
        <v>5.07</v>
      </c>
      <c r="D76">
        <v>4.46</v>
      </c>
      <c r="E76">
        <v>1.94</v>
      </c>
      <c r="F76">
        <f t="shared" si="1"/>
        <v>3.8233333333333337</v>
      </c>
    </row>
    <row r="77" spans="3:6">
      <c r="C77">
        <f>SUM(C65:C76)</f>
        <v>99.989999999999981</v>
      </c>
      <c r="D77">
        <f>SUM(D65:D76)</f>
        <v>100</v>
      </c>
      <c r="E77">
        <f>SUM(E65:E76)</f>
        <v>99.999999999999986</v>
      </c>
      <c r="F77">
        <f t="shared" si="1"/>
        <v>99.996666666666655</v>
      </c>
    </row>
    <row r="79" spans="3:6">
      <c r="C79" t="s">
        <v>154</v>
      </c>
    </row>
    <row r="80" spans="3:6">
      <c r="C80">
        <v>24.84</v>
      </c>
      <c r="D80">
        <v>17.71</v>
      </c>
      <c r="E80">
        <v>25.22</v>
      </c>
      <c r="F80">
        <f t="shared" si="1"/>
        <v>22.59</v>
      </c>
    </row>
    <row r="81" spans="3:6">
      <c r="C81">
        <v>25.82</v>
      </c>
      <c r="D81">
        <v>15.8</v>
      </c>
      <c r="E81">
        <v>21.83</v>
      </c>
      <c r="F81">
        <f t="shared" si="1"/>
        <v>21.150000000000002</v>
      </c>
    </row>
    <row r="82" spans="3:6">
      <c r="C82">
        <v>7.26</v>
      </c>
      <c r="D82">
        <v>54.85</v>
      </c>
      <c r="E82">
        <v>44.58</v>
      </c>
      <c r="F82">
        <f t="shared" si="1"/>
        <v>35.563333333333333</v>
      </c>
    </row>
    <row r="83" spans="3:6">
      <c r="C83">
        <v>6.28</v>
      </c>
      <c r="D83">
        <v>1.91</v>
      </c>
      <c r="E83">
        <v>2.42</v>
      </c>
      <c r="F83">
        <f t="shared" si="1"/>
        <v>3.5366666666666666</v>
      </c>
    </row>
    <row r="84" spans="3:6">
      <c r="C84">
        <v>7.92</v>
      </c>
      <c r="D84">
        <v>3.04</v>
      </c>
      <c r="E84">
        <v>2.62</v>
      </c>
      <c r="F84">
        <f t="shared" si="1"/>
        <v>4.5266666666666673</v>
      </c>
    </row>
    <row r="85" spans="3:6">
      <c r="C85">
        <v>2.2400000000000002</v>
      </c>
      <c r="D85">
        <v>1.3</v>
      </c>
      <c r="E85">
        <v>1.24</v>
      </c>
      <c r="F85">
        <f t="shared" si="1"/>
        <v>1.5933333333333335</v>
      </c>
    </row>
    <row r="86" spans="3:6">
      <c r="C86">
        <v>11.74</v>
      </c>
      <c r="E86" t="s">
        <v>229</v>
      </c>
      <c r="F86">
        <f t="shared" si="1"/>
        <v>11.74</v>
      </c>
    </row>
    <row r="87" spans="3:6">
      <c r="C87">
        <v>3.12</v>
      </c>
      <c r="D87">
        <v>1.1599999999999999</v>
      </c>
      <c r="E87">
        <v>1</v>
      </c>
      <c r="F87">
        <f t="shared" si="1"/>
        <v>1.76</v>
      </c>
    </row>
    <row r="88" spans="3:6">
      <c r="C88">
        <v>0.7</v>
      </c>
      <c r="D88">
        <v>0.53</v>
      </c>
      <c r="E88">
        <v>0.42</v>
      </c>
      <c r="F88">
        <f t="shared" si="1"/>
        <v>0.54999999999999993</v>
      </c>
    </row>
    <row r="89" spans="3:6">
      <c r="C89">
        <v>1.65</v>
      </c>
      <c r="D89">
        <v>1.32</v>
      </c>
      <c r="E89" t="s">
        <v>229</v>
      </c>
      <c r="F89">
        <f t="shared" si="1"/>
        <v>1.4849999999999999</v>
      </c>
    </row>
    <row r="90" spans="3:6">
      <c r="C90">
        <v>2.17</v>
      </c>
      <c r="D90">
        <v>1.78</v>
      </c>
      <c r="E90">
        <v>0.65</v>
      </c>
      <c r="F90">
        <f t="shared" si="1"/>
        <v>1.5333333333333334</v>
      </c>
    </row>
    <row r="91" spans="3:6">
      <c r="C91">
        <v>6.25</v>
      </c>
      <c r="D91">
        <v>0.57999999999999996</v>
      </c>
      <c r="E91" t="s">
        <v>229</v>
      </c>
      <c r="F91">
        <f t="shared" si="1"/>
        <v>3.415</v>
      </c>
    </row>
    <row r="92" spans="3:6">
      <c r="C92">
        <f>SUM(C80:C91)</f>
        <v>99.99</v>
      </c>
      <c r="D92">
        <f>SUM(D80:D91)</f>
        <v>99.98</v>
      </c>
      <c r="E92">
        <f>SUM(E80:E91)</f>
        <v>99.98</v>
      </c>
      <c r="F92">
        <f t="shared" si="1"/>
        <v>99.983333333333334</v>
      </c>
    </row>
    <row r="95" spans="3:6">
      <c r="C95" t="s">
        <v>231</v>
      </c>
    </row>
    <row r="96" spans="3:6">
      <c r="C96">
        <v>10.35</v>
      </c>
      <c r="D96">
        <v>18.46</v>
      </c>
      <c r="E96">
        <v>29.11</v>
      </c>
      <c r="F96">
        <f t="shared" si="1"/>
        <v>19.306666666666668</v>
      </c>
    </row>
    <row r="97" spans="3:6">
      <c r="C97">
        <v>35.04</v>
      </c>
      <c r="D97">
        <v>30.1</v>
      </c>
      <c r="E97">
        <v>39.590000000000003</v>
      </c>
      <c r="F97">
        <f t="shared" si="1"/>
        <v>34.910000000000004</v>
      </c>
    </row>
    <row r="98" spans="3:6">
      <c r="C98">
        <v>6.32</v>
      </c>
      <c r="D98">
        <v>6.62</v>
      </c>
      <c r="E98">
        <v>6.29</v>
      </c>
      <c r="F98">
        <f t="shared" si="1"/>
        <v>6.41</v>
      </c>
    </row>
    <row r="99" spans="3:6">
      <c r="C99">
        <v>4.55</v>
      </c>
      <c r="D99">
        <v>9.6300000000000008</v>
      </c>
      <c r="E99">
        <v>9.59</v>
      </c>
      <c r="F99">
        <f t="shared" si="1"/>
        <v>7.9233333333333329</v>
      </c>
    </row>
    <row r="100" spans="3:6">
      <c r="C100">
        <v>5.21</v>
      </c>
      <c r="D100">
        <v>7.57</v>
      </c>
      <c r="E100">
        <v>8.14</v>
      </c>
      <c r="F100">
        <f t="shared" si="1"/>
        <v>6.9733333333333336</v>
      </c>
    </row>
    <row r="101" spans="3:6">
      <c r="C101">
        <v>4.78</v>
      </c>
      <c r="D101">
        <v>2.4300000000000002</v>
      </c>
      <c r="E101" t="s">
        <v>229</v>
      </c>
      <c r="F101">
        <f t="shared" si="1"/>
        <v>3.6050000000000004</v>
      </c>
    </row>
    <row r="102" spans="3:6">
      <c r="C102">
        <v>12.04</v>
      </c>
      <c r="D102">
        <v>5.87</v>
      </c>
      <c r="E102" t="s">
        <v>229</v>
      </c>
      <c r="F102">
        <f t="shared" si="1"/>
        <v>8.9550000000000001</v>
      </c>
    </row>
    <row r="103" spans="3:6">
      <c r="C103">
        <v>2.93</v>
      </c>
      <c r="D103">
        <v>5.26</v>
      </c>
      <c r="E103">
        <v>4.1399999999999997</v>
      </c>
      <c r="F103">
        <f t="shared" si="1"/>
        <v>4.1099999999999994</v>
      </c>
    </row>
    <row r="104" spans="3:6">
      <c r="C104">
        <v>0.51</v>
      </c>
      <c r="E104" t="s">
        <v>229</v>
      </c>
      <c r="F104">
        <f t="shared" si="1"/>
        <v>0.51</v>
      </c>
    </row>
    <row r="105" spans="3:6">
      <c r="C105">
        <v>0.7</v>
      </c>
      <c r="E105" t="s">
        <v>229</v>
      </c>
      <c r="F105">
        <f t="shared" si="1"/>
        <v>0.7</v>
      </c>
    </row>
    <row r="106" spans="3:6">
      <c r="C106">
        <v>4.5</v>
      </c>
      <c r="D106">
        <v>2.4700000000000002</v>
      </c>
      <c r="E106">
        <v>1.43</v>
      </c>
      <c r="F106">
        <f t="shared" si="1"/>
        <v>2.8000000000000003</v>
      </c>
    </row>
    <row r="107" spans="3:6">
      <c r="C107">
        <v>13.08</v>
      </c>
      <c r="D107">
        <v>11.6</v>
      </c>
      <c r="E107">
        <v>1.71</v>
      </c>
      <c r="F107">
        <f t="shared" si="1"/>
        <v>8.7966666666666669</v>
      </c>
    </row>
    <row r="108" spans="3:6">
      <c r="C108">
        <f>SUM(C96:C107)</f>
        <v>100.01</v>
      </c>
      <c r="D108">
        <f>SUM(D96:D107)</f>
        <v>100.01</v>
      </c>
      <c r="E108">
        <f>SUM(E96:E107)</f>
        <v>100.00000000000001</v>
      </c>
      <c r="F108">
        <f t="shared" si="1"/>
        <v>100.00666666666667</v>
      </c>
    </row>
    <row r="111" spans="3:6">
      <c r="C111" t="s">
        <v>153</v>
      </c>
    </row>
    <row r="112" spans="3:6">
      <c r="C112" t="s">
        <v>229</v>
      </c>
      <c r="D112">
        <v>13.61</v>
      </c>
      <c r="E112">
        <v>2.83</v>
      </c>
      <c r="F112">
        <f t="shared" si="1"/>
        <v>8.2199999999999989</v>
      </c>
    </row>
    <row r="113" spans="3:6">
      <c r="C113">
        <v>33.340000000000003</v>
      </c>
      <c r="D113">
        <v>17.43</v>
      </c>
      <c r="E113">
        <v>13.04</v>
      </c>
      <c r="F113">
        <f t="shared" si="1"/>
        <v>21.27</v>
      </c>
    </row>
    <row r="114" spans="3:6">
      <c r="C114">
        <v>19.48</v>
      </c>
      <c r="D114">
        <v>26.36</v>
      </c>
      <c r="E114">
        <v>4.9000000000000004</v>
      </c>
      <c r="F114">
        <f t="shared" si="1"/>
        <v>16.913333333333334</v>
      </c>
    </row>
    <row r="115" spans="3:6">
      <c r="C115">
        <v>8.02</v>
      </c>
      <c r="D115">
        <v>9.4499999999999993</v>
      </c>
      <c r="E115">
        <v>8.7200000000000006</v>
      </c>
      <c r="F115">
        <f t="shared" si="1"/>
        <v>8.7299999999999986</v>
      </c>
    </row>
    <row r="116" spans="3:6">
      <c r="C116">
        <v>6.71</v>
      </c>
      <c r="D116">
        <v>4.75</v>
      </c>
      <c r="E116">
        <v>28.34</v>
      </c>
      <c r="F116">
        <f t="shared" si="1"/>
        <v>13.266666666666666</v>
      </c>
    </row>
    <row r="117" spans="3:6">
      <c r="C117" t="s">
        <v>229</v>
      </c>
      <c r="D117">
        <v>0.77</v>
      </c>
      <c r="E117">
        <v>3.25</v>
      </c>
      <c r="F117">
        <f t="shared" si="1"/>
        <v>2.0099999999999998</v>
      </c>
    </row>
    <row r="118" spans="3:6">
      <c r="C118">
        <v>4.7300000000000004</v>
      </c>
      <c r="D118">
        <v>4.18</v>
      </c>
      <c r="E118">
        <v>5.29</v>
      </c>
      <c r="F118">
        <f t="shared" si="1"/>
        <v>4.7333333333333334</v>
      </c>
    </row>
    <row r="119" spans="3:6">
      <c r="C119">
        <v>7.12</v>
      </c>
      <c r="D119">
        <v>5.08</v>
      </c>
      <c r="E119">
        <v>6.02</v>
      </c>
      <c r="F119">
        <f t="shared" si="1"/>
        <v>6.0733333333333333</v>
      </c>
    </row>
    <row r="120" spans="3:6">
      <c r="C120">
        <v>6.89</v>
      </c>
      <c r="D120">
        <v>1.67</v>
      </c>
      <c r="E120">
        <v>0.84</v>
      </c>
      <c r="F120">
        <f t="shared" si="1"/>
        <v>3.1333333333333329</v>
      </c>
    </row>
    <row r="121" spans="3:6">
      <c r="C121">
        <v>4.78</v>
      </c>
      <c r="D121">
        <v>4.4000000000000004</v>
      </c>
      <c r="E121">
        <v>1.77</v>
      </c>
      <c r="F121">
        <f t="shared" si="1"/>
        <v>3.65</v>
      </c>
    </row>
    <row r="122" spans="3:6">
      <c r="C122">
        <v>4.6900000000000004</v>
      </c>
      <c r="D122">
        <v>10.220000000000001</v>
      </c>
      <c r="E122">
        <v>0.91</v>
      </c>
      <c r="F122">
        <f t="shared" si="1"/>
        <v>5.2733333333333334</v>
      </c>
    </row>
    <row r="123" spans="3:6">
      <c r="C123">
        <v>4.2300000000000004</v>
      </c>
      <c r="D123">
        <v>2.0699999999999998</v>
      </c>
      <c r="E123">
        <v>24.09</v>
      </c>
      <c r="F123">
        <f t="shared" si="1"/>
        <v>10.130000000000001</v>
      </c>
    </row>
    <row r="124" spans="3:6">
      <c r="C124">
        <f>SUM(C112:C123)</f>
        <v>99.990000000000009</v>
      </c>
      <c r="D124">
        <f>SUM(D112:D123)</f>
        <v>99.989999999999981</v>
      </c>
      <c r="E124">
        <f>SUM(E112:E123)</f>
        <v>100</v>
      </c>
      <c r="F124">
        <f t="shared" si="1"/>
        <v>99.993333333333339</v>
      </c>
    </row>
    <row r="126" spans="3:6">
      <c r="C126" t="s">
        <v>22</v>
      </c>
    </row>
    <row r="127" spans="3:6">
      <c r="C127">
        <v>9.68</v>
      </c>
      <c r="D127">
        <v>7.9</v>
      </c>
      <c r="E127">
        <v>8.3800000000000008</v>
      </c>
      <c r="F127">
        <f t="shared" si="1"/>
        <v>8.6533333333333342</v>
      </c>
    </row>
    <row r="128" spans="3:6">
      <c r="C128">
        <v>7.23</v>
      </c>
      <c r="D128">
        <v>7.72</v>
      </c>
      <c r="E128">
        <v>15.15</v>
      </c>
      <c r="F128">
        <f t="shared" si="1"/>
        <v>10.033333333333333</v>
      </c>
    </row>
    <row r="129" spans="3:6">
      <c r="C129">
        <v>17.45</v>
      </c>
      <c r="D129">
        <v>10.78</v>
      </c>
      <c r="E129">
        <v>15.03</v>
      </c>
      <c r="F129">
        <f t="shared" si="1"/>
        <v>14.42</v>
      </c>
    </row>
    <row r="130" spans="3:6">
      <c r="C130">
        <v>2.4700000000000002</v>
      </c>
      <c r="D130">
        <v>2.5299999999999998</v>
      </c>
      <c r="E130">
        <v>4.13</v>
      </c>
      <c r="F130">
        <f t="shared" si="1"/>
        <v>3.043333333333333</v>
      </c>
    </row>
    <row r="131" spans="3:6">
      <c r="C131">
        <v>44.31</v>
      </c>
      <c r="D131">
        <v>47.16</v>
      </c>
      <c r="E131">
        <v>23.49</v>
      </c>
      <c r="F131">
        <f t="shared" si="1"/>
        <v>38.32</v>
      </c>
    </row>
    <row r="132" spans="3:6">
      <c r="C132">
        <v>3.14</v>
      </c>
      <c r="D132">
        <v>3.98</v>
      </c>
      <c r="E132">
        <v>6.16</v>
      </c>
      <c r="F132">
        <f t="shared" ref="F132:F171" si="2">AVERAGE(C132:E132)</f>
        <v>4.4266666666666667</v>
      </c>
    </row>
    <row r="133" spans="3:6">
      <c r="C133">
        <v>5.08</v>
      </c>
      <c r="D133">
        <v>5.24</v>
      </c>
      <c r="E133">
        <v>10.09</v>
      </c>
      <c r="F133">
        <f t="shared" si="2"/>
        <v>6.8033333333333337</v>
      </c>
    </row>
    <row r="134" spans="3:6">
      <c r="C134">
        <v>3.6</v>
      </c>
      <c r="D134">
        <v>1.2</v>
      </c>
      <c r="E134">
        <v>2.39</v>
      </c>
      <c r="F134">
        <f t="shared" si="2"/>
        <v>2.3966666666666665</v>
      </c>
    </row>
    <row r="135" spans="3:6">
      <c r="C135">
        <v>3.27</v>
      </c>
      <c r="D135">
        <v>0.92</v>
      </c>
      <c r="E135">
        <v>0.93</v>
      </c>
      <c r="F135">
        <f t="shared" si="2"/>
        <v>1.7066666666666668</v>
      </c>
    </row>
    <row r="136" spans="3:6">
      <c r="C136">
        <v>1.07</v>
      </c>
      <c r="D136">
        <v>2.74</v>
      </c>
      <c r="E136">
        <v>3.92</v>
      </c>
      <c r="F136">
        <f t="shared" si="2"/>
        <v>2.5766666666666667</v>
      </c>
    </row>
    <row r="137" spans="3:6">
      <c r="C137">
        <v>1.27</v>
      </c>
      <c r="D137">
        <v>8.15</v>
      </c>
      <c r="E137">
        <v>4.8099999999999996</v>
      </c>
      <c r="F137">
        <f t="shared" si="2"/>
        <v>4.7433333333333332</v>
      </c>
    </row>
    <row r="138" spans="3:6">
      <c r="C138">
        <v>1.42</v>
      </c>
      <c r="D138">
        <v>1.7</v>
      </c>
      <c r="E138">
        <v>5.53</v>
      </c>
      <c r="F138">
        <f t="shared" si="2"/>
        <v>2.8833333333333333</v>
      </c>
    </row>
    <row r="139" spans="3:6">
      <c r="C139">
        <f>SUM(C127:C138)</f>
        <v>99.989999999999981</v>
      </c>
      <c r="D139">
        <f>SUM(D127:D138)</f>
        <v>100.02000000000001</v>
      </c>
      <c r="E139">
        <f>SUM(E127:E138)</f>
        <v>100.01000000000002</v>
      </c>
      <c r="F139">
        <f t="shared" si="2"/>
        <v>100.00666666666666</v>
      </c>
    </row>
    <row r="142" spans="3:6">
      <c r="C142" t="s">
        <v>21</v>
      </c>
    </row>
    <row r="143" spans="3:6">
      <c r="C143">
        <v>7.24</v>
      </c>
      <c r="D143">
        <v>5.54</v>
      </c>
      <c r="E143">
        <v>6.78</v>
      </c>
      <c r="F143">
        <f t="shared" si="2"/>
        <v>6.5200000000000005</v>
      </c>
    </row>
    <row r="144" spans="3:6">
      <c r="C144">
        <v>18.739999999999998</v>
      </c>
      <c r="D144">
        <v>19</v>
      </c>
      <c r="E144">
        <v>20.21</v>
      </c>
      <c r="F144">
        <f t="shared" si="2"/>
        <v>19.316666666666666</v>
      </c>
    </row>
    <row r="145" spans="3:6">
      <c r="C145">
        <v>34.869999999999997</v>
      </c>
      <c r="D145">
        <v>31.46</v>
      </c>
      <c r="E145">
        <v>33.56</v>
      </c>
      <c r="F145">
        <f t="shared" si="2"/>
        <v>33.296666666666667</v>
      </c>
    </row>
    <row r="146" spans="3:6">
      <c r="C146">
        <v>1.61</v>
      </c>
      <c r="D146">
        <v>1.1100000000000001</v>
      </c>
      <c r="E146">
        <v>0.89</v>
      </c>
      <c r="F146">
        <f t="shared" si="2"/>
        <v>1.2033333333333334</v>
      </c>
    </row>
    <row r="147" spans="3:6">
      <c r="C147">
        <v>1.98</v>
      </c>
      <c r="D147">
        <v>1.67</v>
      </c>
      <c r="E147">
        <v>1.68</v>
      </c>
      <c r="F147">
        <f t="shared" si="2"/>
        <v>1.7766666666666666</v>
      </c>
    </row>
    <row r="148" spans="3:6">
      <c r="C148">
        <v>0.93</v>
      </c>
      <c r="D148">
        <v>0.88</v>
      </c>
      <c r="E148">
        <v>0.79</v>
      </c>
      <c r="F148">
        <f t="shared" si="2"/>
        <v>0.8666666666666667</v>
      </c>
    </row>
    <row r="149" spans="3:6">
      <c r="C149">
        <v>3.64</v>
      </c>
      <c r="D149">
        <v>4.46</v>
      </c>
      <c r="E149">
        <v>5.03</v>
      </c>
      <c r="F149">
        <f t="shared" si="2"/>
        <v>4.376666666666666</v>
      </c>
    </row>
    <row r="150" spans="3:6">
      <c r="C150">
        <v>2.36</v>
      </c>
      <c r="D150">
        <v>0.32</v>
      </c>
      <c r="E150">
        <v>7.51</v>
      </c>
      <c r="F150">
        <f t="shared" si="2"/>
        <v>3.3966666666666665</v>
      </c>
    </row>
    <row r="151" spans="3:6">
      <c r="C151">
        <v>1.33</v>
      </c>
      <c r="D151">
        <v>5.05</v>
      </c>
      <c r="E151">
        <v>1.69</v>
      </c>
      <c r="F151">
        <f t="shared" si="2"/>
        <v>2.69</v>
      </c>
    </row>
    <row r="152" spans="3:6">
      <c r="C152">
        <v>5.66</v>
      </c>
      <c r="D152">
        <v>6.63</v>
      </c>
      <c r="E152">
        <v>4.04</v>
      </c>
      <c r="F152">
        <f t="shared" si="2"/>
        <v>5.4433333333333325</v>
      </c>
    </row>
    <row r="153" spans="3:6">
      <c r="C153">
        <v>11.25</v>
      </c>
      <c r="D153">
        <v>16.07</v>
      </c>
      <c r="E153">
        <v>10.55</v>
      </c>
      <c r="F153">
        <f t="shared" si="2"/>
        <v>12.623333333333335</v>
      </c>
    </row>
    <row r="154" spans="3:6">
      <c r="C154">
        <v>10.4</v>
      </c>
      <c r="D154">
        <v>7.8</v>
      </c>
      <c r="E154">
        <v>7.27</v>
      </c>
      <c r="F154">
        <f t="shared" si="2"/>
        <v>8.49</v>
      </c>
    </row>
    <row r="155" spans="3:6">
      <c r="C155">
        <f>SUM(C143:C154)</f>
        <v>100.01</v>
      </c>
      <c r="D155">
        <f>SUM(D143:D154)</f>
        <v>99.99</v>
      </c>
      <c r="E155">
        <f>SUM(E143:E154)</f>
        <v>100</v>
      </c>
      <c r="F155">
        <f t="shared" si="2"/>
        <v>100</v>
      </c>
    </row>
    <row r="158" spans="3:6">
      <c r="C158" t="s">
        <v>23</v>
      </c>
    </row>
    <row r="159" spans="3:6">
      <c r="C159" t="s">
        <v>229</v>
      </c>
      <c r="E159" t="s">
        <v>229</v>
      </c>
    </row>
    <row r="160" spans="3:6">
      <c r="C160">
        <v>44.38</v>
      </c>
      <c r="D160">
        <v>26.6</v>
      </c>
      <c r="E160">
        <v>7.45</v>
      </c>
      <c r="F160">
        <f t="shared" si="2"/>
        <v>26.143333333333334</v>
      </c>
    </row>
    <row r="161" spans="3:6">
      <c r="C161">
        <v>15.77</v>
      </c>
      <c r="D161">
        <v>11.32</v>
      </c>
      <c r="E161">
        <v>2.99</v>
      </c>
      <c r="F161">
        <f t="shared" si="2"/>
        <v>10.026666666666666</v>
      </c>
    </row>
    <row r="162" spans="3:6">
      <c r="C162">
        <v>7.72</v>
      </c>
      <c r="D162">
        <v>11.14</v>
      </c>
      <c r="E162">
        <v>4.1500000000000004</v>
      </c>
      <c r="F162">
        <f t="shared" si="2"/>
        <v>7.669999999999999</v>
      </c>
    </row>
    <row r="163" spans="3:6">
      <c r="C163">
        <v>3.43</v>
      </c>
      <c r="D163">
        <v>5.61</v>
      </c>
      <c r="E163">
        <v>3.73</v>
      </c>
      <c r="F163">
        <f t="shared" si="2"/>
        <v>4.2566666666666668</v>
      </c>
    </row>
    <row r="164" spans="3:6">
      <c r="C164" t="s">
        <v>229</v>
      </c>
      <c r="D164">
        <v>8.34</v>
      </c>
      <c r="E164">
        <v>4.79</v>
      </c>
      <c r="F164">
        <f t="shared" si="2"/>
        <v>6.5649999999999995</v>
      </c>
    </row>
    <row r="165" spans="3:6">
      <c r="C165">
        <v>1.9</v>
      </c>
      <c r="D165">
        <v>4.8099999999999996</v>
      </c>
      <c r="E165">
        <v>2.25</v>
      </c>
      <c r="F165">
        <f t="shared" si="2"/>
        <v>2.9866666666666664</v>
      </c>
    </row>
    <row r="166" spans="3:6">
      <c r="C166">
        <v>6.13</v>
      </c>
      <c r="D166">
        <v>12.12</v>
      </c>
      <c r="E166">
        <v>4.8499999999999996</v>
      </c>
      <c r="F166">
        <f t="shared" si="2"/>
        <v>7.7</v>
      </c>
    </row>
    <row r="167" spans="3:6">
      <c r="C167" t="s">
        <v>229</v>
      </c>
      <c r="E167">
        <v>2.34</v>
      </c>
      <c r="F167">
        <f t="shared" si="2"/>
        <v>2.34</v>
      </c>
    </row>
    <row r="168" spans="3:6">
      <c r="C168" t="s">
        <v>229</v>
      </c>
      <c r="D168">
        <v>4.46</v>
      </c>
      <c r="E168">
        <v>34.770000000000003</v>
      </c>
      <c r="F168">
        <f t="shared" si="2"/>
        <v>19.615000000000002</v>
      </c>
    </row>
    <row r="169" spans="3:6">
      <c r="C169">
        <v>2.0099999999999998</v>
      </c>
      <c r="D169">
        <v>5.78</v>
      </c>
      <c r="E169">
        <v>25.36</v>
      </c>
      <c r="F169">
        <f t="shared" si="2"/>
        <v>11.049999999999999</v>
      </c>
    </row>
    <row r="170" spans="3:6">
      <c r="C170">
        <v>18.66</v>
      </c>
      <c r="D170">
        <v>9.82</v>
      </c>
      <c r="E170">
        <v>7.33</v>
      </c>
      <c r="F170">
        <f t="shared" si="2"/>
        <v>11.936666666666667</v>
      </c>
    </row>
    <row r="171" spans="3:6">
      <c r="C171">
        <f>SUM(C159:C170)</f>
        <v>100.00000000000001</v>
      </c>
      <c r="D171">
        <f>SUM(D159:D170)</f>
        <v>100</v>
      </c>
      <c r="E171">
        <f>SUM(E159:E170)</f>
        <v>100.00999999999999</v>
      </c>
      <c r="F171">
        <f t="shared" si="2"/>
        <v>100.00333333333333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864F-B9B4-4C63-9BB8-0F0C5C2E78E7}">
  <dimension ref="C6:P27"/>
  <sheetViews>
    <sheetView workbookViewId="0">
      <selection activeCell="M16" sqref="M16:O16"/>
    </sheetView>
  </sheetViews>
  <sheetFormatPr defaultRowHeight="15"/>
  <cols>
    <col min="4" max="4" width="35.5703125" customWidth="1"/>
    <col min="5" max="5" width="10" bestFit="1" customWidth="1"/>
    <col min="7" max="7" width="9.5703125" bestFit="1" customWidth="1"/>
    <col min="8" max="8" width="15.7109375" bestFit="1" customWidth="1"/>
  </cols>
  <sheetData>
    <row r="6" spans="3:16">
      <c r="G6" t="s">
        <v>150</v>
      </c>
      <c r="I6" t="s">
        <v>11</v>
      </c>
    </row>
    <row r="7" spans="3:16">
      <c r="E7" t="s">
        <v>14</v>
      </c>
      <c r="F7" t="s">
        <v>250</v>
      </c>
      <c r="G7" t="s">
        <v>307</v>
      </c>
      <c r="H7" t="s">
        <v>308</v>
      </c>
      <c r="I7" t="s">
        <v>255</v>
      </c>
      <c r="O7" t="s">
        <v>310</v>
      </c>
    </row>
    <row r="8" spans="3:16">
      <c r="D8" t="s">
        <v>251</v>
      </c>
      <c r="E8" t="s">
        <v>252</v>
      </c>
      <c r="F8">
        <v>386.65</v>
      </c>
      <c r="G8">
        <v>90.33</v>
      </c>
      <c r="H8">
        <f>G8/$G$25</f>
        <v>5.8500854877985606E-2</v>
      </c>
      <c r="I8">
        <v>0</v>
      </c>
      <c r="J8">
        <f t="shared" ref="J8:J24" si="0">I8/$I$25</f>
        <v>0</v>
      </c>
      <c r="K8" s="9">
        <f>AVERAGE(H8,J8)</f>
        <v>2.9250427438992803E-2</v>
      </c>
      <c r="L8">
        <f>K8/$K$25*100</f>
        <v>2.5564086207824506</v>
      </c>
      <c r="M8">
        <f>IF(L8&gt;1,L8,0)</f>
        <v>2.5564086207824506</v>
      </c>
      <c r="N8">
        <f>M8/$M$25</f>
        <v>5.0760714349952912E-2</v>
      </c>
      <c r="O8" s="38">
        <f>N8/F8*1000</f>
        <v>0.13128336829161494</v>
      </c>
      <c r="P8">
        <f>O8*F8*'Macromolecular Composition'!$F$9</f>
        <v>0.61690200776171666</v>
      </c>
    </row>
    <row r="9" spans="3:16">
      <c r="D9" s="33" t="s">
        <v>303</v>
      </c>
      <c r="E9" s="36"/>
      <c r="F9" s="33"/>
      <c r="G9" s="33">
        <v>2.3199999999999998</v>
      </c>
      <c r="H9" s="33">
        <f t="shared" ref="H9:H24" si="1">G9/$G$25</f>
        <v>1.5025128231697842E-3</v>
      </c>
      <c r="I9" s="33"/>
      <c r="J9" s="33">
        <f t="shared" si="0"/>
        <v>0</v>
      </c>
      <c r="K9" s="34">
        <f t="shared" ref="K9:K24" si="2">AVERAGE(H9,J9)</f>
        <v>7.512564115848921E-4</v>
      </c>
      <c r="L9" s="33">
        <f t="shared" ref="L9:L24" si="3">K9/$K$25*100</f>
        <v>6.5657788112645693E-2</v>
      </c>
      <c r="M9">
        <f t="shared" ref="M9:M10" si="4">IF(L9&gt;1,L9,0)</f>
        <v>0</v>
      </c>
      <c r="N9">
        <f t="shared" ref="N9:N24" si="5">M9/$M$25</f>
        <v>0</v>
      </c>
      <c r="O9" s="38"/>
      <c r="P9">
        <f>O9*F9*'Macromolecular Composition'!$F$9</f>
        <v>0</v>
      </c>
    </row>
    <row r="10" spans="3:16">
      <c r="D10" s="33" t="s">
        <v>253</v>
      </c>
      <c r="E10" s="36" t="s">
        <v>254</v>
      </c>
      <c r="F10" s="33">
        <v>398.67</v>
      </c>
      <c r="G10" s="33">
        <v>22.42</v>
      </c>
      <c r="H10" s="33">
        <f t="shared" si="1"/>
        <v>1.4519973058390761E-2</v>
      </c>
      <c r="I10" s="33">
        <v>0.53</v>
      </c>
      <c r="J10" s="33">
        <f t="shared" si="0"/>
        <v>5.2999999999999992E-3</v>
      </c>
      <c r="K10" s="34">
        <f t="shared" si="2"/>
        <v>9.9099865291953811E-3</v>
      </c>
      <c r="L10" s="33">
        <f t="shared" si="3"/>
        <v>0.86610614658236151</v>
      </c>
      <c r="M10">
        <f t="shared" si="4"/>
        <v>0</v>
      </c>
      <c r="N10">
        <f t="shared" si="5"/>
        <v>0</v>
      </c>
      <c r="O10" s="38"/>
      <c r="P10">
        <f>O10*F10*'Macromolecular Composition'!$F$9</f>
        <v>0</v>
      </c>
    </row>
    <row r="11" spans="3:16">
      <c r="D11" s="33" t="s">
        <v>304</v>
      </c>
      <c r="E11" s="36"/>
      <c r="F11" s="33"/>
      <c r="G11" s="33">
        <v>1.42</v>
      </c>
      <c r="H11" s="33">
        <f t="shared" si="1"/>
        <v>9.1964146935391957E-4</v>
      </c>
      <c r="I11" s="33"/>
      <c r="J11" s="33">
        <f t="shared" si="0"/>
        <v>0</v>
      </c>
      <c r="K11" s="34">
        <f t="shared" si="2"/>
        <v>4.5982073467695978E-4</v>
      </c>
      <c r="L11" s="33">
        <f t="shared" si="3"/>
        <v>4.0187094448257271E-2</v>
      </c>
      <c r="M11">
        <f>IF(L11&gt;1,L11,0)</f>
        <v>0</v>
      </c>
      <c r="N11">
        <f t="shared" si="5"/>
        <v>0</v>
      </c>
      <c r="O11" s="38"/>
      <c r="P11">
        <f>O11*F11*'Macromolecular Composition'!$F$9</f>
        <v>0</v>
      </c>
    </row>
    <row r="12" spans="3:16">
      <c r="C12" t="s">
        <v>1193</v>
      </c>
      <c r="D12" s="6" t="s">
        <v>256</v>
      </c>
      <c r="E12" s="63" t="s">
        <v>314</v>
      </c>
      <c r="F12" s="6">
        <v>400.7</v>
      </c>
      <c r="G12">
        <v>131.22</v>
      </c>
      <c r="H12">
        <f>G12/$G$25</f>
        <v>8.4982643386353057E-2</v>
      </c>
      <c r="I12" s="6">
        <v>8.36</v>
      </c>
      <c r="J12">
        <f t="shared" si="0"/>
        <v>8.359999999999998E-2</v>
      </c>
      <c r="K12" s="9">
        <f t="shared" si="2"/>
        <v>8.4291321693176519E-2</v>
      </c>
      <c r="L12">
        <f t="shared" si="3"/>
        <v>7.3668346174774095</v>
      </c>
      <c r="M12">
        <f>IF(L12&gt;1,L12,0)</f>
        <v>7.3668346174774095</v>
      </c>
      <c r="N12">
        <f t="shared" si="5"/>
        <v>0.14627778385705031</v>
      </c>
      <c r="O12" s="38">
        <f t="shared" ref="O12:O21" si="6">N12/F12*1000</f>
        <v>0.36505561232106393</v>
      </c>
      <c r="P12">
        <f>O12*F12*'Macromolecular Composition'!$F$9</f>
        <v>1.7777342125295064</v>
      </c>
    </row>
    <row r="13" spans="3:16">
      <c r="D13" s="33" t="s">
        <v>257</v>
      </c>
      <c r="E13" s="36" t="s">
        <v>265</v>
      </c>
      <c r="F13" s="33">
        <v>400.37052</v>
      </c>
      <c r="G13" s="33"/>
      <c r="H13" s="33"/>
      <c r="I13" s="33">
        <v>0.39</v>
      </c>
      <c r="J13" s="33">
        <f t="shared" si="0"/>
        <v>3.8999999999999994E-3</v>
      </c>
      <c r="K13" s="34">
        <f t="shared" si="2"/>
        <v>3.8999999999999994E-3</v>
      </c>
      <c r="L13" s="33">
        <f t="shared" si="3"/>
        <v>0.3408495018353434</v>
      </c>
      <c r="M13" s="33">
        <f t="shared" ref="M13:M24" si="7">IF(L13&gt;1,L13,0)</f>
        <v>0</v>
      </c>
      <c r="N13">
        <f t="shared" si="5"/>
        <v>0</v>
      </c>
      <c r="O13" s="38"/>
      <c r="P13">
        <f>O13*F13*'Macromolecular Composition'!$F$9</f>
        <v>0</v>
      </c>
    </row>
    <row r="14" spans="3:16">
      <c r="D14" t="s">
        <v>258</v>
      </c>
      <c r="E14" s="14" t="s">
        <v>266</v>
      </c>
      <c r="F14">
        <v>412.69080000000002</v>
      </c>
      <c r="G14">
        <v>486.33</v>
      </c>
      <c r="H14">
        <f t="shared" si="1"/>
        <v>0.31496425055696603</v>
      </c>
      <c r="I14">
        <v>35.61</v>
      </c>
      <c r="J14">
        <f t="shared" si="0"/>
        <v>0.35609999999999992</v>
      </c>
      <c r="K14" s="9">
        <f t="shared" si="2"/>
        <v>0.33553212527848297</v>
      </c>
      <c r="L14">
        <f t="shared" si="3"/>
        <v>29.324604551519222</v>
      </c>
      <c r="M14">
        <f t="shared" si="7"/>
        <v>29.324604551519222</v>
      </c>
      <c r="N14">
        <f t="shared" si="5"/>
        <v>0.58227697362771114</v>
      </c>
      <c r="O14" s="38">
        <f t="shared" si="6"/>
        <v>1.4109279238299257</v>
      </c>
      <c r="P14">
        <f>O14*F14*'Macromolecular Composition'!$F$9</f>
        <v>7.0764928883370679</v>
      </c>
    </row>
    <row r="15" spans="3:16">
      <c r="D15" s="32" t="s">
        <v>259</v>
      </c>
      <c r="E15" s="37"/>
      <c r="F15" s="32">
        <v>414.71</v>
      </c>
      <c r="G15" s="32"/>
      <c r="H15" s="32"/>
      <c r="I15" s="32">
        <v>4.3099999999999996</v>
      </c>
      <c r="J15" s="32">
        <f t="shared" si="0"/>
        <v>4.3099999999999992E-2</v>
      </c>
      <c r="K15" s="35">
        <f t="shared" si="2"/>
        <v>4.3099999999999992E-2</v>
      </c>
      <c r="L15" s="32">
        <f t="shared" si="3"/>
        <v>3.7668239818213585</v>
      </c>
      <c r="M15" s="32">
        <v>0</v>
      </c>
      <c r="N15" s="32">
        <f t="shared" si="5"/>
        <v>0</v>
      </c>
      <c r="O15" s="38"/>
      <c r="P15">
        <f>O15*F15*'Macromolecular Composition'!$F$9</f>
        <v>0</v>
      </c>
    </row>
    <row r="16" spans="3:16">
      <c r="D16" t="s">
        <v>312</v>
      </c>
      <c r="E16" s="39" t="s">
        <v>313</v>
      </c>
      <c r="F16">
        <v>414.7</v>
      </c>
      <c r="G16">
        <v>18.12</v>
      </c>
      <c r="H16">
        <f t="shared" si="1"/>
        <v>1.1735143256826074E-2</v>
      </c>
      <c r="I16">
        <v>24.26</v>
      </c>
      <c r="J16">
        <f t="shared" si="0"/>
        <v>0.24259999999999998</v>
      </c>
      <c r="K16" s="9">
        <f t="shared" si="2"/>
        <v>0.12716757162841302</v>
      </c>
      <c r="L16">
        <f t="shared" si="3"/>
        <v>11.114103445937163</v>
      </c>
      <c r="M16">
        <f t="shared" si="7"/>
        <v>11.114103445937163</v>
      </c>
      <c r="N16">
        <f t="shared" si="5"/>
        <v>0.22068452816528561</v>
      </c>
      <c r="O16" s="38">
        <f t="shared" si="6"/>
        <v>0.53215463748561764</v>
      </c>
      <c r="P16">
        <f>O16*F16*'Macromolecular Composition'!$F$9</f>
        <v>2.6820097047597615</v>
      </c>
    </row>
    <row r="17" spans="3:16">
      <c r="D17" s="33" t="s">
        <v>305</v>
      </c>
      <c r="E17" s="36"/>
      <c r="F17" s="33"/>
      <c r="G17" s="33">
        <v>1.36</v>
      </c>
      <c r="H17" s="33">
        <f t="shared" si="1"/>
        <v>8.8078337909952879E-4</v>
      </c>
      <c r="I17" s="33">
        <v>0</v>
      </c>
      <c r="J17" s="33">
        <f t="shared" si="0"/>
        <v>0</v>
      </c>
      <c r="K17" s="34">
        <f t="shared" si="2"/>
        <v>4.4039168954976439E-4</v>
      </c>
      <c r="L17" s="33">
        <f t="shared" si="3"/>
        <v>3.8489048203964725E-2</v>
      </c>
      <c r="M17" s="33">
        <f t="shared" si="7"/>
        <v>0</v>
      </c>
      <c r="N17">
        <f t="shared" si="5"/>
        <v>0</v>
      </c>
      <c r="O17" s="38"/>
    </row>
    <row r="18" spans="3:16">
      <c r="D18" s="40" t="s">
        <v>306</v>
      </c>
      <c r="E18" s="43">
        <v>129726107</v>
      </c>
      <c r="F18" s="40">
        <v>428.7</v>
      </c>
      <c r="G18" s="40">
        <v>787.06</v>
      </c>
      <c r="H18" s="40">
        <f t="shared" si="1"/>
        <v>0.50972747526034923</v>
      </c>
      <c r="I18" s="40"/>
      <c r="J18" s="40">
        <f t="shared" si="0"/>
        <v>0</v>
      </c>
      <c r="K18" s="41">
        <f t="shared" si="2"/>
        <v>0.25486373763017461</v>
      </c>
      <c r="L18" s="40">
        <f t="shared" si="3"/>
        <v>22.274404617215048</v>
      </c>
      <c r="M18" s="40">
        <v>0</v>
      </c>
      <c r="N18" s="40">
        <f t="shared" si="5"/>
        <v>0</v>
      </c>
      <c r="O18" s="42">
        <f t="shared" si="6"/>
        <v>0</v>
      </c>
    </row>
    <row r="19" spans="3:16" ht="14.25" customHeight="1">
      <c r="D19" s="33" t="s">
        <v>260</v>
      </c>
      <c r="E19" s="36">
        <v>129650159</v>
      </c>
      <c r="F19" s="33">
        <v>416.7</v>
      </c>
      <c r="G19" s="33"/>
      <c r="H19" s="33"/>
      <c r="I19" s="33">
        <v>0.09</v>
      </c>
      <c r="J19" s="33">
        <f t="shared" si="0"/>
        <v>8.9999999999999987E-4</v>
      </c>
      <c r="K19" s="34">
        <f t="shared" si="2"/>
        <v>8.9999999999999987E-4</v>
      </c>
      <c r="L19" s="33">
        <f t="shared" si="3"/>
        <v>7.8657577346617699E-2</v>
      </c>
      <c r="M19" s="33">
        <f t="shared" si="7"/>
        <v>0</v>
      </c>
      <c r="N19">
        <f t="shared" si="5"/>
        <v>0</v>
      </c>
      <c r="O19" s="38"/>
    </row>
    <row r="20" spans="3:16">
      <c r="D20" s="40" t="s">
        <v>261</v>
      </c>
      <c r="E20" s="43">
        <v>129703745</v>
      </c>
      <c r="F20" s="40">
        <v>414.7</v>
      </c>
      <c r="G20" s="40"/>
      <c r="H20" s="40"/>
      <c r="I20" s="40">
        <v>2.0499999999999998</v>
      </c>
      <c r="J20" s="40">
        <f t="shared" si="0"/>
        <v>2.0499999999999994E-2</v>
      </c>
      <c r="K20" s="41">
        <f t="shared" si="2"/>
        <v>2.0499999999999994E-2</v>
      </c>
      <c r="L20" s="40">
        <f t="shared" si="3"/>
        <v>1.7916448173396253</v>
      </c>
      <c r="M20" s="40">
        <v>0</v>
      </c>
      <c r="N20" s="40">
        <f t="shared" si="5"/>
        <v>0</v>
      </c>
      <c r="O20" s="42">
        <f t="shared" si="6"/>
        <v>0</v>
      </c>
    </row>
    <row r="21" spans="3:16">
      <c r="D21" s="40" t="s">
        <v>262</v>
      </c>
      <c r="E21" s="43">
        <v>129703737</v>
      </c>
      <c r="F21" s="40">
        <v>428.7</v>
      </c>
      <c r="G21" s="40"/>
      <c r="H21" s="40"/>
      <c r="I21" s="40">
        <v>22</v>
      </c>
      <c r="J21" s="40">
        <f t="shared" si="0"/>
        <v>0.21999999999999997</v>
      </c>
      <c r="K21" s="41">
        <f t="shared" si="2"/>
        <v>0.21999999999999997</v>
      </c>
      <c r="L21" s="40">
        <f t="shared" si="3"/>
        <v>19.227407795839884</v>
      </c>
      <c r="M21" s="40">
        <v>0</v>
      </c>
      <c r="N21" s="40">
        <f t="shared" si="5"/>
        <v>0</v>
      </c>
      <c r="O21" s="42">
        <f t="shared" si="6"/>
        <v>0</v>
      </c>
    </row>
    <row r="22" spans="3:16">
      <c r="D22" s="33" t="s">
        <v>263</v>
      </c>
      <c r="E22" s="36"/>
      <c r="F22" s="33">
        <v>444.73</v>
      </c>
      <c r="G22" s="33">
        <v>0.08</v>
      </c>
      <c r="H22" s="33">
        <f t="shared" si="1"/>
        <v>5.1810787005854631E-5</v>
      </c>
      <c r="I22" s="33">
        <v>0.42</v>
      </c>
      <c r="J22" s="33">
        <f t="shared" si="0"/>
        <v>4.1999999999999989E-3</v>
      </c>
      <c r="K22" s="34">
        <f t="shared" si="2"/>
        <v>2.1259053935029268E-3</v>
      </c>
      <c r="L22" s="33">
        <f t="shared" si="3"/>
        <v>0.18579840880116472</v>
      </c>
      <c r="M22" s="33">
        <f t="shared" si="7"/>
        <v>0</v>
      </c>
      <c r="N22">
        <f t="shared" si="5"/>
        <v>0</v>
      </c>
      <c r="O22" s="38"/>
    </row>
    <row r="23" spans="3:16">
      <c r="C23" t="s">
        <v>268</v>
      </c>
      <c r="D23" s="33" t="s">
        <v>264</v>
      </c>
      <c r="E23" s="36">
        <v>29216500</v>
      </c>
      <c r="F23" s="33">
        <v>432.72199999999998</v>
      </c>
      <c r="G23" s="33">
        <v>1.8</v>
      </c>
      <c r="H23" s="33">
        <f t="shared" si="1"/>
        <v>1.1657427076317292E-3</v>
      </c>
      <c r="I23" s="33">
        <v>1.98</v>
      </c>
      <c r="J23" s="33">
        <f t="shared" si="0"/>
        <v>1.9799999999999998E-2</v>
      </c>
      <c r="K23" s="34">
        <f t="shared" si="2"/>
        <v>1.0482871353815863E-2</v>
      </c>
      <c r="L23" s="33">
        <f>K23/$K$25*100</f>
        <v>0.91617473814157169</v>
      </c>
      <c r="M23" s="33">
        <f t="shared" si="7"/>
        <v>0</v>
      </c>
      <c r="N23">
        <f t="shared" si="5"/>
        <v>0</v>
      </c>
      <c r="O23" s="38"/>
    </row>
    <row r="24" spans="3:16">
      <c r="D24" s="33" t="s">
        <v>267</v>
      </c>
      <c r="E24" s="36" t="s">
        <v>309</v>
      </c>
      <c r="F24" s="33">
        <v>446.74900000000002</v>
      </c>
      <c r="G24" s="33">
        <v>1.62</v>
      </c>
      <c r="H24" s="33">
        <f t="shared" si="1"/>
        <v>1.0491684368685564E-3</v>
      </c>
      <c r="I24" s="33"/>
      <c r="J24" s="33">
        <f t="shared" si="0"/>
        <v>0</v>
      </c>
      <c r="K24" s="34">
        <f t="shared" si="2"/>
        <v>5.2458421843427818E-4</v>
      </c>
      <c r="L24" s="33">
        <f t="shared" si="3"/>
        <v>4.5847248595899157E-2</v>
      </c>
      <c r="M24" s="33">
        <f t="shared" si="7"/>
        <v>0</v>
      </c>
      <c r="N24">
        <f t="shared" si="5"/>
        <v>0</v>
      </c>
      <c r="O24" s="38"/>
    </row>
    <row r="25" spans="3:16">
      <c r="G25">
        <f t="shared" ref="G25:L25" si="8">SUM(G8:G24)</f>
        <v>1544.0799999999997</v>
      </c>
      <c r="H25">
        <f t="shared" si="8"/>
        <v>1.0000000000000002</v>
      </c>
      <c r="I25">
        <f t="shared" si="8"/>
        <v>100.00000000000001</v>
      </c>
      <c r="J25">
        <f t="shared" si="8"/>
        <v>0.99999999999999989</v>
      </c>
      <c r="K25" s="9">
        <f t="shared" si="8"/>
        <v>1.1442000000000001</v>
      </c>
      <c r="L25">
        <f t="shared" si="8"/>
        <v>100</v>
      </c>
      <c r="M25">
        <f>SUM(M8:M24)</f>
        <v>50.361951235716248</v>
      </c>
      <c r="N25">
        <f>SUM(N8:N24)</f>
        <v>1</v>
      </c>
      <c r="O25" s="38">
        <f>SUM(O8:O24)</f>
        <v>2.4394215419282226</v>
      </c>
      <c r="P25">
        <f>SUM(P8:P16)</f>
        <v>12.15313881338805</v>
      </c>
    </row>
    <row r="26" spans="3:16">
      <c r="G26">
        <f>G25/1000000</f>
        <v>1.5440799999999998E-3</v>
      </c>
      <c r="I26">
        <f>26.05</f>
        <v>26.05</v>
      </c>
    </row>
    <row r="27" spans="3:16">
      <c r="I27">
        <f>I26/1000</f>
        <v>2.605E-2</v>
      </c>
    </row>
  </sheetData>
  <hyperlinks>
    <hyperlink ref="E16" r:id="rId1" display="https://www.kegg.jp/entry/C19654" xr:uid="{96D407E5-EBD3-41ED-AA1C-2CE8C97F6B2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Macromolecular Composition</vt:lpstr>
      <vt:lpstr>Protein</vt:lpstr>
      <vt:lpstr>RNA</vt:lpstr>
      <vt:lpstr>DNA</vt:lpstr>
      <vt:lpstr>Lipid</vt:lpstr>
      <vt:lpstr>Lipid-FA (2)</vt:lpstr>
      <vt:lpstr>Sheet1</vt:lpstr>
      <vt:lpstr>Sheet3</vt:lpstr>
      <vt:lpstr>Sterols</vt:lpstr>
      <vt:lpstr>Carbohydrates</vt:lpstr>
      <vt:lpstr>Acids</vt:lpstr>
      <vt:lpstr>Pigments</vt:lpstr>
      <vt:lpstr>Cofactors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BioSystems UM</dc:creator>
  <cp:lastModifiedBy>Emanuel Rodrigues da Cunha</cp:lastModifiedBy>
  <dcterms:created xsi:type="dcterms:W3CDTF">2015-06-05T18:17:20Z</dcterms:created>
  <dcterms:modified xsi:type="dcterms:W3CDTF">2025-02-05T17:18:34Z</dcterms:modified>
</cp:coreProperties>
</file>