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"/>
    </mc:Choice>
  </mc:AlternateContent>
  <xr:revisionPtr revIDLastSave="0" documentId="13_ncr:1_{EFB8CE9B-DDB5-4382-A067-746493E8B842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cromolecular Composition" sheetId="1" r:id="rId1"/>
    <sheet name="Complete Table" sheetId="13" r:id="rId2"/>
    <sheet name="Protein" sheetId="2" r:id="rId3"/>
    <sheet name="RNA" sheetId="3" r:id="rId4"/>
    <sheet name="DNA" sheetId="4" r:id="rId5"/>
    <sheet name="Lipid" sheetId="5" r:id="rId6"/>
    <sheet name="Carbohydrates" sheetId="6" r:id="rId7"/>
    <sheet name="Acids" sheetId="9" r:id="rId8"/>
    <sheet name="Pigments" sheetId="7" r:id="rId9"/>
    <sheet name="Sterols" sheetId="12" r:id="rId10"/>
    <sheet name="Cofactors" sheetId="8" r:id="rId11"/>
  </sheets>
  <externalReferences>
    <externalReference r:id="rId12"/>
  </externalReferences>
  <definedNames>
    <definedName name="solver_adj" localSheetId="5" hidden="1">Lipid!$AL$119:$AL$126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5" hidden="1">2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Lipid!$AL$127</definedName>
    <definedName name="solver_lhs2" localSheetId="5" hidden="1">Lipid!$AL$127</definedName>
    <definedName name="solver_lhs3" localSheetId="5" hidden="1">Lipid!$AP$127</definedName>
    <definedName name="solver_mip" localSheetId="5" hidden="1">2147483647</definedName>
    <definedName name="solver_mni" localSheetId="5" hidden="1">30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Lipid!$AR$127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el3" localSheetId="5" hidden="1">2</definedName>
    <definedName name="solver_rhs1" localSheetId="5" hidden="1">1.01</definedName>
    <definedName name="solver_rhs2" localSheetId="5" hidden="1">0.99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6" l="1"/>
  <c r="K22" i="6"/>
  <c r="K21" i="6"/>
  <c r="K20" i="6"/>
  <c r="M4" i="5"/>
  <c r="S12" i="7"/>
  <c r="T12" i="7"/>
  <c r="T4" i="7"/>
  <c r="T5" i="7"/>
  <c r="T6" i="7"/>
  <c r="T7" i="7"/>
  <c r="T8" i="7"/>
  <c r="T9" i="7"/>
  <c r="T10" i="7"/>
  <c r="T11" i="7"/>
  <c r="E12" i="7"/>
  <c r="F12" i="7"/>
  <c r="G12" i="7"/>
  <c r="I7" i="7"/>
  <c r="I18" i="8" l="1"/>
  <c r="I27" i="8"/>
  <c r="I15" i="8"/>
  <c r="I5" i="8"/>
  <c r="H4" i="8"/>
  <c r="H2" i="2"/>
  <c r="H6" i="2" s="1"/>
  <c r="I24" i="2"/>
  <c r="I4" i="8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67" i="13"/>
  <c r="C64" i="13"/>
  <c r="C65" i="13"/>
  <c r="C66" i="13"/>
  <c r="C63" i="13"/>
  <c r="C60" i="13"/>
  <c r="C61" i="13"/>
  <c r="C62" i="13"/>
  <c r="C5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39" i="13"/>
  <c r="D35" i="13"/>
  <c r="D36" i="13"/>
  <c r="D37" i="13"/>
  <c r="D38" i="13"/>
  <c r="D34" i="13"/>
  <c r="C35" i="13"/>
  <c r="C36" i="13"/>
  <c r="C37" i="13"/>
  <c r="C38" i="13"/>
  <c r="C34" i="13"/>
  <c r="C31" i="13"/>
  <c r="C32" i="13"/>
  <c r="C33" i="13"/>
  <c r="C30" i="13"/>
  <c r="H22" i="13"/>
  <c r="C23" i="13"/>
  <c r="C24" i="13"/>
  <c r="C25" i="13"/>
  <c r="C26" i="13"/>
  <c r="C27" i="13"/>
  <c r="C28" i="13"/>
  <c r="C29" i="13"/>
  <c r="C22" i="13"/>
  <c r="C7" i="13"/>
  <c r="C8" i="13"/>
  <c r="C9" i="13"/>
  <c r="C10" i="13"/>
  <c r="C11" i="13"/>
  <c r="C12" i="13"/>
  <c r="C13" i="13"/>
  <c r="C14" i="13"/>
  <c r="C15" i="13"/>
  <c r="C16" i="13"/>
  <c r="C17" i="13"/>
  <c r="C6" i="13"/>
  <c r="C21" i="13"/>
  <c r="C20" i="13"/>
  <c r="C19" i="13"/>
  <c r="C18" i="13"/>
  <c r="Q10" i="13"/>
  <c r="E5" i="5"/>
  <c r="H21" i="2" l="1"/>
  <c r="H34" i="13"/>
  <c r="F34" i="13"/>
  <c r="E34" i="13"/>
  <c r="H10" i="7" l="1"/>
  <c r="F11" i="1"/>
  <c r="D12" i="1"/>
  <c r="J4" i="7"/>
  <c r="F7" i="7"/>
  <c r="F5" i="7"/>
  <c r="F10" i="7"/>
  <c r="I10" i="7" s="1"/>
  <c r="H7" i="9" l="1"/>
  <c r="G4" i="5"/>
  <c r="Z22" i="5"/>
  <c r="Z21" i="5"/>
  <c r="Z20" i="5"/>
  <c r="Z19" i="5"/>
  <c r="Z18" i="5"/>
  <c r="Z17" i="5"/>
  <c r="Z16" i="5"/>
  <c r="Z15" i="5"/>
  <c r="Z14" i="5"/>
  <c r="Z13" i="5"/>
  <c r="Z12" i="5"/>
  <c r="Z11" i="5"/>
  <c r="Z23" i="5" l="1"/>
  <c r="H13" i="4" l="1"/>
  <c r="H13" i="3"/>
  <c r="F4" i="1"/>
  <c r="E9" i="6"/>
  <c r="E7" i="6"/>
  <c r="F7" i="1"/>
  <c r="F6" i="1"/>
  <c r="F5" i="1"/>
  <c r="I5" i="7"/>
  <c r="H4" i="7"/>
  <c r="J10" i="7"/>
  <c r="K4" i="7" l="1"/>
  <c r="F10" i="1"/>
  <c r="F8" i="1"/>
  <c r="H8" i="12"/>
  <c r="J8" i="12"/>
  <c r="I20" i="5"/>
  <c r="F4" i="5"/>
  <c r="E4" i="5"/>
  <c r="O4" i="7" l="1"/>
  <c r="I8" i="12"/>
  <c r="M9" i="12"/>
  <c r="M10" i="12"/>
  <c r="M11" i="12"/>
  <c r="M12" i="12"/>
  <c r="M13" i="12"/>
  <c r="M8" i="12"/>
  <c r="L8" i="12"/>
  <c r="F16" i="12"/>
  <c r="K8" i="12"/>
  <c r="L10" i="12"/>
  <c r="J13" i="12"/>
  <c r="J12" i="12"/>
  <c r="L13" i="12"/>
  <c r="J10" i="12"/>
  <c r="J5" i="7" l="1"/>
  <c r="J12" i="7" s="1"/>
  <c r="J7" i="7"/>
  <c r="K7" i="7" s="1"/>
  <c r="K8" i="7" s="1"/>
  <c r="O8" i="7" s="1"/>
  <c r="H6" i="7"/>
  <c r="K6" i="7" s="1"/>
  <c r="H5" i="7"/>
  <c r="D8" i="1" l="1"/>
  <c r="F11" i="6"/>
  <c r="E10" i="6"/>
  <c r="G10" i="6" s="1"/>
  <c r="G9" i="6"/>
  <c r="E8" i="6"/>
  <c r="G8" i="6" s="1"/>
  <c r="G7" i="6"/>
  <c r="G11" i="6" l="1"/>
  <c r="I12" i="12"/>
  <c r="F15" i="12" l="1"/>
  <c r="H13" i="12" l="1"/>
  <c r="G13" i="12"/>
  <c r="I10" i="12"/>
  <c r="I13" i="12" s="1"/>
  <c r="H10" i="12"/>
  <c r="G28" i="8"/>
  <c r="H15" i="2"/>
  <c r="H26" i="8" l="1"/>
  <c r="I26" i="8" s="1"/>
  <c r="H9" i="2"/>
  <c r="H20" i="2"/>
  <c r="H22" i="2"/>
  <c r="H10" i="2"/>
  <c r="H16" i="2"/>
  <c r="H14" i="2"/>
  <c r="H18" i="2"/>
  <c r="H19" i="2"/>
  <c r="H5" i="2"/>
  <c r="H17" i="2"/>
  <c r="H23" i="2"/>
  <c r="H11" i="2"/>
  <c r="H8" i="2"/>
  <c r="H7" i="2"/>
  <c r="H13" i="2"/>
  <c r="H4" i="2"/>
  <c r="H12" i="2"/>
  <c r="H25" i="8"/>
  <c r="I25" i="8" s="1"/>
  <c r="H10" i="8"/>
  <c r="I10" i="8" s="1"/>
  <c r="O6" i="7"/>
  <c r="H9" i="12"/>
  <c r="H12" i="12"/>
  <c r="H11" i="12"/>
  <c r="H27" i="8"/>
  <c r="G6" i="5"/>
  <c r="E6" i="5"/>
  <c r="E15" i="5"/>
  <c r="W171" i="5"/>
  <c r="W178" i="5"/>
  <c r="W177" i="5"/>
  <c r="W176" i="5"/>
  <c r="W175" i="5"/>
  <c r="W174" i="5"/>
  <c r="W173" i="5"/>
  <c r="W172" i="5"/>
  <c r="W170" i="5"/>
  <c r="W169" i="5"/>
  <c r="W168" i="5"/>
  <c r="W167" i="5"/>
  <c r="W166" i="5"/>
  <c r="W165" i="5"/>
  <c r="W164" i="5"/>
  <c r="G146" i="5"/>
  <c r="G154" i="5"/>
  <c r="G155" i="5"/>
  <c r="W146" i="5"/>
  <c r="J146" i="5"/>
  <c r="J153" i="5"/>
  <c r="W158" i="5"/>
  <c r="W157" i="5"/>
  <c r="W156" i="5"/>
  <c r="W155" i="5"/>
  <c r="W154" i="5"/>
  <c r="W153" i="5"/>
  <c r="W152" i="5"/>
  <c r="W150" i="5"/>
  <c r="W149" i="5"/>
  <c r="W151" i="5"/>
  <c r="W148" i="5"/>
  <c r="W147" i="5"/>
  <c r="W145" i="5"/>
  <c r="W144" i="5"/>
  <c r="W143" i="5"/>
  <c r="W139" i="5"/>
  <c r="J138" i="5"/>
  <c r="W137" i="5"/>
  <c r="W138" i="5"/>
  <c r="W136" i="5"/>
  <c r="W135" i="5"/>
  <c r="W134" i="5"/>
  <c r="W133" i="5"/>
  <c r="W132" i="5"/>
  <c r="AA119" i="5"/>
  <c r="Y119" i="5"/>
  <c r="AA103" i="5"/>
  <c r="Y103" i="5"/>
  <c r="I91" i="5"/>
  <c r="S50" i="5"/>
  <c r="U94" i="5"/>
  <c r="V93" i="5" s="1"/>
  <c r="F5" i="5"/>
  <c r="F16" i="5"/>
  <c r="I6" i="5" s="1"/>
  <c r="E14" i="5"/>
  <c r="E13" i="5"/>
  <c r="E12" i="5"/>
  <c r="E11" i="5"/>
  <c r="E10" i="5"/>
  <c r="E9" i="5"/>
  <c r="E8" i="5"/>
  <c r="E7" i="5"/>
  <c r="G10" i="5"/>
  <c r="G156" i="5" l="1"/>
  <c r="I10" i="5"/>
  <c r="E16" i="5"/>
  <c r="I11" i="12"/>
  <c r="I9" i="12"/>
  <c r="K5" i="7"/>
  <c r="K146" i="5"/>
  <c r="W159" i="5"/>
  <c r="W179" i="5"/>
  <c r="W140" i="5"/>
  <c r="H9" i="7"/>
  <c r="H11" i="7"/>
  <c r="K11" i="7" s="1"/>
  <c r="F9" i="7"/>
  <c r="I9" i="7" s="1"/>
  <c r="I12" i="7" s="1"/>
  <c r="O7" i="7"/>
  <c r="H5" i="8"/>
  <c r="H6" i="8"/>
  <c r="I6" i="8" s="1"/>
  <c r="H7" i="8"/>
  <c r="I7" i="8" s="1"/>
  <c r="H8" i="8"/>
  <c r="I8" i="8" s="1"/>
  <c r="H9" i="8"/>
  <c r="I9" i="8" s="1"/>
  <c r="H11" i="8"/>
  <c r="I11" i="8" s="1"/>
  <c r="H12" i="8"/>
  <c r="I12" i="8" s="1"/>
  <c r="H13" i="8"/>
  <c r="I13" i="8" s="1"/>
  <c r="H14" i="8"/>
  <c r="I14" i="8" s="1"/>
  <c r="H15" i="8"/>
  <c r="H16" i="8"/>
  <c r="I16" i="8" s="1"/>
  <c r="H17" i="8"/>
  <c r="I17" i="8" s="1"/>
  <c r="H18" i="8"/>
  <c r="H19" i="8"/>
  <c r="I19" i="8" s="1"/>
  <c r="H20" i="8"/>
  <c r="I20" i="8" s="1"/>
  <c r="H21" i="8"/>
  <c r="I21" i="8" s="1"/>
  <c r="H22" i="8"/>
  <c r="I22" i="8" s="1"/>
  <c r="H23" i="8"/>
  <c r="H24" i="8"/>
  <c r="I24" i="8" s="1"/>
  <c r="F23" i="8"/>
  <c r="G7" i="5"/>
  <c r="G14" i="5"/>
  <c r="G13" i="5"/>
  <c r="G12" i="5"/>
  <c r="G9" i="5"/>
  <c r="G8" i="5"/>
  <c r="G5" i="5"/>
  <c r="S46" i="5"/>
  <c r="S47" i="5"/>
  <c r="J53" i="5" s="1"/>
  <c r="J30" i="5"/>
  <c r="J29" i="5"/>
  <c r="G30" i="5"/>
  <c r="G29" i="5"/>
  <c r="J20" i="5"/>
  <c r="I30" i="5"/>
  <c r="I29" i="5"/>
  <c r="I26" i="5"/>
  <c r="I21" i="5"/>
  <c r="I23" i="5"/>
  <c r="F63" i="5"/>
  <c r="S49" i="5"/>
  <c r="J52" i="5" s="1"/>
  <c r="S51" i="5"/>
  <c r="S52" i="5"/>
  <c r="U53" i="5"/>
  <c r="V55" i="5"/>
  <c r="V48" i="5"/>
  <c r="S48" i="5" s="1"/>
  <c r="I48" i="5"/>
  <c r="I63" i="5" s="1"/>
  <c r="M47" i="5" s="1"/>
  <c r="G60" i="5"/>
  <c r="G50" i="5"/>
  <c r="G47" i="5"/>
  <c r="G44" i="5"/>
  <c r="G45" i="5"/>
  <c r="H54" i="5"/>
  <c r="G54" i="5"/>
  <c r="H53" i="5"/>
  <c r="G53" i="5"/>
  <c r="H45" i="5"/>
  <c r="H76" i="5"/>
  <c r="H77" i="5"/>
  <c r="G77" i="5"/>
  <c r="G76" i="5"/>
  <c r="I71" i="5"/>
  <c r="I86" i="5" s="1"/>
  <c r="O73" i="5" s="1"/>
  <c r="H68" i="5"/>
  <c r="L77" i="5"/>
  <c r="L76" i="5"/>
  <c r="L75" i="5"/>
  <c r="L74" i="5"/>
  <c r="L73" i="5"/>
  <c r="L72" i="5"/>
  <c r="L71" i="5"/>
  <c r="L70" i="5"/>
  <c r="L68" i="5"/>
  <c r="K77" i="5"/>
  <c r="K76" i="5"/>
  <c r="J77" i="5"/>
  <c r="J76" i="5"/>
  <c r="J97" i="5"/>
  <c r="J96" i="5"/>
  <c r="J91" i="5"/>
  <c r="J98" i="5"/>
  <c r="AA94" i="5"/>
  <c r="V91" i="5"/>
  <c r="I98" i="5"/>
  <c r="I97" i="5"/>
  <c r="I96" i="5"/>
  <c r="I95" i="5"/>
  <c r="I94" i="5"/>
  <c r="I92" i="5"/>
  <c r="I90" i="5"/>
  <c r="AA120" i="5"/>
  <c r="AA126" i="5"/>
  <c r="AA127" i="5" s="1"/>
  <c r="AA124" i="5"/>
  <c r="AA123" i="5"/>
  <c r="AA122" i="5"/>
  <c r="AA121" i="5"/>
  <c r="Y120" i="5"/>
  <c r="Y121" i="5"/>
  <c r="Y122" i="5"/>
  <c r="Y123" i="5"/>
  <c r="Y124" i="5"/>
  <c r="Y125" i="5"/>
  <c r="X128" i="5"/>
  <c r="W128" i="5"/>
  <c r="I127" i="5"/>
  <c r="I126" i="5"/>
  <c r="I125" i="5"/>
  <c r="I124" i="5"/>
  <c r="I123" i="5"/>
  <c r="I122" i="5"/>
  <c r="I121" i="5"/>
  <c r="I120" i="5"/>
  <c r="I119" i="5"/>
  <c r="I109" i="5"/>
  <c r="I105" i="5"/>
  <c r="AA109" i="5"/>
  <c r="AA108" i="5"/>
  <c r="AA107" i="5"/>
  <c r="AA106" i="5"/>
  <c r="AA105" i="5"/>
  <c r="AA104" i="5"/>
  <c r="Y104" i="5"/>
  <c r="Y105" i="5"/>
  <c r="Y106" i="5"/>
  <c r="J111" i="5" s="1"/>
  <c r="Y107" i="5"/>
  <c r="I113" i="5"/>
  <c r="I112" i="5"/>
  <c r="I111" i="5"/>
  <c r="I110" i="5"/>
  <c r="I108" i="5"/>
  <c r="I107" i="5"/>
  <c r="I106" i="5"/>
  <c r="I194" i="5"/>
  <c r="I195" i="5"/>
  <c r="I196" i="5"/>
  <c r="I193" i="5"/>
  <c r="I197" i="5"/>
  <c r="I189" i="5"/>
  <c r="I188" i="5"/>
  <c r="T196" i="5"/>
  <c r="T195" i="5"/>
  <c r="T194" i="5"/>
  <c r="T193" i="5"/>
  <c r="T192" i="5"/>
  <c r="T191" i="5"/>
  <c r="T190" i="5"/>
  <c r="T189" i="5"/>
  <c r="H198" i="5"/>
  <c r="K189" i="5" s="1"/>
  <c r="P198" i="5"/>
  <c r="G196" i="5"/>
  <c r="G197" i="5"/>
  <c r="H184" i="5"/>
  <c r="G182" i="5"/>
  <c r="G183" i="5"/>
  <c r="J161" i="5"/>
  <c r="J162" i="5"/>
  <c r="J165" i="5"/>
  <c r="J166" i="5"/>
  <c r="J167" i="5"/>
  <c r="J168" i="5"/>
  <c r="J169" i="5"/>
  <c r="G140" i="5"/>
  <c r="G139" i="5"/>
  <c r="G138" i="5"/>
  <c r="I169" i="5"/>
  <c r="I168" i="5"/>
  <c r="I165" i="5"/>
  <c r="J160" i="5"/>
  <c r="J139" i="5"/>
  <c r="I149" i="5"/>
  <c r="I146" i="5"/>
  <c r="I154" i="5"/>
  <c r="I155" i="5"/>
  <c r="J155" i="5"/>
  <c r="J154" i="5"/>
  <c r="H138" i="5"/>
  <c r="I140" i="5"/>
  <c r="I139" i="5"/>
  <c r="I138" i="5"/>
  <c r="J140" i="5"/>
  <c r="I167" i="5"/>
  <c r="I166" i="5"/>
  <c r="I164" i="5"/>
  <c r="I162" i="5"/>
  <c r="I161" i="5"/>
  <c r="J152" i="5"/>
  <c r="J151" i="5"/>
  <c r="J148" i="5"/>
  <c r="J147" i="5"/>
  <c r="I153" i="5"/>
  <c r="I152" i="5"/>
  <c r="I150" i="5"/>
  <c r="I151" i="5"/>
  <c r="I148" i="5"/>
  <c r="I147" i="5"/>
  <c r="J132" i="5"/>
  <c r="H132" i="5"/>
  <c r="H134" i="5"/>
  <c r="H10" i="5" l="1"/>
  <c r="H4" i="5"/>
  <c r="H15" i="5"/>
  <c r="K15" i="5" s="1"/>
  <c r="H12" i="7"/>
  <c r="H14" i="5"/>
  <c r="I23" i="8"/>
  <c r="H28" i="8"/>
  <c r="H6" i="5"/>
  <c r="H7" i="5"/>
  <c r="H5" i="5"/>
  <c r="O11" i="7"/>
  <c r="K10" i="7"/>
  <c r="K9" i="7"/>
  <c r="K12" i="7" s="1"/>
  <c r="O5" i="7"/>
  <c r="K10" i="12"/>
  <c r="K12" i="12"/>
  <c r="L12" i="12" s="1"/>
  <c r="J11" i="12"/>
  <c r="K11" i="12" s="1"/>
  <c r="L11" i="12" s="1"/>
  <c r="J9" i="12"/>
  <c r="AA110" i="5"/>
  <c r="AB109" i="5" s="1"/>
  <c r="AC109" i="5" s="1"/>
  <c r="W55" i="5"/>
  <c r="U56" i="5" s="1"/>
  <c r="Y110" i="5"/>
  <c r="Z103" i="5" s="1"/>
  <c r="AB90" i="5"/>
  <c r="AB91" i="5"/>
  <c r="AB92" i="5"/>
  <c r="W52" i="5"/>
  <c r="W46" i="5"/>
  <c r="W48" i="5"/>
  <c r="K86" i="5"/>
  <c r="S53" i="5"/>
  <c r="I40" i="5"/>
  <c r="M31" i="5" s="1"/>
  <c r="W50" i="5"/>
  <c r="J40" i="5"/>
  <c r="H63" i="5"/>
  <c r="L45" i="5" s="1"/>
  <c r="W49" i="5"/>
  <c r="W51" i="5"/>
  <c r="G16" i="5"/>
  <c r="J86" i="5"/>
  <c r="P68" i="5" s="1"/>
  <c r="M51" i="5"/>
  <c r="M50" i="5"/>
  <c r="J51" i="5"/>
  <c r="J46" i="5"/>
  <c r="V53" i="5"/>
  <c r="G63" i="5"/>
  <c r="K60" i="5" s="1"/>
  <c r="O60" i="5" s="1"/>
  <c r="M49" i="5"/>
  <c r="M52" i="5"/>
  <c r="M48" i="5"/>
  <c r="M54" i="5"/>
  <c r="J54" i="5"/>
  <c r="W47" i="5"/>
  <c r="L86" i="5"/>
  <c r="R72" i="5" s="1"/>
  <c r="J99" i="5"/>
  <c r="N98" i="5" s="1"/>
  <c r="J108" i="5"/>
  <c r="AB93" i="5"/>
  <c r="I99" i="5"/>
  <c r="M98" i="5" s="1"/>
  <c r="O77" i="5"/>
  <c r="O72" i="5"/>
  <c r="O71" i="5"/>
  <c r="O75" i="5"/>
  <c r="O70" i="5"/>
  <c r="O74" i="5"/>
  <c r="I128" i="5"/>
  <c r="N124" i="5" s="1"/>
  <c r="AA128" i="5"/>
  <c r="AB121" i="5" s="1"/>
  <c r="V90" i="5"/>
  <c r="V92" i="5"/>
  <c r="J112" i="5"/>
  <c r="Y128" i="5"/>
  <c r="Z125" i="5" s="1"/>
  <c r="AC125" i="5" s="1"/>
  <c r="I114" i="5"/>
  <c r="N112" i="5" s="1"/>
  <c r="J113" i="5"/>
  <c r="J109" i="5"/>
  <c r="T197" i="5"/>
  <c r="U195" i="5" s="1"/>
  <c r="I198" i="5"/>
  <c r="L195" i="5" s="1"/>
  <c r="K196" i="5"/>
  <c r="K194" i="5"/>
  <c r="K195" i="5"/>
  <c r="K193" i="5"/>
  <c r="K188" i="5"/>
  <c r="K190" i="5"/>
  <c r="I156" i="5"/>
  <c r="M150" i="5" s="1"/>
  <c r="J170" i="5"/>
  <c r="N168" i="5" s="1"/>
  <c r="I170" i="5"/>
  <c r="M169" i="5" s="1"/>
  <c r="J156" i="5"/>
  <c r="I141" i="5"/>
  <c r="M133" i="5" s="1"/>
  <c r="G132" i="5"/>
  <c r="H8" i="9"/>
  <c r="H9" i="9"/>
  <c r="H10" i="9"/>
  <c r="K12" i="9"/>
  <c r="F12" i="9"/>
  <c r="G12" i="9"/>
  <c r="J14" i="5" l="1"/>
  <c r="J4" i="5"/>
  <c r="H12" i="9"/>
  <c r="N23" i="5"/>
  <c r="N24" i="5"/>
  <c r="M190" i="5"/>
  <c r="Q68" i="5"/>
  <c r="Q67" i="5"/>
  <c r="O9" i="7"/>
  <c r="O12" i="7" s="1"/>
  <c r="O10" i="7"/>
  <c r="L8" i="7"/>
  <c r="M8" i="7" s="1"/>
  <c r="K9" i="12"/>
  <c r="I28" i="8"/>
  <c r="J6" i="5"/>
  <c r="J10" i="5"/>
  <c r="Y52" i="5"/>
  <c r="Z105" i="5"/>
  <c r="Y49" i="5"/>
  <c r="AB103" i="5"/>
  <c r="AC103" i="5" s="1"/>
  <c r="Z107" i="5"/>
  <c r="X48" i="5"/>
  <c r="X46" i="5"/>
  <c r="Y50" i="5"/>
  <c r="Y46" i="5"/>
  <c r="Y47" i="5"/>
  <c r="Y51" i="5"/>
  <c r="Y48" i="5"/>
  <c r="V56" i="5"/>
  <c r="AB105" i="5"/>
  <c r="Q73" i="5"/>
  <c r="Q77" i="5"/>
  <c r="K44" i="5"/>
  <c r="O44" i="5" s="1"/>
  <c r="P73" i="5"/>
  <c r="Q75" i="5"/>
  <c r="M27" i="5"/>
  <c r="N35" i="5"/>
  <c r="M26" i="5"/>
  <c r="Q85" i="5"/>
  <c r="M39" i="5"/>
  <c r="L51" i="5"/>
  <c r="M24" i="5"/>
  <c r="N38" i="5"/>
  <c r="M20" i="5"/>
  <c r="M37" i="5"/>
  <c r="M30" i="5"/>
  <c r="M21" i="5"/>
  <c r="Q78" i="5"/>
  <c r="Q79" i="5"/>
  <c r="M23" i="5"/>
  <c r="M28" i="5"/>
  <c r="N125" i="5"/>
  <c r="Q76" i="5"/>
  <c r="J13" i="5"/>
  <c r="Q69" i="5"/>
  <c r="Q70" i="5"/>
  <c r="Q71" i="5"/>
  <c r="Q82" i="5"/>
  <c r="Q84" i="5"/>
  <c r="N22" i="5"/>
  <c r="O22" i="5" s="1"/>
  <c r="P75" i="5"/>
  <c r="Q74" i="5"/>
  <c r="M29" i="5"/>
  <c r="Q83" i="5"/>
  <c r="N20" i="5"/>
  <c r="N21" i="5"/>
  <c r="L53" i="5"/>
  <c r="N26" i="5"/>
  <c r="P77" i="5"/>
  <c r="K48" i="5"/>
  <c r="N37" i="5"/>
  <c r="N28" i="5"/>
  <c r="N122" i="5"/>
  <c r="L52" i="5"/>
  <c r="P74" i="5"/>
  <c r="L49" i="5"/>
  <c r="O49" i="5" s="1"/>
  <c r="N27" i="5"/>
  <c r="N126" i="5"/>
  <c r="N123" i="5"/>
  <c r="N96" i="5"/>
  <c r="L46" i="5"/>
  <c r="Z119" i="5"/>
  <c r="J123" i="5" s="1"/>
  <c r="J12" i="5"/>
  <c r="K54" i="5"/>
  <c r="N30" i="5"/>
  <c r="N32" i="5"/>
  <c r="L48" i="5"/>
  <c r="N119" i="5"/>
  <c r="N91" i="5"/>
  <c r="P78" i="5"/>
  <c r="L54" i="5"/>
  <c r="N29" i="5"/>
  <c r="L47" i="5"/>
  <c r="N36" i="5"/>
  <c r="N121" i="5"/>
  <c r="N97" i="5"/>
  <c r="N39" i="5"/>
  <c r="J7" i="5"/>
  <c r="N31" i="5"/>
  <c r="J8" i="5"/>
  <c r="P83" i="5"/>
  <c r="P85" i="5"/>
  <c r="J9" i="5"/>
  <c r="P76" i="5"/>
  <c r="P70" i="5"/>
  <c r="K55" i="5"/>
  <c r="O55" i="5" s="1"/>
  <c r="P71" i="5"/>
  <c r="K57" i="5"/>
  <c r="O57" i="5" s="1"/>
  <c r="N127" i="5"/>
  <c r="P67" i="5"/>
  <c r="K47" i="5"/>
  <c r="J5" i="5"/>
  <c r="AB94" i="5"/>
  <c r="R77" i="5"/>
  <c r="R71" i="5"/>
  <c r="R70" i="5"/>
  <c r="N120" i="5"/>
  <c r="W53" i="5"/>
  <c r="K56" i="5"/>
  <c r="O56" i="5" s="1"/>
  <c r="R74" i="5"/>
  <c r="X51" i="5"/>
  <c r="X47" i="5"/>
  <c r="X52" i="5"/>
  <c r="X49" i="5"/>
  <c r="X50" i="5"/>
  <c r="M92" i="5"/>
  <c r="R75" i="5"/>
  <c r="K46" i="5"/>
  <c r="K52" i="5"/>
  <c r="K58" i="5"/>
  <c r="O58" i="5" s="1"/>
  <c r="K59" i="5"/>
  <c r="O59" i="5" s="1"/>
  <c r="K45" i="5"/>
  <c r="O45" i="5" s="1"/>
  <c r="K61" i="5"/>
  <c r="O61" i="5" s="1"/>
  <c r="K50" i="5"/>
  <c r="O50" i="5" s="1"/>
  <c r="K62" i="5"/>
  <c r="O62" i="5" s="1"/>
  <c r="K51" i="5"/>
  <c r="AB120" i="5"/>
  <c r="R73" i="5"/>
  <c r="K53" i="5"/>
  <c r="J63" i="5"/>
  <c r="M63" i="5"/>
  <c r="AB104" i="5"/>
  <c r="M96" i="5"/>
  <c r="Z120" i="5"/>
  <c r="M91" i="5"/>
  <c r="Z124" i="5"/>
  <c r="J125" i="5" s="1"/>
  <c r="Z122" i="5"/>
  <c r="M95" i="5"/>
  <c r="Z123" i="5"/>
  <c r="M94" i="5"/>
  <c r="M90" i="5"/>
  <c r="M97" i="5"/>
  <c r="AB107" i="5"/>
  <c r="R76" i="5"/>
  <c r="O86" i="5"/>
  <c r="AB119" i="5"/>
  <c r="AB106" i="5"/>
  <c r="N108" i="5"/>
  <c r="AB126" i="5"/>
  <c r="AB108" i="5"/>
  <c r="AB123" i="5"/>
  <c r="AB124" i="5"/>
  <c r="AC124" i="5" s="1"/>
  <c r="AB127" i="5"/>
  <c r="AC127" i="5" s="1"/>
  <c r="AB122" i="5"/>
  <c r="V94" i="5"/>
  <c r="U194" i="5"/>
  <c r="N111" i="5"/>
  <c r="J114" i="5"/>
  <c r="O108" i="5" s="1"/>
  <c r="N110" i="5"/>
  <c r="N109" i="5"/>
  <c r="Z121" i="5"/>
  <c r="AC121" i="5" s="1"/>
  <c r="N107" i="5"/>
  <c r="N113" i="5"/>
  <c r="N106" i="5"/>
  <c r="N105" i="5"/>
  <c r="Z106" i="5"/>
  <c r="Z104" i="5"/>
  <c r="M147" i="5"/>
  <c r="U192" i="5"/>
  <c r="U189" i="5"/>
  <c r="M155" i="5"/>
  <c r="M195" i="5"/>
  <c r="L193" i="5"/>
  <c r="M193" i="5" s="1"/>
  <c r="M148" i="5"/>
  <c r="L196" i="5"/>
  <c r="U193" i="5"/>
  <c r="U190" i="5"/>
  <c r="L189" i="5"/>
  <c r="L194" i="5"/>
  <c r="M194" i="5" s="1"/>
  <c r="L197" i="5"/>
  <c r="U196" i="5"/>
  <c r="U191" i="5"/>
  <c r="L188" i="5"/>
  <c r="M154" i="5"/>
  <c r="M153" i="5"/>
  <c r="M149" i="5"/>
  <c r="N166" i="5"/>
  <c r="M151" i="5"/>
  <c r="N167" i="5"/>
  <c r="M152" i="5"/>
  <c r="N169" i="5"/>
  <c r="N165" i="5"/>
  <c r="M162" i="5"/>
  <c r="N162" i="5"/>
  <c r="M170" i="5"/>
  <c r="M168" i="5"/>
  <c r="M166" i="5"/>
  <c r="M167" i="5"/>
  <c r="M165" i="5"/>
  <c r="N161" i="5"/>
  <c r="M164" i="5"/>
  <c r="N160" i="5"/>
  <c r="N170" i="5"/>
  <c r="M161" i="5"/>
  <c r="M138" i="5"/>
  <c r="M137" i="5"/>
  <c r="M139" i="5"/>
  <c r="M140" i="5"/>
  <c r="M134" i="5"/>
  <c r="M135" i="5"/>
  <c r="M136" i="5"/>
  <c r="N151" i="5"/>
  <c r="N152" i="5"/>
  <c r="N153" i="5"/>
  <c r="N154" i="5"/>
  <c r="N155" i="5"/>
  <c r="N147" i="5"/>
  <c r="N148" i="5"/>
  <c r="N146" i="5"/>
  <c r="M146" i="5"/>
  <c r="L4" i="7" l="1"/>
  <c r="L7" i="7"/>
  <c r="AC105" i="5"/>
  <c r="L5" i="7"/>
  <c r="L11" i="7"/>
  <c r="M11" i="7" s="1"/>
  <c r="L9" i="7"/>
  <c r="M9" i="7" s="1"/>
  <c r="L6" i="7"/>
  <c r="M6" i="7" s="1"/>
  <c r="L10" i="7"/>
  <c r="M10" i="7" s="1"/>
  <c r="K13" i="12"/>
  <c r="L9" i="12"/>
  <c r="F12" i="1"/>
  <c r="AC107" i="5"/>
  <c r="AC122" i="5"/>
  <c r="AC120" i="5"/>
  <c r="Z48" i="5"/>
  <c r="Z50" i="5"/>
  <c r="Z47" i="5"/>
  <c r="Z110" i="5"/>
  <c r="AC104" i="5"/>
  <c r="Z51" i="5"/>
  <c r="AC119" i="5"/>
  <c r="Z49" i="5"/>
  <c r="Z52" i="5"/>
  <c r="Y53" i="5"/>
  <c r="Z46" i="5"/>
  <c r="AC123" i="5"/>
  <c r="AC106" i="5"/>
  <c r="K107" i="5"/>
  <c r="AC108" i="5"/>
  <c r="K121" i="5"/>
  <c r="AC126" i="5"/>
  <c r="O47" i="5"/>
  <c r="N54" i="5"/>
  <c r="O54" i="5" s="1"/>
  <c r="N51" i="5"/>
  <c r="K108" i="5"/>
  <c r="O37" i="5"/>
  <c r="M40" i="5"/>
  <c r="Q86" i="5"/>
  <c r="O48" i="5"/>
  <c r="N40" i="5"/>
  <c r="P86" i="5"/>
  <c r="L63" i="5"/>
  <c r="K122" i="5"/>
  <c r="K126" i="5"/>
  <c r="N128" i="5"/>
  <c r="N99" i="5"/>
  <c r="J16" i="5"/>
  <c r="J120" i="5"/>
  <c r="J122" i="5"/>
  <c r="R86" i="5"/>
  <c r="K63" i="5"/>
  <c r="K112" i="5"/>
  <c r="X53" i="5"/>
  <c r="J127" i="5"/>
  <c r="N46" i="5"/>
  <c r="O46" i="5" s="1"/>
  <c r="N52" i="5"/>
  <c r="O52" i="5" s="1"/>
  <c r="N53" i="5"/>
  <c r="O53" i="5" s="1"/>
  <c r="AB128" i="5"/>
  <c r="K125" i="5"/>
  <c r="M99" i="5"/>
  <c r="J126" i="5"/>
  <c r="K120" i="5"/>
  <c r="K123" i="5"/>
  <c r="K127" i="5"/>
  <c r="O112" i="5"/>
  <c r="K111" i="5"/>
  <c r="O113" i="5"/>
  <c r="O111" i="5"/>
  <c r="O109" i="5"/>
  <c r="Z128" i="5"/>
  <c r="N114" i="5"/>
  <c r="U197" i="5"/>
  <c r="L198" i="5"/>
  <c r="N156" i="5"/>
  <c r="M156" i="5"/>
  <c r="M141" i="5"/>
  <c r="M4" i="7" l="1"/>
  <c r="L12" i="7"/>
  <c r="F14" i="1"/>
  <c r="F15" i="1" s="1"/>
  <c r="M7" i="7"/>
  <c r="M5" i="7"/>
  <c r="AC110" i="5"/>
  <c r="AD105" i="5" s="1"/>
  <c r="AD109" i="5"/>
  <c r="AD107" i="5"/>
  <c r="Z53" i="5"/>
  <c r="AC128" i="5"/>
  <c r="AD119" i="5" s="1"/>
  <c r="AD108" i="5"/>
  <c r="J128" i="5"/>
  <c r="O122" i="5" s="1"/>
  <c r="N63" i="5"/>
  <c r="O51" i="5"/>
  <c r="O114" i="5"/>
  <c r="K128" i="5"/>
  <c r="P120" i="5" s="1"/>
  <c r="M12" i="7" l="1"/>
  <c r="G11" i="1"/>
  <c r="G12" i="1"/>
  <c r="AD104" i="5"/>
  <c r="AD106" i="5"/>
  <c r="AD103" i="5"/>
  <c r="AD125" i="5"/>
  <c r="AD121" i="5"/>
  <c r="AD122" i="5"/>
  <c r="AD127" i="5"/>
  <c r="AD124" i="5"/>
  <c r="AD120" i="5"/>
  <c r="AD110" i="5"/>
  <c r="AD123" i="5"/>
  <c r="AD126" i="5"/>
  <c r="O120" i="5"/>
  <c r="O127" i="5"/>
  <c r="O126" i="5"/>
  <c r="O125" i="5"/>
  <c r="O123" i="5"/>
  <c r="P123" i="5"/>
  <c r="P122" i="5"/>
  <c r="O63" i="5"/>
  <c r="P62" i="5" s="1"/>
  <c r="P125" i="5"/>
  <c r="P126" i="5"/>
  <c r="P121" i="5"/>
  <c r="P127" i="5"/>
  <c r="N4" i="7" l="1"/>
  <c r="N8" i="7"/>
  <c r="N7" i="7"/>
  <c r="I7" i="9"/>
  <c r="D30" i="13" s="1"/>
  <c r="I10" i="9"/>
  <c r="D33" i="13" s="1"/>
  <c r="I9" i="9"/>
  <c r="D32" i="13" s="1"/>
  <c r="I8" i="9"/>
  <c r="D31" i="13" s="1"/>
  <c r="N10" i="7"/>
  <c r="N5" i="7"/>
  <c r="N11" i="7"/>
  <c r="N9" i="7"/>
  <c r="N6" i="7"/>
  <c r="AD128" i="5"/>
  <c r="O128" i="5"/>
  <c r="P128" i="5"/>
  <c r="P59" i="5"/>
  <c r="Q59" i="5" s="1"/>
  <c r="P60" i="5"/>
  <c r="Q60" i="5" s="1"/>
  <c r="P55" i="5"/>
  <c r="Q55" i="5" s="1"/>
  <c r="P57" i="5"/>
  <c r="Q57" i="5" s="1"/>
  <c r="P61" i="5"/>
  <c r="Q61" i="5" s="1"/>
  <c r="P47" i="5"/>
  <c r="AA56" i="5" s="1"/>
  <c r="P48" i="5"/>
  <c r="Q48" i="5" s="1"/>
  <c r="P58" i="5"/>
  <c r="Q58" i="5" s="1"/>
  <c r="P45" i="5"/>
  <c r="Q45" i="5" s="1"/>
  <c r="P56" i="5"/>
  <c r="Q56" i="5" s="1"/>
  <c r="P49" i="5"/>
  <c r="Q49" i="5" s="1"/>
  <c r="P50" i="5"/>
  <c r="Q50" i="5" s="1"/>
  <c r="P44" i="5"/>
  <c r="Q44" i="5" s="1"/>
  <c r="P54" i="5"/>
  <c r="P46" i="5"/>
  <c r="Q46" i="5" s="1"/>
  <c r="P53" i="5"/>
  <c r="P52" i="5"/>
  <c r="P51" i="5"/>
  <c r="N12" i="7" l="1"/>
  <c r="Q7" i="7"/>
  <c r="Q4" i="7"/>
  <c r="F30" i="13"/>
  <c r="E30" i="13"/>
  <c r="H30" i="13"/>
  <c r="Q8" i="7"/>
  <c r="Q9" i="7"/>
  <c r="Q11" i="7"/>
  <c r="Q5" i="7"/>
  <c r="Q10" i="7"/>
  <c r="Q6" i="7"/>
  <c r="Q47" i="5"/>
  <c r="AA59" i="5"/>
  <c r="Q54" i="5"/>
  <c r="AA57" i="5"/>
  <c r="Q51" i="5"/>
  <c r="Q52" i="5"/>
  <c r="AA58" i="5"/>
  <c r="AA60" i="5"/>
  <c r="Q53" i="5"/>
  <c r="Q12" i="7" l="1"/>
  <c r="AA61" i="5"/>
  <c r="AA52" i="5" s="1"/>
  <c r="AB52" i="5"/>
  <c r="AB49" i="5"/>
  <c r="AB50" i="5"/>
  <c r="AA47" i="5"/>
  <c r="AC52" i="5"/>
  <c r="AC47" i="5"/>
  <c r="AD51" i="5"/>
  <c r="AD47" i="5"/>
  <c r="AD48" i="5" l="1"/>
  <c r="AD49" i="5"/>
  <c r="AA50" i="5"/>
  <c r="AC51" i="5"/>
  <c r="AB51" i="5"/>
  <c r="AB46" i="5"/>
  <c r="AC50" i="5"/>
  <c r="AB47" i="5"/>
  <c r="AD60" i="5" s="1"/>
  <c r="AA48" i="5"/>
  <c r="AD52" i="5"/>
  <c r="AA46" i="5"/>
  <c r="AC48" i="5"/>
  <c r="AD46" i="5"/>
  <c r="AD50" i="5"/>
  <c r="AB48" i="5"/>
  <c r="AA49" i="5"/>
  <c r="AC46" i="5"/>
  <c r="AC49" i="5"/>
  <c r="AA51" i="5"/>
  <c r="AB60" i="5"/>
  <c r="AB56" i="5" l="1"/>
  <c r="AE56" i="5"/>
  <c r="AC56" i="5"/>
  <c r="AF56" i="5"/>
  <c r="AD56" i="5"/>
  <c r="AG56" i="5" s="1"/>
  <c r="AD53" i="5"/>
  <c r="AA53" i="5"/>
  <c r="AB53" i="5"/>
  <c r="AC53" i="5"/>
  <c r="AD57" i="5"/>
  <c r="AB57" i="5"/>
  <c r="AB59" i="5"/>
  <c r="AD59" i="5"/>
  <c r="AD58" i="5"/>
  <c r="AB58" i="5"/>
  <c r="AE60" i="5" l="1"/>
  <c r="AG60" i="5" s="1"/>
  <c r="AC60" i="5"/>
  <c r="AF60" i="5" s="1"/>
  <c r="AC58" i="5" l="1"/>
  <c r="AF58" i="5" s="1"/>
  <c r="AE57" i="5" l="1"/>
  <c r="AG57" i="5" s="1"/>
  <c r="AE58" i="5"/>
  <c r="AG58" i="5" s="1"/>
  <c r="AE59" i="5"/>
  <c r="AG59" i="5" s="1"/>
  <c r="AC59" i="5"/>
  <c r="AF59" i="5" s="1"/>
  <c r="AC57" i="5"/>
  <c r="AF57" i="5" s="1"/>
  <c r="AG61" i="5" l="1"/>
  <c r="AF61" i="5"/>
  <c r="F114" i="5"/>
  <c r="H114" i="5"/>
  <c r="G203" i="5"/>
  <c r="S205" i="5"/>
  <c r="S206" i="5"/>
  <c r="F86" i="5"/>
  <c r="H86" i="5"/>
  <c r="G68" i="5"/>
  <c r="G21" i="5"/>
  <c r="H21" i="5"/>
  <c r="G188" i="5"/>
  <c r="G119" i="5"/>
  <c r="G105" i="5"/>
  <c r="G90" i="5"/>
  <c r="G175" i="5"/>
  <c r="G160" i="5"/>
  <c r="D7" i="1"/>
  <c r="D15" i="1" s="1"/>
  <c r="E12" i="9"/>
  <c r="H40" i="5" l="1"/>
  <c r="L25" i="5" s="1"/>
  <c r="N72" i="5"/>
  <c r="N68" i="5"/>
  <c r="N74" i="5"/>
  <c r="N69" i="5"/>
  <c r="N75" i="5"/>
  <c r="N70" i="5"/>
  <c r="N71" i="5"/>
  <c r="N77" i="5"/>
  <c r="N76" i="5"/>
  <c r="M110" i="5"/>
  <c r="Q110" i="5" s="1"/>
  <c r="M106" i="5"/>
  <c r="M111" i="5"/>
  <c r="M109" i="5"/>
  <c r="M113" i="5"/>
  <c r="M105" i="5"/>
  <c r="M107" i="5"/>
  <c r="M112" i="5"/>
  <c r="G198" i="5"/>
  <c r="G184" i="5"/>
  <c r="I175" i="5" s="1"/>
  <c r="G86" i="5"/>
  <c r="M67" i="5" s="1"/>
  <c r="G40" i="5"/>
  <c r="K39" i="5" s="1"/>
  <c r="O39" i="5" s="1"/>
  <c r="F40" i="5"/>
  <c r="K7" i="5"/>
  <c r="G211" i="5"/>
  <c r="F211" i="5"/>
  <c r="H170" i="5"/>
  <c r="G170" i="5"/>
  <c r="F170" i="5"/>
  <c r="H156" i="5"/>
  <c r="F156" i="5"/>
  <c r="F184" i="5"/>
  <c r="H141" i="5"/>
  <c r="G141" i="5"/>
  <c r="K139" i="5" s="1"/>
  <c r="F141" i="5"/>
  <c r="H128" i="5"/>
  <c r="G128" i="5"/>
  <c r="F128" i="5"/>
  <c r="H99" i="5"/>
  <c r="G99" i="5"/>
  <c r="K93" i="5" s="1"/>
  <c r="F99" i="5"/>
  <c r="F198" i="5"/>
  <c r="D9" i="1"/>
  <c r="F9" i="1" s="1"/>
  <c r="H204" i="5" l="1"/>
  <c r="H205" i="5"/>
  <c r="H207" i="5"/>
  <c r="H206" i="5"/>
  <c r="H208" i="5"/>
  <c r="H209" i="5"/>
  <c r="H210" i="5"/>
  <c r="H203" i="5"/>
  <c r="K21" i="5"/>
  <c r="O93" i="5"/>
  <c r="L21" i="5"/>
  <c r="O25" i="5"/>
  <c r="L27" i="5"/>
  <c r="L28" i="5"/>
  <c r="L29" i="5"/>
  <c r="L24" i="5"/>
  <c r="L23" i="5"/>
  <c r="H11" i="5"/>
  <c r="H12" i="5"/>
  <c r="K12" i="5" s="1"/>
  <c r="H8" i="5"/>
  <c r="H13" i="5"/>
  <c r="K13" i="5" s="1"/>
  <c r="H9" i="5"/>
  <c r="K27" i="5"/>
  <c r="O27" i="5" s="1"/>
  <c r="K35" i="5"/>
  <c r="O35" i="5" s="1"/>
  <c r="K23" i="5"/>
  <c r="O23" i="5" s="1"/>
  <c r="K28" i="5"/>
  <c r="K36" i="5"/>
  <c r="O36" i="5" s="1"/>
  <c r="K20" i="5"/>
  <c r="O20" i="5" s="1"/>
  <c r="K29" i="5"/>
  <c r="K30" i="5"/>
  <c r="O30" i="5" s="1"/>
  <c r="K38" i="5"/>
  <c r="O38" i="5" s="1"/>
  <c r="K31" i="5"/>
  <c r="O31" i="5" s="1"/>
  <c r="K24" i="5"/>
  <c r="K32" i="5"/>
  <c r="O32" i="5" s="1"/>
  <c r="K33" i="5"/>
  <c r="O33" i="5" s="1"/>
  <c r="K26" i="5"/>
  <c r="O26" i="5" s="1"/>
  <c r="K34" i="5"/>
  <c r="O34" i="5" s="1"/>
  <c r="M69" i="5"/>
  <c r="S69" i="5" s="1"/>
  <c r="M70" i="5"/>
  <c r="S70" i="5" s="1"/>
  <c r="M79" i="5"/>
  <c r="S79" i="5" s="1"/>
  <c r="M72" i="5"/>
  <c r="S72" i="5" s="1"/>
  <c r="M80" i="5"/>
  <c r="S80" i="5" s="1"/>
  <c r="M73" i="5"/>
  <c r="S73" i="5" s="1"/>
  <c r="M81" i="5"/>
  <c r="S81" i="5" s="1"/>
  <c r="M74" i="5"/>
  <c r="S74" i="5" s="1"/>
  <c r="M82" i="5"/>
  <c r="S82" i="5" s="1"/>
  <c r="M75" i="5"/>
  <c r="S75" i="5" s="1"/>
  <c r="M83" i="5"/>
  <c r="S83" i="5" s="1"/>
  <c r="M76" i="5"/>
  <c r="S76" i="5" s="1"/>
  <c r="M84" i="5"/>
  <c r="S84" i="5" s="1"/>
  <c r="M77" i="5"/>
  <c r="S77" i="5" s="1"/>
  <c r="M85" i="5"/>
  <c r="S85" i="5" s="1"/>
  <c r="M78" i="5"/>
  <c r="S78" i="5" s="1"/>
  <c r="M71" i="5"/>
  <c r="S71" i="5" s="1"/>
  <c r="N86" i="5"/>
  <c r="M68" i="5"/>
  <c r="S68" i="5" s="1"/>
  <c r="M114" i="5"/>
  <c r="K90" i="5"/>
  <c r="L92" i="5"/>
  <c r="L97" i="5"/>
  <c r="L96" i="5"/>
  <c r="L98" i="5"/>
  <c r="L95" i="5"/>
  <c r="L90" i="5"/>
  <c r="L91" i="5"/>
  <c r="K96" i="5"/>
  <c r="K97" i="5"/>
  <c r="K98" i="5"/>
  <c r="K91" i="5"/>
  <c r="K94" i="5"/>
  <c r="M124" i="5"/>
  <c r="M125" i="5"/>
  <c r="Q125" i="5" s="1"/>
  <c r="M126" i="5"/>
  <c r="M127" i="5"/>
  <c r="M120" i="5"/>
  <c r="M121" i="5"/>
  <c r="Q121" i="5" s="1"/>
  <c r="M119" i="5"/>
  <c r="L120" i="5"/>
  <c r="L119" i="5"/>
  <c r="L122" i="5"/>
  <c r="Q122" i="5" s="1"/>
  <c r="L123" i="5"/>
  <c r="Q123" i="5" s="1"/>
  <c r="L124" i="5"/>
  <c r="L126" i="5"/>
  <c r="L127" i="5"/>
  <c r="J192" i="5"/>
  <c r="J191" i="5"/>
  <c r="J196" i="5"/>
  <c r="J197" i="5"/>
  <c r="J189" i="5"/>
  <c r="J188" i="5"/>
  <c r="K198" i="5"/>
  <c r="I182" i="5"/>
  <c r="I183" i="5"/>
  <c r="J175" i="5"/>
  <c r="K175" i="5" s="1"/>
  <c r="J176" i="5"/>
  <c r="J180" i="5"/>
  <c r="J181" i="5"/>
  <c r="J182" i="5"/>
  <c r="J177" i="5"/>
  <c r="J179" i="5"/>
  <c r="I178" i="5"/>
  <c r="I180" i="5"/>
  <c r="I181" i="5"/>
  <c r="I176" i="5"/>
  <c r="I177" i="5"/>
  <c r="L147" i="5"/>
  <c r="L152" i="5"/>
  <c r="L155" i="5"/>
  <c r="L148" i="5"/>
  <c r="L151" i="5"/>
  <c r="L153" i="5"/>
  <c r="L161" i="5"/>
  <c r="L162" i="5"/>
  <c r="L165" i="5"/>
  <c r="L166" i="5"/>
  <c r="L167" i="5"/>
  <c r="L168" i="5"/>
  <c r="K163" i="5"/>
  <c r="K164" i="5"/>
  <c r="K161" i="5"/>
  <c r="K166" i="5"/>
  <c r="K162" i="5"/>
  <c r="K154" i="5"/>
  <c r="K155" i="5"/>
  <c r="L170" i="5"/>
  <c r="K147" i="5"/>
  <c r="K148" i="5"/>
  <c r="K149" i="5"/>
  <c r="K152" i="5"/>
  <c r="K153" i="5"/>
  <c r="K150" i="5"/>
  <c r="L146" i="5"/>
  <c r="L160" i="5"/>
  <c r="L136" i="5"/>
  <c r="L137" i="5"/>
  <c r="L140" i="5"/>
  <c r="L133" i="5"/>
  <c r="L134" i="5"/>
  <c r="L135" i="5"/>
  <c r="L138" i="5"/>
  <c r="K133" i="5"/>
  <c r="K140" i="5"/>
  <c r="K134" i="5"/>
  <c r="K135" i="5"/>
  <c r="K136" i="5"/>
  <c r="K138" i="5"/>
  <c r="K132" i="5"/>
  <c r="K170" i="5"/>
  <c r="K160" i="5"/>
  <c r="L132" i="5"/>
  <c r="K6" i="5"/>
  <c r="G114" i="5"/>
  <c r="O150" i="5" l="1"/>
  <c r="M189" i="5"/>
  <c r="O149" i="5"/>
  <c r="K176" i="5"/>
  <c r="M197" i="5"/>
  <c r="O21" i="5"/>
  <c r="O164" i="5"/>
  <c r="M196" i="5"/>
  <c r="O95" i="5"/>
  <c r="M188" i="5"/>
  <c r="M191" i="5"/>
  <c r="O94" i="5"/>
  <c r="O163" i="5"/>
  <c r="O168" i="5"/>
  <c r="K178" i="5"/>
  <c r="K183" i="5"/>
  <c r="M192" i="5"/>
  <c r="O92" i="5"/>
  <c r="K179" i="5"/>
  <c r="G4" i="1"/>
  <c r="G13" i="1"/>
  <c r="G14" i="1"/>
  <c r="H16" i="5"/>
  <c r="O153" i="5"/>
  <c r="L40" i="5"/>
  <c r="Q127" i="5"/>
  <c r="O155" i="5"/>
  <c r="Q126" i="5"/>
  <c r="O29" i="5"/>
  <c r="O98" i="5"/>
  <c r="O24" i="5"/>
  <c r="O28" i="5"/>
  <c r="K10" i="5"/>
  <c r="I14" i="5"/>
  <c r="K14" i="5" s="1"/>
  <c r="I5" i="5"/>
  <c r="K5" i="5" s="1"/>
  <c r="I8" i="5"/>
  <c r="K8" i="5" s="1"/>
  <c r="I9" i="5"/>
  <c r="K9" i="5" s="1"/>
  <c r="I11" i="5"/>
  <c r="K11" i="5" s="1"/>
  <c r="I4" i="5"/>
  <c r="K4" i="5" s="1"/>
  <c r="K40" i="5"/>
  <c r="M86" i="5"/>
  <c r="S67" i="5"/>
  <c r="S86" i="5" s="1"/>
  <c r="Q120" i="5"/>
  <c r="O91" i="5"/>
  <c r="L99" i="5"/>
  <c r="O97" i="5"/>
  <c r="Q124" i="5"/>
  <c r="O96" i="5"/>
  <c r="O90" i="5"/>
  <c r="K99" i="5"/>
  <c r="L111" i="5"/>
  <c r="L112" i="5"/>
  <c r="L113" i="5"/>
  <c r="L109" i="5"/>
  <c r="L106" i="5"/>
  <c r="Q106" i="5" s="1"/>
  <c r="L107" i="5"/>
  <c r="L105" i="5"/>
  <c r="Q119" i="5"/>
  <c r="M128" i="5"/>
  <c r="L128" i="5"/>
  <c r="K181" i="5"/>
  <c r="K177" i="5"/>
  <c r="J198" i="5"/>
  <c r="K182" i="5"/>
  <c r="K180" i="5"/>
  <c r="I184" i="5"/>
  <c r="J184" i="5"/>
  <c r="O162" i="5"/>
  <c r="O151" i="5"/>
  <c r="O152" i="5"/>
  <c r="O148" i="5"/>
  <c r="K156" i="5"/>
  <c r="O154" i="5"/>
  <c r="O147" i="5"/>
  <c r="O161" i="5"/>
  <c r="O169" i="5"/>
  <c r="O160" i="5"/>
  <c r="O167" i="5"/>
  <c r="O166" i="5"/>
  <c r="O165" i="5"/>
  <c r="L156" i="5"/>
  <c r="O146" i="5"/>
  <c r="O135" i="5"/>
  <c r="L141" i="5"/>
  <c r="K141" i="5"/>
  <c r="I209" i="5"/>
  <c r="I210" i="5"/>
  <c r="I204" i="5"/>
  <c r="T206" i="5"/>
  <c r="U206" i="5" s="1"/>
  <c r="I203" i="5"/>
  <c r="I205" i="5"/>
  <c r="I206" i="5"/>
  <c r="I207" i="5"/>
  <c r="I208" i="5"/>
  <c r="T205" i="5"/>
  <c r="U205" i="5" s="1"/>
  <c r="Q62" i="5"/>
  <c r="L4" i="5" l="1"/>
  <c r="M198" i="5"/>
  <c r="N197" i="5" s="1"/>
  <c r="K16" i="5"/>
  <c r="L15" i="5" s="1"/>
  <c r="N188" i="5"/>
  <c r="O40" i="5"/>
  <c r="I16" i="5"/>
  <c r="P63" i="5"/>
  <c r="Q63" i="5"/>
  <c r="M5" i="5" s="1"/>
  <c r="T77" i="5"/>
  <c r="T68" i="5"/>
  <c r="U68" i="5" s="1"/>
  <c r="T71" i="5"/>
  <c r="U71" i="5" s="1"/>
  <c r="T73" i="5"/>
  <c r="U73" i="5" s="1"/>
  <c r="T83" i="5"/>
  <c r="U83" i="5" s="1"/>
  <c r="T82" i="5"/>
  <c r="U82" i="5" s="1"/>
  <c r="T84" i="5"/>
  <c r="U84" i="5" s="1"/>
  <c r="T79" i="5"/>
  <c r="U79" i="5" s="1"/>
  <c r="T70" i="5"/>
  <c r="U70" i="5" s="1"/>
  <c r="T69" i="5"/>
  <c r="T80" i="5"/>
  <c r="U80" i="5" s="1"/>
  <c r="T81" i="5"/>
  <c r="U81" i="5" s="1"/>
  <c r="T76" i="5"/>
  <c r="U76" i="5" s="1"/>
  <c r="T75" i="5"/>
  <c r="U75" i="5" s="1"/>
  <c r="T78" i="5"/>
  <c r="U78" i="5" s="1"/>
  <c r="T72" i="5"/>
  <c r="U72" i="5" s="1"/>
  <c r="T74" i="5"/>
  <c r="U74" i="5" s="1"/>
  <c r="T85" i="5"/>
  <c r="U85" i="5" s="1"/>
  <c r="T67" i="5"/>
  <c r="U67" i="5" s="1"/>
  <c r="O99" i="5"/>
  <c r="P91" i="5" s="1"/>
  <c r="Q91" i="5" s="1"/>
  <c r="P96" i="5"/>
  <c r="L114" i="5"/>
  <c r="Q105" i="5"/>
  <c r="N189" i="5"/>
  <c r="N190" i="5"/>
  <c r="O190" i="5" s="1"/>
  <c r="N193" i="5"/>
  <c r="N195" i="5"/>
  <c r="N196" i="5"/>
  <c r="N191" i="5"/>
  <c r="O191" i="5" s="1"/>
  <c r="K184" i="5"/>
  <c r="L179" i="5" s="1"/>
  <c r="O170" i="5"/>
  <c r="P168" i="5" s="1"/>
  <c r="O156" i="5"/>
  <c r="P153" i="5" s="1"/>
  <c r="I211" i="5"/>
  <c r="M15" i="5" s="1"/>
  <c r="H211" i="5"/>
  <c r="P92" i="5" l="1"/>
  <c r="Q92" i="5" s="1"/>
  <c r="P94" i="5"/>
  <c r="Q94" i="5" s="1"/>
  <c r="O188" i="5"/>
  <c r="N192" i="5"/>
  <c r="O192" i="5" s="1"/>
  <c r="N194" i="5"/>
  <c r="R189" i="5" s="1"/>
  <c r="P23" i="5"/>
  <c r="Q23" i="5" s="1"/>
  <c r="P21" i="5"/>
  <c r="L5" i="5"/>
  <c r="N5" i="5" s="1"/>
  <c r="N15" i="5"/>
  <c r="P146" i="5"/>
  <c r="P22" i="5"/>
  <c r="P37" i="5"/>
  <c r="P39" i="5"/>
  <c r="P26" i="5"/>
  <c r="P35" i="5"/>
  <c r="P20" i="5"/>
  <c r="P32" i="5"/>
  <c r="P29" i="5"/>
  <c r="P36" i="5"/>
  <c r="P31" i="5"/>
  <c r="P27" i="5"/>
  <c r="P25" i="5"/>
  <c r="P34" i="5"/>
  <c r="P30" i="5"/>
  <c r="P33" i="5"/>
  <c r="P38" i="5"/>
  <c r="P28" i="5"/>
  <c r="P24" i="5"/>
  <c r="T86" i="5"/>
  <c r="U86" i="5"/>
  <c r="M6" i="5" s="1"/>
  <c r="P95" i="5"/>
  <c r="Q95" i="5" s="1"/>
  <c r="P98" i="5"/>
  <c r="P90" i="5"/>
  <c r="Q90" i="5" s="1"/>
  <c r="P97" i="5"/>
  <c r="P93" i="5"/>
  <c r="Q93" i="5" s="1"/>
  <c r="L9" i="5"/>
  <c r="O189" i="5"/>
  <c r="L175" i="5"/>
  <c r="M175" i="5" s="1"/>
  <c r="L178" i="5"/>
  <c r="O196" i="5"/>
  <c r="O193" i="5"/>
  <c r="O195" i="5"/>
  <c r="O197" i="5"/>
  <c r="L177" i="5"/>
  <c r="M177" i="5" s="1"/>
  <c r="L176" i="5"/>
  <c r="M176" i="5" s="1"/>
  <c r="L181" i="5"/>
  <c r="M181" i="5" s="1"/>
  <c r="M179" i="5"/>
  <c r="L182" i="5"/>
  <c r="L180" i="5"/>
  <c r="L183" i="5"/>
  <c r="P163" i="5"/>
  <c r="Q168" i="5"/>
  <c r="P162" i="5"/>
  <c r="P164" i="5"/>
  <c r="P165" i="5"/>
  <c r="P161" i="5"/>
  <c r="P166" i="5"/>
  <c r="P169" i="5"/>
  <c r="P167" i="5"/>
  <c r="P160" i="5"/>
  <c r="P151" i="5"/>
  <c r="Q151" i="5" s="1"/>
  <c r="P152" i="5"/>
  <c r="Q152" i="5" s="1"/>
  <c r="Q153" i="5"/>
  <c r="P147" i="5"/>
  <c r="Q147" i="5" s="1"/>
  <c r="P155" i="5"/>
  <c r="Q155" i="5" s="1"/>
  <c r="P148" i="5"/>
  <c r="Q148" i="5" s="1"/>
  <c r="P149" i="5"/>
  <c r="Q149" i="5" s="1"/>
  <c r="P150" i="5"/>
  <c r="Q150" i="5" s="1"/>
  <c r="P154" i="5"/>
  <c r="Q154" i="5" s="1"/>
  <c r="L14" i="5"/>
  <c r="L8" i="5"/>
  <c r="L11" i="5"/>
  <c r="L7" i="5"/>
  <c r="L12" i="5"/>
  <c r="L13" i="5"/>
  <c r="L10" i="5"/>
  <c r="L6" i="5"/>
  <c r="O194" i="5" l="1"/>
  <c r="N198" i="5"/>
  <c r="W195" i="5"/>
  <c r="V195" i="5"/>
  <c r="W193" i="5"/>
  <c r="W196" i="5"/>
  <c r="W192" i="5"/>
  <c r="V193" i="5"/>
  <c r="V196" i="5"/>
  <c r="V192" i="5"/>
  <c r="V189" i="5"/>
  <c r="W189" i="5"/>
  <c r="W194" i="5"/>
  <c r="W190" i="5"/>
  <c r="V191" i="5"/>
  <c r="V194" i="5"/>
  <c r="W191" i="5"/>
  <c r="V190" i="5"/>
  <c r="U163" i="5"/>
  <c r="Y175" i="5" s="1"/>
  <c r="T90" i="5"/>
  <c r="W90" i="5" s="1"/>
  <c r="X90" i="5" s="1"/>
  <c r="Q20" i="5"/>
  <c r="L16" i="5"/>
  <c r="Y166" i="5"/>
  <c r="Y178" i="5"/>
  <c r="Y173" i="5"/>
  <c r="Y176" i="5"/>
  <c r="Y169" i="5"/>
  <c r="Y165" i="5"/>
  <c r="Y172" i="5"/>
  <c r="X174" i="5"/>
  <c r="X175" i="5"/>
  <c r="X169" i="5"/>
  <c r="Y164" i="5"/>
  <c r="X171" i="5"/>
  <c r="X172" i="5"/>
  <c r="X176" i="5"/>
  <c r="X178" i="5"/>
  <c r="X173" i="5"/>
  <c r="X164" i="5"/>
  <c r="X170" i="5"/>
  <c r="U143" i="5"/>
  <c r="Y148" i="5" s="1"/>
  <c r="W92" i="5"/>
  <c r="AC90" i="5"/>
  <c r="AC91" i="5"/>
  <c r="AC92" i="5"/>
  <c r="Q162" i="5"/>
  <c r="Q167" i="5"/>
  <c r="Q163" i="5"/>
  <c r="Q169" i="5"/>
  <c r="Q166" i="5"/>
  <c r="Q161" i="5"/>
  <c r="Q165" i="5"/>
  <c r="Q164" i="5"/>
  <c r="P40" i="5"/>
  <c r="Q35" i="5"/>
  <c r="P99" i="5"/>
  <c r="Q26" i="5"/>
  <c r="Q27" i="5"/>
  <c r="Q31" i="5"/>
  <c r="Q38" i="5"/>
  <c r="Q33" i="5"/>
  <c r="Q34" i="5"/>
  <c r="Q21" i="5"/>
  <c r="Q25" i="5"/>
  <c r="Q24" i="5"/>
  <c r="Q39" i="5"/>
  <c r="Q28" i="5"/>
  <c r="Q37" i="5"/>
  <c r="Q36" i="5"/>
  <c r="Q22" i="5"/>
  <c r="Q29" i="5"/>
  <c r="Q30" i="5"/>
  <c r="Q32" i="5"/>
  <c r="W93" i="5"/>
  <c r="X93" i="5" s="1"/>
  <c r="O198" i="5"/>
  <c r="M14" i="5" s="1"/>
  <c r="N14" i="5" s="1"/>
  <c r="L184" i="5"/>
  <c r="M180" i="5"/>
  <c r="M182" i="5"/>
  <c r="M183" i="5"/>
  <c r="M178" i="5"/>
  <c r="Q160" i="5"/>
  <c r="P170" i="5"/>
  <c r="Q146" i="5"/>
  <c r="Q156" i="5" s="1"/>
  <c r="M9" i="5" s="1"/>
  <c r="N9" i="5" s="1"/>
  <c r="P156" i="5"/>
  <c r="N6" i="5"/>
  <c r="Y177" i="5" l="1"/>
  <c r="X165" i="5"/>
  <c r="Y167" i="5"/>
  <c r="Y179" i="5" s="1"/>
  <c r="Y170" i="5"/>
  <c r="X168" i="5"/>
  <c r="X166" i="5"/>
  <c r="X179" i="5" s="1"/>
  <c r="Y171" i="5"/>
  <c r="Y174" i="5"/>
  <c r="W91" i="5"/>
  <c r="X91" i="5" s="1"/>
  <c r="X167" i="5"/>
  <c r="X177" i="5"/>
  <c r="Y168" i="5"/>
  <c r="W197" i="5"/>
  <c r="X92" i="5"/>
  <c r="X94" i="5" s="1"/>
  <c r="Y92" i="5"/>
  <c r="V197" i="5"/>
  <c r="Q40" i="5"/>
  <c r="X154" i="5"/>
  <c r="X148" i="5"/>
  <c r="X146" i="5"/>
  <c r="X152" i="5"/>
  <c r="X145" i="5"/>
  <c r="X149" i="5"/>
  <c r="X157" i="5"/>
  <c r="X155" i="5"/>
  <c r="X150" i="5"/>
  <c r="X153" i="5"/>
  <c r="X158" i="5"/>
  <c r="X143" i="5"/>
  <c r="X156" i="5"/>
  <c r="X151" i="5"/>
  <c r="X147" i="5"/>
  <c r="X144" i="5"/>
  <c r="Y145" i="5"/>
  <c r="Y154" i="5"/>
  <c r="Y147" i="5"/>
  <c r="Y144" i="5"/>
  <c r="Y150" i="5"/>
  <c r="Y152" i="5"/>
  <c r="Y157" i="5"/>
  <c r="Y153" i="5"/>
  <c r="Y151" i="5"/>
  <c r="Y149" i="5"/>
  <c r="Y158" i="5"/>
  <c r="Y146" i="5"/>
  <c r="Y156" i="5"/>
  <c r="Y143" i="5"/>
  <c r="Y155" i="5"/>
  <c r="Y90" i="5"/>
  <c r="Y91" i="5"/>
  <c r="Y93" i="5"/>
  <c r="AC93" i="5"/>
  <c r="AC94" i="5" s="1"/>
  <c r="Q170" i="5"/>
  <c r="W94" i="5"/>
  <c r="M184" i="5"/>
  <c r="M11" i="5" s="1"/>
  <c r="N11" i="5" s="1"/>
  <c r="Q128" i="5"/>
  <c r="M10" i="5" l="1"/>
  <c r="N10" i="5" s="1"/>
  <c r="R20" i="5"/>
  <c r="X159" i="5"/>
  <c r="Y159" i="5"/>
  <c r="Y94" i="5"/>
  <c r="R23" i="5"/>
  <c r="R35" i="5"/>
  <c r="R39" i="5"/>
  <c r="R22" i="5"/>
  <c r="R28" i="5"/>
  <c r="R21" i="5"/>
  <c r="R37" i="5"/>
  <c r="R36" i="5"/>
  <c r="R24" i="5"/>
  <c r="R31" i="5"/>
  <c r="R25" i="5"/>
  <c r="R29" i="5"/>
  <c r="R38" i="5"/>
  <c r="R33" i="5"/>
  <c r="R30" i="5"/>
  <c r="R34" i="5"/>
  <c r="R32" i="5"/>
  <c r="R26" i="5"/>
  <c r="R27" i="5"/>
  <c r="R120" i="5"/>
  <c r="T120" i="5" s="1"/>
  <c r="R127" i="5"/>
  <c r="T127" i="5" s="1"/>
  <c r="R119" i="5"/>
  <c r="S119" i="5" l="1"/>
  <c r="T119" i="5"/>
  <c r="N4" i="5"/>
  <c r="R40" i="5"/>
  <c r="S120" i="5"/>
  <c r="R123" i="5"/>
  <c r="R122" i="5"/>
  <c r="T122" i="5" s="1"/>
  <c r="R125" i="5"/>
  <c r="T125" i="5" s="1"/>
  <c r="S127" i="5"/>
  <c r="R126" i="5"/>
  <c r="R124" i="5"/>
  <c r="R121" i="5"/>
  <c r="T121" i="5" s="1"/>
  <c r="S123" i="5" l="1"/>
  <c r="T123" i="5"/>
  <c r="S124" i="5"/>
  <c r="T124" i="5"/>
  <c r="S126" i="5"/>
  <c r="T126" i="5"/>
  <c r="T128" i="5"/>
  <c r="M13" i="5" s="1"/>
  <c r="N13" i="5" s="1"/>
  <c r="U119" i="5"/>
  <c r="S125" i="5"/>
  <c r="S122" i="5"/>
  <c r="S121" i="5"/>
  <c r="R128" i="5"/>
  <c r="AF119" i="5" l="1"/>
  <c r="AE119" i="5"/>
  <c r="AE127" i="5"/>
  <c r="AE125" i="5"/>
  <c r="AE123" i="5"/>
  <c r="AF122" i="5"/>
  <c r="AF123" i="5"/>
  <c r="AE122" i="5"/>
  <c r="AF120" i="5"/>
  <c r="AE121" i="5"/>
  <c r="AE120" i="5"/>
  <c r="AF121" i="5"/>
  <c r="AF124" i="5"/>
  <c r="AF126" i="5"/>
  <c r="AE124" i="5"/>
  <c r="AE126" i="5"/>
  <c r="AF127" i="5"/>
  <c r="AF125" i="5"/>
  <c r="S128" i="5"/>
  <c r="AF128" i="5" l="1"/>
  <c r="AE128" i="5"/>
  <c r="Q98" i="5"/>
  <c r="Q97" i="5"/>
  <c r="Q96" i="5"/>
  <c r="Q99" i="5" s="1"/>
  <c r="M7" i="5" s="1"/>
  <c r="N7" i="5" l="1"/>
  <c r="G9" i="1" l="1"/>
  <c r="G5" i="1"/>
  <c r="G6" i="1"/>
  <c r="G8" i="1"/>
  <c r="G10" i="1"/>
  <c r="G7" i="1"/>
  <c r="G15" i="1" l="1"/>
  <c r="J141" i="5"/>
  <c r="H6" i="1" l="1"/>
  <c r="H14" i="1"/>
  <c r="H4" i="1"/>
  <c r="H11" i="1"/>
  <c r="H13" i="1"/>
  <c r="H10" i="1"/>
  <c r="H12" i="1"/>
  <c r="H8" i="1"/>
  <c r="H9" i="1"/>
  <c r="H7" i="6" s="1"/>
  <c r="H5" i="1"/>
  <c r="H7" i="1"/>
  <c r="N137" i="5"/>
  <c r="N136" i="5"/>
  <c r="N134" i="5"/>
  <c r="N138" i="5"/>
  <c r="N132" i="5"/>
  <c r="N133" i="5"/>
  <c r="N140" i="5"/>
  <c r="N139" i="5"/>
  <c r="P4" i="7" l="1"/>
  <c r="P7" i="7"/>
  <c r="J7" i="8"/>
  <c r="D70" i="13" s="1"/>
  <c r="J15" i="8"/>
  <c r="D78" i="13" s="1"/>
  <c r="J23" i="8"/>
  <c r="D86" i="13" s="1"/>
  <c r="J4" i="8"/>
  <c r="J22" i="8"/>
  <c r="D85" i="13" s="1"/>
  <c r="J8" i="8"/>
  <c r="D71" i="13" s="1"/>
  <c r="J16" i="8"/>
  <c r="D79" i="13" s="1"/>
  <c r="J24" i="8"/>
  <c r="D87" i="13" s="1"/>
  <c r="J17" i="8"/>
  <c r="D80" i="13" s="1"/>
  <c r="J10" i="8"/>
  <c r="D73" i="13" s="1"/>
  <c r="J18" i="8"/>
  <c r="D81" i="13" s="1"/>
  <c r="J26" i="8"/>
  <c r="D89" i="13" s="1"/>
  <c r="J11" i="8"/>
  <c r="D74" i="13" s="1"/>
  <c r="J27" i="8"/>
  <c r="D90" i="13" s="1"/>
  <c r="J12" i="8"/>
  <c r="D75" i="13" s="1"/>
  <c r="J20" i="8"/>
  <c r="D83" i="13" s="1"/>
  <c r="J6" i="8"/>
  <c r="D69" i="13" s="1"/>
  <c r="J9" i="8"/>
  <c r="D72" i="13" s="1"/>
  <c r="J25" i="8"/>
  <c r="D88" i="13" s="1"/>
  <c r="J19" i="8"/>
  <c r="D82" i="13" s="1"/>
  <c r="J5" i="8"/>
  <c r="D68" i="13" s="1"/>
  <c r="J13" i="8"/>
  <c r="D76" i="13" s="1"/>
  <c r="J21" i="8"/>
  <c r="D84" i="13" s="1"/>
  <c r="J14" i="8"/>
  <c r="D77" i="13" s="1"/>
  <c r="H15" i="1"/>
  <c r="J6" i="2"/>
  <c r="J21" i="2"/>
  <c r="J15" i="2"/>
  <c r="J8" i="2"/>
  <c r="J16" i="2"/>
  <c r="J9" i="2"/>
  <c r="J12" i="2"/>
  <c r="J7" i="2"/>
  <c r="J11" i="2"/>
  <c r="J17" i="2"/>
  <c r="J23" i="2"/>
  <c r="J13" i="2"/>
  <c r="J14" i="2"/>
  <c r="J10" i="2"/>
  <c r="J4" i="2"/>
  <c r="D39" i="13" s="1"/>
  <c r="J19" i="2"/>
  <c r="J22" i="2"/>
  <c r="J20" i="2"/>
  <c r="J18" i="2"/>
  <c r="J5" i="2"/>
  <c r="D40" i="13" s="1"/>
  <c r="P8" i="7"/>
  <c r="D26" i="13" s="1"/>
  <c r="D25" i="13"/>
  <c r="P9" i="7"/>
  <c r="P11" i="7"/>
  <c r="P10" i="7"/>
  <c r="D28" i="13" s="1"/>
  <c r="P5" i="7"/>
  <c r="P6" i="7"/>
  <c r="D46" i="13"/>
  <c r="D44" i="13"/>
  <c r="O136" i="5"/>
  <c r="O139" i="5"/>
  <c r="O138" i="5"/>
  <c r="O137" i="5"/>
  <c r="H8" i="6"/>
  <c r="H9" i="6"/>
  <c r="H10" i="6"/>
  <c r="I7" i="4"/>
  <c r="D63" i="13" s="1"/>
  <c r="O140" i="5"/>
  <c r="O134" i="5"/>
  <c r="O133" i="5"/>
  <c r="O132" i="5"/>
  <c r="N141" i="5"/>
  <c r="P12" i="7" l="1"/>
  <c r="D24" i="13"/>
  <c r="R6" i="7"/>
  <c r="D29" i="13"/>
  <c r="R11" i="7"/>
  <c r="D23" i="13"/>
  <c r="R5" i="7"/>
  <c r="D27" i="13"/>
  <c r="R9" i="7"/>
  <c r="D22" i="13"/>
  <c r="R4" i="7"/>
  <c r="J28" i="8"/>
  <c r="D67" i="13"/>
  <c r="E67" i="13" s="1"/>
  <c r="J24" i="2"/>
  <c r="H11" i="6"/>
  <c r="I10" i="6" s="1"/>
  <c r="J10" i="6" s="1"/>
  <c r="K10" i="6" s="1"/>
  <c r="D21" i="13" s="1"/>
  <c r="D42" i="13"/>
  <c r="D50" i="13"/>
  <c r="D55" i="13"/>
  <c r="D54" i="13"/>
  <c r="D51" i="13"/>
  <c r="D47" i="13"/>
  <c r="D57" i="13"/>
  <c r="D43" i="13"/>
  <c r="D49" i="13"/>
  <c r="D41" i="13"/>
  <c r="D52" i="13"/>
  <c r="D56" i="13"/>
  <c r="D53" i="13"/>
  <c r="D58" i="13"/>
  <c r="D48" i="13"/>
  <c r="D45" i="13"/>
  <c r="I13" i="3"/>
  <c r="I8" i="3"/>
  <c r="D60" i="13" s="1"/>
  <c r="I10" i="3"/>
  <c r="D62" i="13" s="1"/>
  <c r="I7" i="3"/>
  <c r="D59" i="13" s="1"/>
  <c r="I9" i="3"/>
  <c r="D61" i="13" s="1"/>
  <c r="I9" i="4"/>
  <c r="D65" i="13" s="1"/>
  <c r="I13" i="4"/>
  <c r="I8" i="4"/>
  <c r="D64" i="13" s="1"/>
  <c r="I10" i="4"/>
  <c r="D66" i="13" s="1"/>
  <c r="O141" i="5"/>
  <c r="P132" i="5" s="1"/>
  <c r="F22" i="13" l="1"/>
  <c r="E59" i="13"/>
  <c r="F59" i="13" s="1"/>
  <c r="E63" i="13"/>
  <c r="H63" i="13" s="1"/>
  <c r="R12" i="7"/>
  <c r="S11" i="7" s="1"/>
  <c r="E22" i="13"/>
  <c r="K12" i="2"/>
  <c r="L12" i="2" s="1"/>
  <c r="K4" i="2"/>
  <c r="K5" i="2"/>
  <c r="L5" i="2" s="1"/>
  <c r="K22" i="2"/>
  <c r="L22" i="2" s="1"/>
  <c r="K13" i="2"/>
  <c r="L13" i="2" s="1"/>
  <c r="K11" i="2"/>
  <c r="L11" i="2" s="1"/>
  <c r="K6" i="2"/>
  <c r="L6" i="2" s="1"/>
  <c r="K7" i="2"/>
  <c r="L7" i="2" s="1"/>
  <c r="K8" i="2"/>
  <c r="L8" i="2" s="1"/>
  <c r="K16" i="2"/>
  <c r="L16" i="2" s="1"/>
  <c r="K9" i="2"/>
  <c r="L9" i="2" s="1"/>
  <c r="K20" i="2"/>
  <c r="L20" i="2" s="1"/>
  <c r="K19" i="2"/>
  <c r="L19" i="2" s="1"/>
  <c r="K17" i="2"/>
  <c r="L17" i="2" s="1"/>
  <c r="K21" i="2"/>
  <c r="L21" i="2" s="1"/>
  <c r="K14" i="2"/>
  <c r="L14" i="2" s="1"/>
  <c r="K23" i="2"/>
  <c r="L23" i="2" s="1"/>
  <c r="K18" i="2"/>
  <c r="L18" i="2" s="1"/>
  <c r="K15" i="2"/>
  <c r="L15" i="2" s="1"/>
  <c r="K10" i="2"/>
  <c r="L10" i="2" s="1"/>
  <c r="H59" i="13"/>
  <c r="H67" i="13"/>
  <c r="F67" i="13"/>
  <c r="H39" i="13"/>
  <c r="E39" i="13"/>
  <c r="F39" i="13"/>
  <c r="I7" i="6"/>
  <c r="J7" i="6" s="1"/>
  <c r="K7" i="6" s="1"/>
  <c r="D18" i="13" s="1"/>
  <c r="I8" i="6"/>
  <c r="J8" i="6" s="1"/>
  <c r="I9" i="6"/>
  <c r="J9" i="6" s="1"/>
  <c r="K9" i="6" s="1"/>
  <c r="D20" i="13" s="1"/>
  <c r="O22" i="13" s="1"/>
  <c r="I12" i="9"/>
  <c r="J7" i="9" s="1"/>
  <c r="P134" i="5"/>
  <c r="Q134" i="5" s="1"/>
  <c r="Q132" i="5"/>
  <c r="P135" i="5"/>
  <c r="Q135" i="5" s="1"/>
  <c r="P139" i="5"/>
  <c r="Q139" i="5" s="1"/>
  <c r="P137" i="5"/>
  <c r="Q137" i="5" s="1"/>
  <c r="P140" i="5"/>
  <c r="Q140" i="5" s="1"/>
  <c r="P136" i="5"/>
  <c r="Q136" i="5" s="1"/>
  <c r="P138" i="5"/>
  <c r="Q138" i="5" s="1"/>
  <c r="P133" i="5"/>
  <c r="Q133" i="5" s="1"/>
  <c r="S9" i="7" l="1"/>
  <c r="S6" i="7"/>
  <c r="S4" i="7"/>
  <c r="S5" i="7"/>
  <c r="F63" i="13"/>
  <c r="J14" i="6"/>
  <c r="K14" i="6" s="1"/>
  <c r="K8" i="6"/>
  <c r="D19" i="13" s="1"/>
  <c r="F18" i="13" s="1"/>
  <c r="L4" i="2"/>
  <c r="L24" i="2" s="1"/>
  <c r="K24" i="2"/>
  <c r="I11" i="6"/>
  <c r="J13" i="6"/>
  <c r="K13" i="6" s="1"/>
  <c r="J11" i="6"/>
  <c r="J15" i="6" s="1"/>
  <c r="J9" i="9"/>
  <c r="J8" i="9"/>
  <c r="J10" i="9"/>
  <c r="U132" i="5"/>
  <c r="Q141" i="5"/>
  <c r="M8" i="5" s="1"/>
  <c r="P141" i="5"/>
  <c r="H18" i="13" l="1"/>
  <c r="E18" i="13"/>
  <c r="O20" i="13" s="1"/>
  <c r="M6" i="2"/>
  <c r="M4" i="2"/>
  <c r="M16" i="2"/>
  <c r="M8" i="2"/>
  <c r="M21" i="2"/>
  <c r="M23" i="2"/>
  <c r="M20" i="2"/>
  <c r="M12" i="2"/>
  <c r="M10" i="2"/>
  <c r="M9" i="2"/>
  <c r="M17" i="2"/>
  <c r="M18" i="2"/>
  <c r="M14" i="2"/>
  <c r="M13" i="2"/>
  <c r="M22" i="2"/>
  <c r="M19" i="2"/>
  <c r="M5" i="2"/>
  <c r="M11" i="2"/>
  <c r="M7" i="2"/>
  <c r="M15" i="2"/>
  <c r="X132" i="5"/>
  <c r="Y135" i="5"/>
  <c r="X137" i="5"/>
  <c r="K11" i="6"/>
  <c r="J12" i="9"/>
  <c r="Y138" i="5"/>
  <c r="Y133" i="5"/>
  <c r="X138" i="5"/>
  <c r="X133" i="5"/>
  <c r="Y139" i="5"/>
  <c r="Y134" i="5"/>
  <c r="X139" i="5"/>
  <c r="X134" i="5"/>
  <c r="X135" i="5"/>
  <c r="Y136" i="5"/>
  <c r="X136" i="5"/>
  <c r="Y137" i="5"/>
  <c r="Y132" i="5"/>
  <c r="N8" i="5"/>
  <c r="M24" i="2" l="1"/>
  <c r="X140" i="5"/>
  <c r="Y140" i="5"/>
  <c r="K109" i="5" l="1"/>
  <c r="AB110" i="5"/>
  <c r="K113" i="5"/>
  <c r="K114" i="5" s="1"/>
  <c r="P112" i="5" s="1"/>
  <c r="Q112" i="5" s="1"/>
  <c r="P109" i="5" l="1"/>
  <c r="Q109" i="5" s="1"/>
  <c r="P107" i="5"/>
  <c r="Q107" i="5" s="1"/>
  <c r="P108" i="5"/>
  <c r="Q108" i="5" s="1"/>
  <c r="P111" i="5"/>
  <c r="Q111" i="5" s="1"/>
  <c r="P113" i="5"/>
  <c r="Q113" i="5" s="1"/>
  <c r="Q114" i="5" l="1"/>
  <c r="R107" i="5"/>
  <c r="S107" i="5" l="1"/>
  <c r="T107" i="5"/>
  <c r="R110" i="5"/>
  <c r="R105" i="5"/>
  <c r="T105" i="5" s="1"/>
  <c r="R106" i="5"/>
  <c r="R112" i="5"/>
  <c r="R109" i="5"/>
  <c r="R108" i="5"/>
  <c r="R111" i="5"/>
  <c r="R113" i="5"/>
  <c r="S106" i="5" l="1"/>
  <c r="T106" i="5"/>
  <c r="S110" i="5"/>
  <c r="T110" i="5"/>
  <c r="U103" i="5"/>
  <c r="AF104" i="5" s="1"/>
  <c r="T113" i="5"/>
  <c r="S111" i="5"/>
  <c r="T111" i="5"/>
  <c r="S108" i="5"/>
  <c r="T108" i="5"/>
  <c r="S109" i="5"/>
  <c r="T109" i="5"/>
  <c r="S112" i="5"/>
  <c r="T112" i="5"/>
  <c r="S113" i="5"/>
  <c r="R114" i="5"/>
  <c r="S105" i="5"/>
  <c r="T114" i="5" l="1"/>
  <c r="M12" i="5" s="1"/>
  <c r="AF106" i="5"/>
  <c r="N12" i="5"/>
  <c r="M16" i="5"/>
  <c r="AE105" i="5"/>
  <c r="AE104" i="5"/>
  <c r="AE109" i="5"/>
  <c r="AE103" i="5"/>
  <c r="AE106" i="5"/>
  <c r="AF109" i="5"/>
  <c r="AF103" i="5"/>
  <c r="AF105" i="5"/>
  <c r="AF107" i="5"/>
  <c r="AF108" i="5"/>
  <c r="AF110" i="5" s="1"/>
  <c r="AE107" i="5"/>
  <c r="AE108" i="5"/>
  <c r="S114" i="5"/>
  <c r="AE110" i="5" l="1"/>
  <c r="N16" i="5"/>
  <c r="O12" i="5" s="1"/>
  <c r="R12" i="5" s="1"/>
  <c r="D14" i="13" s="1"/>
  <c r="P15" i="5" l="1"/>
  <c r="Q15" i="5" s="1"/>
  <c r="P4" i="5"/>
  <c r="Q4" i="5" s="1"/>
  <c r="O4" i="5"/>
  <c r="P5" i="5"/>
  <c r="Q5" i="5" s="1"/>
  <c r="O9" i="5"/>
  <c r="R9" i="5" s="1"/>
  <c r="D11" i="13" s="1"/>
  <c r="P9" i="5"/>
  <c r="Q9" i="5" s="1"/>
  <c r="P14" i="5"/>
  <c r="Q14" i="5" s="1"/>
  <c r="O8" i="5"/>
  <c r="R8" i="5" s="1"/>
  <c r="D10" i="13" s="1"/>
  <c r="O10" i="5"/>
  <c r="R10" i="5" s="1"/>
  <c r="D12" i="13" s="1"/>
  <c r="O11" i="5"/>
  <c r="O15" i="5"/>
  <c r="R15" i="5" s="1"/>
  <c r="D17" i="13" s="1"/>
  <c r="P6" i="5"/>
  <c r="Q6" i="5" s="1"/>
  <c r="P13" i="5"/>
  <c r="Q13" i="5" s="1"/>
  <c r="O5" i="5"/>
  <c r="R5" i="5" s="1"/>
  <c r="D7" i="13" s="1"/>
  <c r="P7" i="5"/>
  <c r="Q7" i="5" s="1"/>
  <c r="O6" i="5"/>
  <c r="R6" i="5" s="1"/>
  <c r="D8" i="13" s="1"/>
  <c r="O7" i="5"/>
  <c r="R7" i="5" s="1"/>
  <c r="D9" i="13" s="1"/>
  <c r="O14" i="5"/>
  <c r="R14" i="5" s="1"/>
  <c r="D16" i="13" s="1"/>
  <c r="P10" i="5"/>
  <c r="Q10" i="5" s="1"/>
  <c r="P12" i="5"/>
  <c r="Q12" i="5" s="1"/>
  <c r="P8" i="5"/>
  <c r="Q8" i="5" s="1"/>
  <c r="P11" i="5"/>
  <c r="Q11" i="5" s="1"/>
  <c r="O13" i="5"/>
  <c r="R13" i="5" s="1"/>
  <c r="D15" i="13" s="1"/>
  <c r="AA12" i="5" l="1"/>
  <c r="AB12" i="5" s="1"/>
  <c r="AA20" i="5"/>
  <c r="AB20" i="5" s="1"/>
  <c r="AA22" i="5"/>
  <c r="AB22" i="5" s="1"/>
  <c r="AA13" i="5"/>
  <c r="AB13" i="5" s="1"/>
  <c r="AA21" i="5"/>
  <c r="AB21" i="5" s="1"/>
  <c r="AA14" i="5"/>
  <c r="AB14" i="5" s="1"/>
  <c r="AA19" i="5"/>
  <c r="AB19" i="5" s="1"/>
  <c r="AA15" i="5"/>
  <c r="AB15" i="5" s="1"/>
  <c r="AA11" i="5"/>
  <c r="AA16" i="5"/>
  <c r="AB16" i="5" s="1"/>
  <c r="AA17" i="5"/>
  <c r="AB17" i="5" s="1"/>
  <c r="AA18" i="5"/>
  <c r="AB18" i="5" s="1"/>
  <c r="Q16" i="5"/>
  <c r="R4" i="5"/>
  <c r="D6" i="13" s="1"/>
  <c r="O16" i="5"/>
  <c r="N183" i="5"/>
  <c r="N181" i="5"/>
  <c r="N176" i="5"/>
  <c r="N175" i="5"/>
  <c r="N179" i="5"/>
  <c r="R11" i="5"/>
  <c r="D13" i="13" s="1"/>
  <c r="H6" i="13" s="1"/>
  <c r="N180" i="5"/>
  <c r="N178" i="5"/>
  <c r="N177" i="5"/>
  <c r="N182" i="5"/>
  <c r="P16" i="5"/>
  <c r="F6" i="13" l="1"/>
  <c r="E6" i="13"/>
  <c r="E91" i="13" s="1"/>
  <c r="H91" i="13"/>
  <c r="I6" i="13" s="1"/>
  <c r="I91" i="13" s="1"/>
  <c r="AC17" i="5"/>
  <c r="AD17" i="5"/>
  <c r="AD22" i="5"/>
  <c r="AC22" i="5"/>
  <c r="AD15" i="5"/>
  <c r="AC15" i="5"/>
  <c r="AD21" i="5"/>
  <c r="AC21" i="5"/>
  <c r="AC18" i="5"/>
  <c r="AD18" i="5"/>
  <c r="AC16" i="5"/>
  <c r="AD16" i="5"/>
  <c r="AD20" i="5"/>
  <c r="AC20" i="5"/>
  <c r="AC19" i="5"/>
  <c r="AD19" i="5"/>
  <c r="AC14" i="5"/>
  <c r="AD14" i="5"/>
  <c r="AD13" i="5"/>
  <c r="AC13" i="5"/>
  <c r="AB11" i="5"/>
  <c r="AA23" i="5"/>
  <c r="AD12" i="5"/>
  <c r="AC12" i="5"/>
  <c r="S37" i="5"/>
  <c r="S28" i="5"/>
  <c r="S30" i="5"/>
  <c r="S32" i="5"/>
  <c r="S21" i="5"/>
  <c r="S24" i="5"/>
  <c r="S34" i="5"/>
  <c r="S29" i="5"/>
  <c r="S35" i="5"/>
  <c r="S26" i="5"/>
  <c r="S36" i="5"/>
  <c r="S39" i="5"/>
  <c r="S22" i="5"/>
  <c r="S31" i="5"/>
  <c r="S25" i="5"/>
  <c r="S27" i="5"/>
  <c r="S20" i="5"/>
  <c r="R16" i="5"/>
  <c r="T4" i="5" s="1"/>
  <c r="T5" i="5" s="1"/>
  <c r="S23" i="5"/>
  <c r="S38" i="5"/>
  <c r="S33" i="5"/>
  <c r="N184" i="5"/>
  <c r="F91" i="13" l="1"/>
  <c r="G6" i="13" s="1"/>
  <c r="I59" i="13"/>
  <c r="I34" i="13"/>
  <c r="I22" i="13"/>
  <c r="I30" i="13"/>
  <c r="I39" i="13"/>
  <c r="I67" i="13"/>
  <c r="I63" i="13"/>
  <c r="I18" i="13"/>
  <c r="AD11" i="5"/>
  <c r="AD23" i="5" s="1"/>
  <c r="AC11" i="5"/>
  <c r="AC23" i="5" s="1"/>
  <c r="AB23" i="5"/>
  <c r="S40" i="5"/>
  <c r="G39" i="13" l="1"/>
  <c r="G67" i="13"/>
  <c r="G30" i="13"/>
  <c r="G59" i="13"/>
  <c r="G63" i="13"/>
  <c r="G34" i="13"/>
  <c r="G18" i="13"/>
  <c r="M19" i="13" s="1"/>
  <c r="G22" i="13"/>
  <c r="G91" i="13" l="1"/>
</calcChain>
</file>

<file path=xl/sharedStrings.xml><?xml version="1.0" encoding="utf-8"?>
<sst xmlns="http://schemas.openxmlformats.org/spreadsheetml/2006/main" count="1385" uniqueCount="535">
  <si>
    <t>g/gDCW</t>
  </si>
  <si>
    <t>Protein</t>
  </si>
  <si>
    <t>[1]</t>
  </si>
  <si>
    <t>RNA</t>
  </si>
  <si>
    <t>DNA</t>
  </si>
  <si>
    <t>Lipid</t>
  </si>
  <si>
    <t>Sterols</t>
  </si>
  <si>
    <t>Carbohydrates</t>
  </si>
  <si>
    <t>Pigments</t>
  </si>
  <si>
    <t>Cofactors</t>
  </si>
  <si>
    <t>Soluble</t>
  </si>
  <si>
    <t>Storage</t>
  </si>
  <si>
    <t>Acids (Glycerol)</t>
  </si>
  <si>
    <t>-</t>
  </si>
  <si>
    <t>[1] Fachet, M., Witte, C., Flassig, R.J. et al. Reconstruction and analysis of a carbon-core metabolic network for Dunaliella salina. BMC Bioinformatics 21, 1 (2020). https://doi.org/10.1186/s12859-019-3325-0</t>
  </si>
  <si>
    <t>Formula tRNA</t>
  </si>
  <si>
    <t>Formula AA</t>
  </si>
  <si>
    <t>MW</t>
  </si>
  <si>
    <t>mmol/gMM</t>
  </si>
  <si>
    <t>g/gDW</t>
  </si>
  <si>
    <t>L-Alanyl-tRNA</t>
  </si>
  <si>
    <t>C31H40N12O22P3T3</t>
  </si>
  <si>
    <t>C3H7NO2</t>
  </si>
  <si>
    <t>L-Leucyl-tRNA</t>
  </si>
  <si>
    <t>C34H46N12O22P3T2</t>
  </si>
  <si>
    <t>C6H13NO2</t>
  </si>
  <si>
    <t>L-Seryl-tRNA(Ser)</t>
  </si>
  <si>
    <t>C31H40N12O23P3T3</t>
  </si>
  <si>
    <t>C3H7NO3</t>
  </si>
  <si>
    <t>Glycyl-tRNA(Gly)</t>
  </si>
  <si>
    <t>C30H38N12O22P3T3</t>
  </si>
  <si>
    <t>C2H5NO2</t>
  </si>
  <si>
    <t>L-Prolyl-tRNA(Pro)</t>
  </si>
  <si>
    <t>C33H42N12O22P3T3</t>
  </si>
  <si>
    <t>C5H9NO2</t>
  </si>
  <si>
    <t>Glutaminyl-tRNA</t>
  </si>
  <si>
    <t>C33H43N13O23P3T2</t>
  </si>
  <si>
    <t>C5H10N2O3</t>
  </si>
  <si>
    <t>L-Arginyl-tRNA(Arg)</t>
  </si>
  <si>
    <t>C34H48N15O22P3T2</t>
  </si>
  <si>
    <t>C6H15N4O2</t>
  </si>
  <si>
    <t>L-Valyl-tRNA(Val)</t>
  </si>
  <si>
    <t>C33H44N12O22P3T2</t>
  </si>
  <si>
    <t>C5H11NO2</t>
  </si>
  <si>
    <t>L-Glutamyl-tRNA(Glu)</t>
  </si>
  <si>
    <t>C33H41N12O24P3T2</t>
  </si>
  <si>
    <t>C5H8NO4</t>
  </si>
  <si>
    <t>L-Threonyl-tRNA(Thr)</t>
  </si>
  <si>
    <t>C32H42N12O23P3T3</t>
  </si>
  <si>
    <t>C4H9NO3</t>
  </si>
  <si>
    <t>L-Aspartyl-tRNA(Asp)</t>
  </si>
  <si>
    <t>C32H39N12O24P3T3</t>
  </si>
  <si>
    <t>C4H6NO4</t>
  </si>
  <si>
    <t>L-Lysyl-tRNA</t>
  </si>
  <si>
    <t>C34H48N13O22P3T3</t>
  </si>
  <si>
    <t>C6H15N2O2</t>
  </si>
  <si>
    <t>L-Histidyl-tRNA(His)</t>
  </si>
  <si>
    <t>C34H42N14O22P3T3</t>
  </si>
  <si>
    <t>C6H9N3O2</t>
  </si>
  <si>
    <t>L-Isoleucyl-tRNA(Ile)</t>
  </si>
  <si>
    <t>L-Asparaginyl-tRNA(Asn)</t>
  </si>
  <si>
    <t>C32H41N13O23P3T3</t>
  </si>
  <si>
    <t>C4H8N2O3</t>
  </si>
  <si>
    <t>L-Phenylalanyl-tRNA(Phe)</t>
  </si>
  <si>
    <t>C37H44N12O22P3T3</t>
  </si>
  <si>
    <t>C9H11NO2</t>
  </si>
  <si>
    <t>L-Methionyl-tRNA</t>
  </si>
  <si>
    <t>C33H44N12O22P3ST2</t>
  </si>
  <si>
    <t>C5H11NO2S</t>
  </si>
  <si>
    <t>L-Cysteinyl-tRNA(Cys)</t>
  </si>
  <si>
    <t>C31H40N12O22P3ST2</t>
  </si>
  <si>
    <t>C3H7NO2S</t>
  </si>
  <si>
    <t>L-Tyrosyl-tRNA(Tyr)</t>
  </si>
  <si>
    <t>C37H44N12O23P3T2</t>
  </si>
  <si>
    <t>C9H11NO3</t>
  </si>
  <si>
    <t>L-Tryptophanyl-tRNA(Trp)</t>
  </si>
  <si>
    <t>C39H45N13O22P3T2</t>
  </si>
  <si>
    <t>C11H12N2O2</t>
  </si>
  <si>
    <t>g/mol</t>
  </si>
  <si>
    <t>ATP</t>
  </si>
  <si>
    <t>C10H13N5O13P3</t>
  </si>
  <si>
    <t>C00002</t>
  </si>
  <si>
    <t>GTP</t>
  </si>
  <si>
    <t>C10H13N5O14P3</t>
  </si>
  <si>
    <t>C00044</t>
  </si>
  <si>
    <t>CTP</t>
  </si>
  <si>
    <t>C9H13N3O14P3</t>
  </si>
  <si>
    <t>C00063</t>
  </si>
  <si>
    <t>UTP</t>
  </si>
  <si>
    <t>C9H12N2O15P3</t>
  </si>
  <si>
    <t>C00075</t>
  </si>
  <si>
    <t>e-RNA</t>
  </si>
  <si>
    <t>Diphosphate</t>
  </si>
  <si>
    <t>HO7P2</t>
  </si>
  <si>
    <t>C00013</t>
  </si>
  <si>
    <t>dATP</t>
  </si>
  <si>
    <t>C10H13N5O12P3</t>
  </si>
  <si>
    <t>C00131</t>
  </si>
  <si>
    <t>dCTP</t>
  </si>
  <si>
    <t>C9H13N3O13P3</t>
  </si>
  <si>
    <t>C00458</t>
  </si>
  <si>
    <t>dGTP</t>
  </si>
  <si>
    <t>C00286</t>
  </si>
  <si>
    <t>dTTP</t>
  </si>
  <si>
    <t>C10H14N2O14P3</t>
  </si>
  <si>
    <t>C00459</t>
  </si>
  <si>
    <t>e-DNA</t>
  </si>
  <si>
    <t>Component</t>
  </si>
  <si>
    <t>KEGG ID</t>
  </si>
  <si>
    <t>Formula</t>
  </si>
  <si>
    <t>Mol.Weight</t>
  </si>
  <si>
    <t>gM/gDW</t>
  </si>
  <si>
    <t>gM/gMM</t>
  </si>
  <si>
    <t>mmolM/gMM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</si>
  <si>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</si>
  <si>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</si>
  <si>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</si>
  <si>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</si>
  <si>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</si>
  <si>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</si>
  <si>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</si>
  <si>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</si>
  <si>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</si>
  <si>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</si>
  <si>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DGTS</t>
  </si>
  <si>
    <t>Total</t>
  </si>
  <si>
    <t>tag160/181/180</t>
  </si>
  <si>
    <t>tag181/181/160</t>
  </si>
  <si>
    <t>tag181/181/180</t>
  </si>
  <si>
    <t>Al-Hasan</t>
  </si>
  <si>
    <t>Vanitha</t>
  </si>
  <si>
    <t>tag160/181/181</t>
  </si>
  <si>
    <t>mol/mol</t>
  </si>
  <si>
    <t>molM/molMM (normalized)</t>
  </si>
  <si>
    <t>Average MW</t>
  </si>
  <si>
    <t>gM/molMM</t>
  </si>
  <si>
    <t>g M/g MM</t>
  </si>
  <si>
    <t>mmol M/g MM</t>
  </si>
  <si>
    <t>mmol M / gDW</t>
  </si>
  <si>
    <t>g M / g DW</t>
  </si>
  <si>
    <t>tag180/181/181</t>
  </si>
  <si>
    <t>tag160/181/180/</t>
  </si>
  <si>
    <t>tag181/181/181</t>
  </si>
  <si>
    <t>tag160/181/1835Z9Z12Z</t>
  </si>
  <si>
    <t>tag180/181/1835Z9Z12Z</t>
  </si>
  <si>
    <t>tag181/181/1835Z9Z12Z</t>
  </si>
  <si>
    <t>CL</t>
  </si>
  <si>
    <t>Al-Hasan (2.5% Salt)</t>
  </si>
  <si>
    <t>% mol/mol</t>
  </si>
  <si>
    <t>% g/g</t>
  </si>
  <si>
    <t>molM/molMM Average</t>
  </si>
  <si>
    <t>molM/molMM Average (normalized)</t>
  </si>
  <si>
    <t>mmol M / g MM</t>
  </si>
  <si>
    <t>C12:0</t>
  </si>
  <si>
    <t>C02679</t>
  </si>
  <si>
    <t>C12H23O2</t>
  </si>
  <si>
    <t>C14:0</t>
  </si>
  <si>
    <t>C06424</t>
  </si>
  <si>
    <t>C14H28O2</t>
  </si>
  <si>
    <t>C14:1</t>
  </si>
  <si>
    <t>C14H26O2</t>
  </si>
  <si>
    <t>C16:0</t>
  </si>
  <si>
    <t>C00249</t>
  </si>
  <si>
    <t>C16H32O2</t>
  </si>
  <si>
    <t>C16:1</t>
  </si>
  <si>
    <t>C08362</t>
  </si>
  <si>
    <t>C16H30O2</t>
  </si>
  <si>
    <t>C16:4</t>
  </si>
  <si>
    <t>CPD-14244 (cpd24244)</t>
  </si>
  <si>
    <t>C18:0</t>
  </si>
  <si>
    <t>C01530</t>
  </si>
  <si>
    <t>C18H36O2</t>
  </si>
  <si>
    <t>C18:1</t>
  </si>
  <si>
    <t>C00712</t>
  </si>
  <si>
    <t>C18H34O2</t>
  </si>
  <si>
    <t>C18:2</t>
  </si>
  <si>
    <t>C01595</t>
  </si>
  <si>
    <t>C18H32O2</t>
  </si>
  <si>
    <t>C18:3 (6,9,12)</t>
  </si>
  <si>
    <t>C06426</t>
  </si>
  <si>
    <t>C18H30O2</t>
  </si>
  <si>
    <t>C18:3 (9,12,15)</t>
  </si>
  <si>
    <t>C06427</t>
  </si>
  <si>
    <t>C20:0</t>
  </si>
  <si>
    <t>C06425</t>
  </si>
  <si>
    <t>C20H39O2</t>
  </si>
  <si>
    <t>C20:1</t>
  </si>
  <si>
    <t>C16526</t>
  </si>
  <si>
    <t>C20H38O2</t>
  </si>
  <si>
    <t>C20:2</t>
  </si>
  <si>
    <t>C16525</t>
  </si>
  <si>
    <t>C20H36O2</t>
  </si>
  <si>
    <t>C20:3</t>
  </si>
  <si>
    <t>C16522</t>
  </si>
  <si>
    <t>C20H34O2</t>
  </si>
  <si>
    <t>C20:4</t>
  </si>
  <si>
    <t>C00219</t>
  </si>
  <si>
    <t>C20H32O2</t>
  </si>
  <si>
    <t>C22:0</t>
  </si>
  <si>
    <t>C08281</t>
  </si>
  <si>
    <t>C22H44O2</t>
  </si>
  <si>
    <t>C22:1</t>
  </si>
  <si>
    <t>C22H42O2</t>
  </si>
  <si>
    <t>C22:2</t>
  </si>
  <si>
    <t>C16533</t>
  </si>
  <si>
    <t>C22H40O2</t>
  </si>
  <si>
    <t>C22:6</t>
  </si>
  <si>
    <t>C06429</t>
  </si>
  <si>
    <t>C22H32O2</t>
  </si>
  <si>
    <t>Muradyan</t>
  </si>
  <si>
    <t>mmol/gDW</t>
  </si>
  <si>
    <t>chloroplast</t>
  </si>
  <si>
    <t>e_r_</t>
  </si>
  <si>
    <t>average</t>
  </si>
  <si>
    <t>MIN</t>
  </si>
  <si>
    <t>MAX</t>
  </si>
  <si>
    <t>183/181</t>
  </si>
  <si>
    <t>183_v2/160</t>
  </si>
  <si>
    <t>183/160</t>
  </si>
  <si>
    <t>182/181</t>
  </si>
  <si>
    <t>182/160</t>
  </si>
  <si>
    <t>181/181</t>
  </si>
  <si>
    <t>181/160</t>
  </si>
  <si>
    <t>C160</t>
  </si>
  <si>
    <t>C181</t>
  </si>
  <si>
    <t>C182</t>
  </si>
  <si>
    <t>C183</t>
  </si>
  <si>
    <t>C183v2</t>
  </si>
  <si>
    <t>CPD0-2208</t>
  </si>
  <si>
    <t>CPD-14244</t>
  </si>
  <si>
    <t>Muradyan (2% CO2)</t>
  </si>
  <si>
    <t>% mg/gDW</t>
  </si>
  <si>
    <t>% molM/molMM Average</t>
  </si>
  <si>
    <t>C16:2</t>
  </si>
  <si>
    <t>CPD-17476</t>
  </si>
  <si>
    <t>C16H28O2</t>
  </si>
  <si>
    <t>160/160</t>
  </si>
  <si>
    <t>C18:3</t>
  </si>
  <si>
    <t>183/164</t>
  </si>
  <si>
    <t>mol / mol average</t>
  </si>
  <si>
    <t>mol / mol normalized</t>
  </si>
  <si>
    <t>182/164</t>
  </si>
  <si>
    <t>183/162</t>
  </si>
  <si>
    <t>181/164</t>
  </si>
  <si>
    <t>182/162</t>
  </si>
  <si>
    <t>182/161</t>
  </si>
  <si>
    <t>C16H23O2</t>
  </si>
  <si>
    <t>181/162</t>
  </si>
  <si>
    <t>mol/ mol</t>
  </si>
  <si>
    <t>mol / g</t>
  </si>
  <si>
    <t>183/183</t>
  </si>
  <si>
    <t>DANIEL V. LYNCH2</t>
  </si>
  <si>
    <t>16:0/14:1</t>
  </si>
  <si>
    <t>16:0/14:2</t>
  </si>
  <si>
    <t>181/161</t>
  </si>
  <si>
    <t>160/182</t>
  </si>
  <si>
    <t>160/183</t>
  </si>
  <si>
    <t>183/161</t>
  </si>
  <si>
    <t>Rhobert W. Evans</t>
  </si>
  <si>
    <t>% mol</t>
  </si>
  <si>
    <t>160/181</t>
  </si>
  <si>
    <t>180/182</t>
  </si>
  <si>
    <t>181/182</t>
  </si>
  <si>
    <t>180/183</t>
  </si>
  <si>
    <t>182/182</t>
  </si>
  <si>
    <t>181/183</t>
  </si>
  <si>
    <t>181/183_v2</t>
  </si>
  <si>
    <t>182/183_v2</t>
  </si>
  <si>
    <t>182/183</t>
  </si>
  <si>
    <t>182/1836Z</t>
  </si>
  <si>
    <t>160/140</t>
  </si>
  <si>
    <t>160/183v2</t>
  </si>
  <si>
    <t>Mol.Weight (without UDP/GDP)</t>
  </si>
  <si>
    <t>UDP-D-Galactose</t>
  </si>
  <si>
    <t>C15H22N2O17P2</t>
  </si>
  <si>
    <t>GDP-Mannose</t>
  </si>
  <si>
    <t>C16H23N5O16P2</t>
  </si>
  <si>
    <t>Starch (300)</t>
  </si>
  <si>
    <t>UDP-L-Arabinose</t>
  </si>
  <si>
    <t>C14H20N2O16P2</t>
  </si>
  <si>
    <t>UDP</t>
  </si>
  <si>
    <t>C9H12N2O12P2</t>
  </si>
  <si>
    <t>GDP</t>
  </si>
  <si>
    <t>C10H13N5O11P2</t>
  </si>
  <si>
    <t>H2O</t>
  </si>
  <si>
    <t>gM/molM</t>
  </si>
  <si>
    <t>Glycerol</t>
  </si>
  <si>
    <t>Acetate</t>
  </si>
  <si>
    <t>Propanoate</t>
  </si>
  <si>
    <t>Butanoate</t>
  </si>
  <si>
    <t>https://doi.org/10.1016/j.btre.2020.e00508</t>
  </si>
  <si>
    <t>[2]</t>
  </si>
  <si>
    <t>https://link.springer.com/content/pdf/10.1007/s00253-012-4502-5.pdf</t>
  </si>
  <si>
    <t>[3]</t>
  </si>
  <si>
    <t>https://www.sciencedirect.com/science/article/pii/S0308814607013015#section0075</t>
  </si>
  <si>
    <t>mg/gDW</t>
  </si>
  <si>
    <t>mmol M/ gMM</t>
  </si>
  <si>
    <t>Chlorophyll a</t>
  </si>
  <si>
    <t>C05306</t>
  </si>
  <si>
    <t>Chlorophyll b</t>
  </si>
  <si>
    <t>C05307</t>
  </si>
  <si>
    <t>Violaxanthin</t>
  </si>
  <si>
    <t>C08614</t>
  </si>
  <si>
    <t>beta-Carotene</t>
  </si>
  <si>
    <t>C02094</t>
  </si>
  <si>
    <t>Zeaxanthin</t>
  </si>
  <si>
    <t>C06098</t>
  </si>
  <si>
    <t>Lutein</t>
  </si>
  <si>
    <t>C08601</t>
  </si>
  <si>
    <t>Neoxanthin</t>
  </si>
  <si>
    <t>C08606</t>
  </si>
  <si>
    <t>C20484</t>
  </si>
  <si>
    <t>% (molar)</t>
  </si>
  <si>
    <t>mol M / mol MM</t>
  </si>
  <si>
    <t>g/molM</t>
  </si>
  <si>
    <t>mmol M/gMM</t>
  </si>
  <si>
    <t>mmol M/ gDW</t>
  </si>
  <si>
    <t>Cholesterol</t>
  </si>
  <si>
    <t>C00187</t>
  </si>
  <si>
    <t>Ergosterol</t>
  </si>
  <si>
    <t>C01694</t>
  </si>
  <si>
    <t>Ergost-7-enol</t>
  </si>
  <si>
    <t>CPD-14893</t>
  </si>
  <si>
    <t>7-dehydroporiferasterol</t>
  </si>
  <si>
    <t>CPD-14899</t>
  </si>
  <si>
    <t>22-dihydrochondrillasterol</t>
  </si>
  <si>
    <t>CPD-14901</t>
  </si>
  <si>
    <t>Total (nmol/mgdW)</t>
  </si>
  <si>
    <t>Total (mmol/gdW)</t>
  </si>
  <si>
    <t>Total (g MM/ gDW)</t>
  </si>
  <si>
    <t>St1</t>
  </si>
  <si>
    <t>Cholesta-5-en-3β-ol</t>
  </si>
  <si>
    <t>[Cholesterol]</t>
  </si>
  <si>
    <t>St2</t>
  </si>
  <si>
    <t>(22E,24R)-Methylcholesta-5,7,9(11),22-tetraen-3β-ol</t>
  </si>
  <si>
    <t>[9(11)-Dehydroergosterol]</t>
  </si>
  <si>
    <t>St3</t>
  </si>
  <si>
    <t>(22E,24R)-Methylcholesta-5,7,22-trien-3β-ol</t>
  </si>
  <si>
    <t>[Ergosterol]</t>
  </si>
  <si>
    <t>St4</t>
  </si>
  <si>
    <t>(22E,24R)-Methyl-5α-cholesta-7,22-dien-3β-ol</t>
  </si>
  <si>
    <t>[5-Dihydroergosterol]</t>
  </si>
  <si>
    <t>St5</t>
  </si>
  <si>
    <t>(24ξ)-Methyl-5α-cholesta-8(14)-en-3β-ol</t>
  </si>
  <si>
    <t>St6</t>
  </si>
  <si>
    <t>(22E,24R)-Ethylcholesta-5,7,9(11),22-tetraen-3β-ol</t>
  </si>
  <si>
    <t>St7</t>
  </si>
  <si>
    <t>(24S)-Methyl-5α-cholesta-7-en-3β-ol</t>
  </si>
  <si>
    <t>[Fungisterol]</t>
  </si>
  <si>
    <t>St8</t>
  </si>
  <si>
    <t>(22E,24R)-Ethylcholesta-5,7,22-trien-3β-ol</t>
  </si>
  <si>
    <t>[7-Dehydroporiferasterol]</t>
  </si>
  <si>
    <t>St9</t>
  </si>
  <si>
    <t>(22E,24R)-Ethyl-5α-cholesta-7,22-dien-3β-ol</t>
  </si>
  <si>
    <t>[Chondrillasterol]</t>
  </si>
  <si>
    <t>St10</t>
  </si>
  <si>
    <t>(24ξ)-Ethyl-5α-cholesta-8(14)-en-3β-ol</t>
  </si>
  <si>
    <t>St11</t>
  </si>
  <si>
    <t>(24ξ)-Ethylcholesta-5,7-dien-3β-ol</t>
  </si>
  <si>
    <t>St12</t>
  </si>
  <si>
    <t>(24S)-Ethyl-5α-cholesta-7-en-3β-ol</t>
  </si>
  <si>
    <t>[22-Dihydrochondrillasterol]</t>
  </si>
  <si>
    <t>Metabolite</t>
  </si>
  <si>
    <t>Chemical Formula</t>
  </si>
  <si>
    <t>MW (g/mol)</t>
  </si>
  <si>
    <t>Reduced MW</t>
  </si>
  <si>
    <t>mol/mole-Cofactor</t>
  </si>
  <si>
    <t>gmetabolite/ge-Cofactor</t>
  </si>
  <si>
    <t>mmolmetabolite/ge-Cofactor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</si>
  <si>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</si>
  <si>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</si>
  <si>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</si>
  <si>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</si>
  <si>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</si>
  <si>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</si>
  <si>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</si>
  <si>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</si>
  <si>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</si>
  <si>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</si>
  <si>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</si>
  <si>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</si>
  <si>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</si>
  <si>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</si>
  <si>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</si>
  <si>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Ubiquinol-9</t>
  </si>
  <si>
    <t>C54H84O4</t>
  </si>
  <si>
    <t>Plastoquinol-9</t>
  </si>
  <si>
    <t>C53H82O2</t>
  </si>
  <si>
    <t>Heme</t>
  </si>
  <si>
    <t>Biotin</t>
  </si>
  <si>
    <t>alpha-Tocopherol</t>
  </si>
  <si>
    <t>C29H50O2</t>
  </si>
  <si>
    <t>Rhodopsin</t>
  </si>
  <si>
    <t>C20H28</t>
  </si>
  <si>
    <t>Phylloquinol</t>
  </si>
  <si>
    <t>C31H48O2</t>
  </si>
  <si>
    <t>Lipoate</t>
  </si>
  <si>
    <t>C8H14O2S2</t>
  </si>
  <si>
    <t>S2Fe2</t>
  </si>
  <si>
    <t>mg / gDW</t>
  </si>
  <si>
    <t>[4]</t>
  </si>
  <si>
    <t>https://onlinelibrary.wiley.com/doi/epdf/10.1111/pre.12379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</si>
  <si>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</si>
  <si>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</si>
  <si>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</si>
  <si>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</si>
  <si>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</si>
  <si>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</si>
  <si>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</si>
  <si>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</si>
  <si>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</si>
  <si>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</si>
  <si>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</si>
  <si>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</si>
  <si>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</si>
  <si>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</si>
  <si>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</si>
  <si>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</si>
  <si>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Cobamide coenzyme</t>
  </si>
  <si>
    <t>C72H100CoN18O17P</t>
  </si>
  <si>
    <t>[2Fe-2S] without apo protein</t>
  </si>
  <si>
    <t>MW water</t>
  </si>
  <si>
    <t>Column1</t>
  </si>
  <si>
    <t>gM/gMM2</t>
  </si>
  <si>
    <t>Compound</t>
  </si>
  <si>
    <t>Column10</t>
  </si>
  <si>
    <t>mg/gDW2</t>
  </si>
  <si>
    <t>mg/g4</t>
  </si>
  <si>
    <t>mmol/gDW5</t>
  </si>
  <si>
    <t>mmol/gDW8</t>
  </si>
  <si>
    <t>mmol/gDW9</t>
  </si>
  <si>
    <t>[2] V. Sousa (personal communication, publication in preparation)</t>
  </si>
  <si>
    <t>*Included in "Carbohydrates</t>
  </si>
  <si>
    <t>MW (-H2O)</t>
  </si>
  <si>
    <t>Sum of C160, C180, C181, C183:</t>
  </si>
  <si>
    <t>tag160/181/160</t>
  </si>
  <si>
    <t>tag180/181/160</t>
  </si>
  <si>
    <t>tag180/181/180</t>
  </si>
  <si>
    <t>[1] AL-HASAN. R. H.. GHANNOUM. M. A.. SALLAL. A.-K.. ABU-ELTEEN. K. H.. &amp; RADWAN. S. S. (1987). Correlative Changes of Growth. Pigmentation and Lipid Composition of Dunaliella salina in Response to Halostress. Microbiology. 133(9). 2607–2616. https://doi.org/10.1099/00221287-133-9-2607</t>
  </si>
  <si>
    <t>molM/molMM of polar lipids [1]</t>
  </si>
  <si>
    <t>mol/mol [2]</t>
  </si>
  <si>
    <t>Column2</t>
  </si>
  <si>
    <t>[2] A. Vanitha, M. S. Narayan, K. N. C. Murthy &amp; G. A. Ravishankar (2007) Comparative study of lipid composition of two halotolerant alga, Dunaliella bardawil and Dunaliella salina, International Journal of Food Sciences and Nutrition, 58:5, 373-382, DOI: 10.1080/09637480701252252</t>
  </si>
  <si>
    <t xml:space="preserve">[1] 1. Francavilla M, Trotta P, Luque R. Phytosterols from Dunaliella tertiolecta and Dunaliella salina: A potentially novel industrial application. Bioresour Technol. 2010 Jun 1;101(11):4144–50. </t>
  </si>
  <si>
    <t>Evans</t>
  </si>
  <si>
    <t>[3] Evans, R.W., Kates, M. Lipid composition of halophilic species of Dunaliella from the dead sea. Arch. Microbiol. 140, 50–56 (1984). https://doi.org/10.1007/BF00409771</t>
  </si>
  <si>
    <t>[4] 1. Muradyan EA, Klyachko-Gurvich GL, Tsoglin LN, Sergeyenko T V., Pronina NA. Changes in Lipid Metabolism during Adaptation of the Dunaliella salina Photosynthetic Apparatus to High CO2 Concentration. Russ J Plant Physiol 2004 511 [Internet]. 2004 Jan [cited 2022 Feb 9];51(1):53–62. Available from: https://link.springer.com/article/10.1023/B:RUPP.0000011303.11957.48</t>
  </si>
  <si>
    <t>mol /mol % [3]</t>
  </si>
  <si>
    <t>mol/mol3</t>
  </si>
  <si>
    <t>mol/mol4</t>
  </si>
  <si>
    <t>mol/mol (average)</t>
  </si>
  <si>
    <t>cis-beta-carotene</t>
  </si>
  <si>
    <t>https://www.sciencedirect.com/science/article/pii/S2211926420301132#t0005</t>
  </si>
  <si>
    <t>Total Mass Fraction</t>
  </si>
  <si>
    <t>Functional Mass Fraction (Starch only)</t>
  </si>
  <si>
    <t>Mass Fraction Normalized</t>
  </si>
  <si>
    <t>Carbohydrate</t>
  </si>
  <si>
    <t>Pigment</t>
  </si>
  <si>
    <t>Acids</t>
  </si>
  <si>
    <t>Cofactor</t>
  </si>
  <si>
    <t>C02430</t>
  </si>
  <si>
    <t>cytoplasmic</t>
  </si>
  <si>
    <t>C02282</t>
  </si>
  <si>
    <t>C03127</t>
  </si>
  <si>
    <t>tRNA(Thr)</t>
  </si>
  <si>
    <t>C28H34N11O21P3T3</t>
  </si>
  <si>
    <t>C01651</t>
  </si>
  <si>
    <t>tRNA(Pro)</t>
  </si>
  <si>
    <t>C01649</t>
  </si>
  <si>
    <t>tRNA(Ser)</t>
  </si>
  <si>
    <t>C01650</t>
  </si>
  <si>
    <t>C02554</t>
  </si>
  <si>
    <t>C00886</t>
  </si>
  <si>
    <t>tRNA(Met)</t>
  </si>
  <si>
    <t>C28H34N11O21P3T2</t>
  </si>
  <si>
    <t>C01647</t>
  </si>
  <si>
    <t>C03511</t>
  </si>
  <si>
    <t>tRNA(Cys)</t>
  </si>
  <si>
    <t>C01639</t>
  </si>
  <si>
    <t>C00001</t>
  </si>
  <si>
    <t>C02702</t>
  </si>
  <si>
    <t>tRNA(Val)</t>
  </si>
  <si>
    <t>C01653</t>
  </si>
  <si>
    <t>C02553</t>
  </si>
  <si>
    <t>C02992</t>
  </si>
  <si>
    <t>C03512</t>
  </si>
  <si>
    <t>tRNA(Lys)</t>
  </si>
  <si>
    <t>C01646</t>
  </si>
  <si>
    <t>tRNA(Leu)</t>
  </si>
  <si>
    <t>C01645</t>
  </si>
  <si>
    <t>tRNA(Ile)</t>
  </si>
  <si>
    <t>C01644</t>
  </si>
  <si>
    <t>C02984</t>
  </si>
  <si>
    <t>C03402</t>
  </si>
  <si>
    <t>C02412</t>
  </si>
  <si>
    <t>C02047</t>
  </si>
  <si>
    <t>C02839</t>
  </si>
  <si>
    <t>tRNA(Glu)</t>
  </si>
  <si>
    <t>C01641</t>
  </si>
  <si>
    <t>tRNA(Gln)</t>
  </si>
  <si>
    <t>C01640</t>
  </si>
  <si>
    <t>tRNA(Phe)</t>
  </si>
  <si>
    <t>C01648</t>
  </si>
  <si>
    <t>e-Protein</t>
  </si>
  <si>
    <t>C03125</t>
  </si>
  <si>
    <t>tRNA(Tyr)</t>
  </si>
  <si>
    <t>C00787</t>
  </si>
  <si>
    <t>tRNA(His)</t>
  </si>
  <si>
    <t>C01643</t>
  </si>
  <si>
    <t>C02988</t>
  </si>
  <si>
    <t>tRNA(Ala)</t>
  </si>
  <si>
    <t>C01635</t>
  </si>
  <si>
    <t>C01931</t>
  </si>
  <si>
    <t>C02987</t>
  </si>
  <si>
    <t>tRNA(Trp)</t>
  </si>
  <si>
    <t>C01652</t>
  </si>
  <si>
    <t>tRNA(Gly)</t>
  </si>
  <si>
    <t>C01642</t>
  </si>
  <si>
    <t>tRNA(Asp)</t>
  </si>
  <si>
    <t>C01638</t>
  </si>
  <si>
    <t>C02163</t>
  </si>
  <si>
    <t>tRNA(Asn)</t>
  </si>
  <si>
    <t>C01637</t>
  </si>
  <si>
    <t>tRNA(Arg)</t>
  </si>
  <si>
    <t>C01636</t>
  </si>
  <si>
    <t>Column3</t>
  </si>
  <si>
    <t>Column4</t>
  </si>
  <si>
    <t>Column5</t>
  </si>
  <si>
    <t>g/gDW (normalized)</t>
  </si>
  <si>
    <t>mmol/gDW2</t>
  </si>
  <si>
    <t>mg/gMM</t>
  </si>
  <si>
    <t>No B-carotene</t>
  </si>
  <si>
    <t>g/gDW2</t>
  </si>
  <si>
    <t>max carbs</t>
  </si>
  <si>
    <t>soluble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</si>
</sst>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"/>
    <numFmt numFmtId="166" formatCode="0.00000"/>
    <numFmt numFmtId="167" formatCode="0.000000"/>
    <numFmt numFmtId="168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1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0" fillId="0" borderId="0"/>
    <xf numFmtId="0" fontId="11" fillId="0" borderId="0"/>
    <xf numFmtId="0" fontId="11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10" fillId="0" borderId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7" fillId="0" borderId="0" xfId="1"/>
    <xf numFmtId="0" fontId="9" fillId="0" borderId="0" xfId="0" applyFont="1"/>
    <xf numFmtId="164" fontId="28" fillId="0" borderId="0" xfId="40" applyNumberFormat="1" applyFont="1" applyAlignment="1">
      <alignment horizontal="center"/>
    </xf>
    <xf numFmtId="0" fontId="0" fillId="24" borderId="0" xfId="0" applyFill="1"/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 applyAlignment="1">
      <alignment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/>
    <xf numFmtId="165" fontId="9" fillId="0" borderId="0" xfId="0" applyNumberFormat="1" applyFont="1"/>
    <xf numFmtId="165" fontId="6" fillId="0" borderId="0" xfId="0" applyNumberFormat="1" applyFont="1" applyAlignment="1">
      <alignment vertical="center"/>
    </xf>
    <xf numFmtId="165" fontId="0" fillId="25" borderId="0" xfId="0" applyNumberFormat="1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25" borderId="0" xfId="0" applyFill="1"/>
    <xf numFmtId="166" fontId="0" fillId="25" borderId="0" xfId="0" applyNumberFormat="1" applyFill="1"/>
    <xf numFmtId="11" fontId="0" fillId="0" borderId="0" xfId="0" applyNumberFormat="1"/>
    <xf numFmtId="168" fontId="0" fillId="0" borderId="0" xfId="0" applyNumberFormat="1"/>
    <xf numFmtId="165" fontId="9" fillId="25" borderId="0" xfId="0" applyNumberFormat="1" applyFont="1" applyFill="1"/>
    <xf numFmtId="165" fontId="4" fillId="25" borderId="0" xfId="0" applyNumberFormat="1" applyFont="1" applyFill="1"/>
    <xf numFmtId="0" fontId="1" fillId="0" borderId="10" xfId="0" applyFont="1" applyBorder="1"/>
    <xf numFmtId="0" fontId="0" fillId="0" borderId="0" xfId="0" applyAlignment="1">
      <alignment horizontal="center" vertical="center"/>
    </xf>
    <xf numFmtId="0" fontId="0" fillId="26" borderId="0" xfId="0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48">
    <cellStyle name="20% - Accent1 2" xfId="3" xr:uid="{D8599B3A-99A3-435E-A7AF-2870A3D9EBB5}"/>
    <cellStyle name="20% - Accent2 2" xfId="4" xr:uid="{42CCF153-1469-4BE5-B338-23E883DE3E22}"/>
    <cellStyle name="20% - Accent3 2" xfId="5" xr:uid="{8023E53B-946A-4BCF-9629-2C4D071C136B}"/>
    <cellStyle name="20% - Accent4 2" xfId="6" xr:uid="{9EBD7D73-E0F4-446A-8E75-18EDFECBE6E7}"/>
    <cellStyle name="20% - Accent5 2" xfId="7" xr:uid="{E1195D41-091D-4F77-8585-51BFC057BF3D}"/>
    <cellStyle name="20% - Accent6 2" xfId="8" xr:uid="{249B64B2-499E-43AB-9342-844CF56602D0}"/>
    <cellStyle name="40% - Accent1 2" xfId="9" xr:uid="{437CAFAA-836F-43EC-AD32-6B72B97F73AB}"/>
    <cellStyle name="40% - Accent2 2" xfId="10" xr:uid="{C52C8B62-F148-405C-BBD3-5E21B2C6F383}"/>
    <cellStyle name="40% - Accent3 2" xfId="11" xr:uid="{D6326757-BB4A-4B74-AE86-135903A5212B}"/>
    <cellStyle name="40% - Accent4 2" xfId="12" xr:uid="{D6A59A04-AA9B-4207-81BC-1B8FEE2C4A23}"/>
    <cellStyle name="40% - Accent5 2" xfId="13" xr:uid="{F901A32B-A59B-4736-8212-0A1ED2F2FBB2}"/>
    <cellStyle name="40% - Accent6 2" xfId="14" xr:uid="{4F150421-B225-4067-B615-A3637BA2A298}"/>
    <cellStyle name="60% - Accent1 2" xfId="15" xr:uid="{BC523EB5-319B-4729-AC2A-E2150ABAE1DF}"/>
    <cellStyle name="60% - Accent2 2" xfId="16" xr:uid="{99678DA5-EF97-48FF-951A-ECFB1C2AE9D9}"/>
    <cellStyle name="60% - Accent3 2" xfId="17" xr:uid="{6DC87D66-9A25-4623-87E1-055CF90FF24F}"/>
    <cellStyle name="60% - Accent4 2" xfId="18" xr:uid="{1037E0ED-9569-4D7B-8DFB-C235AB4452B6}"/>
    <cellStyle name="60% - Accent5 2" xfId="19" xr:uid="{898EEAC8-2E70-4D5D-A3BF-914005E74AB4}"/>
    <cellStyle name="60% - Accent6 2" xfId="20" xr:uid="{21C20CC4-F705-4A32-ADEE-9DEAE40251CD}"/>
    <cellStyle name="Accent1 2" xfId="21" xr:uid="{D22B21D8-51CD-4E32-82EC-EB99C80E5E73}"/>
    <cellStyle name="Accent2 2" xfId="22" xr:uid="{72E4391D-0881-4E57-A616-135ABA498781}"/>
    <cellStyle name="Accent3 2" xfId="23" xr:uid="{F879B329-6158-4F75-8B9A-EF1980D97EA2}"/>
    <cellStyle name="Accent4 2" xfId="24" xr:uid="{7F28872F-70AD-4C37-9D3E-799AC0ACDC84}"/>
    <cellStyle name="Accent5 2" xfId="25" xr:uid="{D18C74E4-C60B-46E0-88BC-60764E5A2F2B}"/>
    <cellStyle name="Accent6 2" xfId="26" xr:uid="{D8F5B203-CCB0-4667-AAFC-2F2D94EACC0C}"/>
    <cellStyle name="Bad 2" xfId="27" xr:uid="{F9169149-07F3-411E-8ABE-3F5698C77212}"/>
    <cellStyle name="Calculation 2" xfId="28" xr:uid="{9BFD6EFD-4264-4415-A6A6-68268B88387E}"/>
    <cellStyle name="Check Cell 2" xfId="29" xr:uid="{41A2BF05-FAE7-4A02-BDA8-D4A46675BDAA}"/>
    <cellStyle name="Explanatory Text 2" xfId="30" xr:uid="{C7FE9D99-6E72-4288-845F-1D437CB30C1B}"/>
    <cellStyle name="Good 2" xfId="31" xr:uid="{73F6DCF2-AB4E-4700-8B86-1FEF0574F6BC}"/>
    <cellStyle name="Heading 1 2" xfId="32" xr:uid="{DFD72A71-69A6-48AA-BD19-147FB6E435B6}"/>
    <cellStyle name="Heading 2 2" xfId="33" xr:uid="{F5465B5B-6A5F-4A6A-8EF5-58B37BCDC6CB}"/>
    <cellStyle name="Heading 3 2" xfId="34" xr:uid="{BD62BE46-FFAB-4DD9-ABEF-B04FD8276AA4}"/>
    <cellStyle name="Heading 4 2" xfId="35" xr:uid="{FA908204-2DEA-45D1-9034-D594E14A5D40}"/>
    <cellStyle name="Hyperlink" xfId="1" builtinId="8"/>
    <cellStyle name="Input 2" xfId="36" xr:uid="{29FE87A9-D8AF-46F2-BD9F-221AB020F6DD}"/>
    <cellStyle name="Linked Cell 2" xfId="37" xr:uid="{312AE189-78C2-4C0F-B87F-4DF9B9BCE76D}"/>
    <cellStyle name="Neutral 2" xfId="38" xr:uid="{E184C6E8-1675-49D1-95AA-7ABD48583CFE}"/>
    <cellStyle name="Normal" xfId="0" builtinId="0"/>
    <cellStyle name="Normal 2" xfId="2" xr:uid="{6FDB03F7-B61C-47DD-ACBB-BC8AD1D7CCDC}"/>
    <cellStyle name="Normal 2 3" xfId="39" xr:uid="{8AF41DA1-7D6F-4E48-848D-E8CA81D7590F}"/>
    <cellStyle name="Normal 3" xfId="46" xr:uid="{DF3B7A05-810D-4D22-9B60-DFD1EE33940A}"/>
    <cellStyle name="Normal 3 2" xfId="47" xr:uid="{75BA504A-9BF8-4D7C-AA18-51E79B977674}"/>
    <cellStyle name="Normal_Sheet1" xfId="40" xr:uid="{C5C07631-6F19-40A9-94B7-7A8507EBDFEA}"/>
    <cellStyle name="Note 2" xfId="41" xr:uid="{17DB888D-A177-4ECE-8F77-E48F9986DD22}"/>
    <cellStyle name="Output 2" xfId="42" xr:uid="{6E878432-FD1A-4BED-82C0-617AA1AF54ED}"/>
    <cellStyle name="Title 2" xfId="43" xr:uid="{1A0FA99A-0A52-44C5-8C03-C4BB497BB560}"/>
    <cellStyle name="Total 2" xfId="44" xr:uid="{EA747128-D899-410C-8F86-E14B646829B1}"/>
    <cellStyle name="Warning Text 2" xfId="45" xr:uid="{B3F6E56D-3AF1-4D91-BA55-AB29B2D1968A}"/>
  </cellStyles>
  <dxfs count="41"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0.0000"/>
    </dxf>
    <dxf>
      <numFmt numFmtId="165" formatCode="0.0000"/>
    </dxf>
    <dxf>
      <numFmt numFmtId="165" formatCode="0.0000"/>
      <fill>
        <patternFill patternType="solid">
          <fgColor indexed="64"/>
          <bgColor rgb="FF00B050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id9411_uminho_pt/Documents/Algae/Models/Dsalina/Biomass_Dsalina.xlsx" TargetMode="External"/><Relationship Id="rId1" Type="http://schemas.openxmlformats.org/officeDocument/2006/relationships/externalLinkPath" Target="https://uminho365-my.sharepoint.com/personal/id9411_uminho_pt/Documents/Algae/Models/Dsalina/Biomass_Dsal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molecular Composition"/>
      <sheetName val="Protein"/>
      <sheetName val="RNA"/>
      <sheetName val="DNA"/>
      <sheetName val="Lipid"/>
      <sheetName val="Lipid no TAG"/>
      <sheetName val="Carbohydrates"/>
      <sheetName val="Acids"/>
      <sheetName val="glycerol_uptake"/>
      <sheetName val="Pigments"/>
      <sheetName val="Sterols"/>
      <sheetName val="Cofactors"/>
      <sheetName val="Energy"/>
      <sheetName val="Complete Table"/>
    </sheetNames>
    <sheetDataSet>
      <sheetData sheetId="0"/>
      <sheetData sheetId="1"/>
      <sheetData sheetId="2">
        <row r="13">
          <cell r="J13">
            <v>1.0872162780000002E-2</v>
          </cell>
        </row>
      </sheetData>
      <sheetData sheetId="3">
        <row r="13">
          <cell r="J13">
            <v>5.6526869850000014E-3</v>
          </cell>
        </row>
      </sheetData>
      <sheetData sheetId="4"/>
      <sheetData sheetId="5"/>
      <sheetData sheetId="6">
        <row r="25">
          <cell r="B25" t="str">
            <v>UDP-D-Galactose</v>
          </cell>
        </row>
        <row r="26">
          <cell r="B26" t="str">
            <v>GDP-Mannose</v>
          </cell>
        </row>
        <row r="27">
          <cell r="B27" t="str">
            <v>Starch (300)</v>
          </cell>
        </row>
        <row r="28">
          <cell r="B28" t="str">
            <v>UDP-L-Arabinose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040CE-C84D-40C0-A8DC-6B071EA5835E}" name="Table2" displayName="Table2" ref="D3:M24" totalsRowShown="0">
  <autoFilter ref="D3:M24" xr:uid="{66B040CE-C84D-40C0-A8DC-6B071EA5835E}"/>
  <sortState xmlns:xlrd2="http://schemas.microsoft.com/office/spreadsheetml/2017/richdata2" ref="D4:M24">
    <sortCondition ref="D3:D24"/>
  </sortState>
  <tableColumns count="10">
    <tableColumn id="1" xr3:uid="{6DD6EF88-DA09-4CA9-AD4E-DE63C9FD287A}" name="Compound"/>
    <tableColumn id="2" xr3:uid="{CCAE2013-F5B0-464E-B67B-18A419D4E13F}" name="Formula tRNA"/>
    <tableColumn id="3" xr3:uid="{1218F3D5-C507-4ED1-A23B-E57774F638B4}" name="Formula AA"/>
    <tableColumn id="4" xr3:uid="{282B662E-1C04-4975-9036-09F0A740BF6C}" name="MW"/>
    <tableColumn id="5" xr3:uid="{E3BE2E37-7542-40F8-96A6-B980910E10B8}" name="MW (-H2O)"/>
    <tableColumn id="6" xr3:uid="{4AEE3195-127D-4DB8-B409-54EE1C6A4B6B}" name="mmol/gMM"/>
    <tableColumn id="7" xr3:uid="{66FF8ADE-7C3E-40FF-B3C3-0DAC2A5A1A2E}" name="g/gDW" dataDxfId="40"/>
    <tableColumn id="8" xr3:uid="{6B160A2D-9705-4B12-AE33-FF5D9A536EF9}" name="g/gDW (normalized)" dataDxfId="39">
      <calculatedColumnFormula>Table2[[#This Row],[g/gDW]]*$J$24/'Macromolecular Composition'!$H$4</calculatedColumnFormula>
    </tableColumn>
    <tableColumn id="9" xr3:uid="{E859E32B-49B9-47E5-97C6-D2BC5F906D59}" name="mmol/gDW" dataDxfId="38">
      <calculatedColumnFormula>I4/H4*1000/'Macromolecular Composition'!$H$4</calculatedColumnFormula>
    </tableColumn>
    <tableColumn id="10" xr3:uid="{66ED1B94-3680-455D-9FB3-DA2E0BC590E4}" name="mmol/gDW2" dataDxfId="37">
      <calculatedColumnFormula>Table2[[#This Row],[mmol/gDW]]/$K$24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5BEF90-7D0E-4306-85B7-FA91F25EDC8D}" name="Table6" displayName="Table6" ref="C3:J28" totalsRowShown="0">
  <autoFilter ref="C3:J28" xr:uid="{895BEF90-7D0E-4306-85B7-FA91F25EDC8D}"/>
  <tableColumns count="8">
    <tableColumn id="1" xr3:uid="{BA80E5D8-7CD7-4EC9-843A-5B98FE8C243D}" name="Metabolite"/>
    <tableColumn id="2" xr3:uid="{AFD4762E-0232-45DB-8810-64A288B8F998}" name="Chemical Formula"/>
    <tableColumn id="3" xr3:uid="{D0A8C9F6-91A2-4AB0-BDD9-5BD433A2EA8C}" name="MW (g/mol)"/>
    <tableColumn id="4" xr3:uid="{559CC120-24BE-4374-8E79-D1B44B0CFAA3}" name="Reduced MW"/>
    <tableColumn id="5" xr3:uid="{7F8E2606-94C5-49F5-A463-001394855063}" name="mol/mole-Cofactor"/>
    <tableColumn id="6" xr3:uid="{DEF98CF4-ACAE-4C1F-B46A-C03C499FEF97}" name="gmetabolite/ge-Cofactor"/>
    <tableColumn id="7" xr3:uid="{F3550C60-2C03-40AE-B65C-CF9C869929FA}" name="mmolmetabolite/ge-Cofactor" dataDxfId="1"/>
    <tableColumn id="8" xr3:uid="{8A9553C4-02C7-4839-8445-47C770CF3BF0}" name="gmetabolite/gDW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6FAD6E-A22C-42ED-B399-825EE4264CD2}" name="Table10" displayName="Table10" ref="D30:H72" totalsRowShown="0">
  <autoFilter ref="D30:H72" xr:uid="{7D6FAD6E-A22C-42ED-B399-825EE4264CD2}"/>
  <sortState xmlns:xlrd2="http://schemas.microsoft.com/office/spreadsheetml/2017/richdata2" ref="D31:H72">
    <sortCondition descending="1" ref="H30:H72"/>
  </sortState>
  <tableColumns count="5">
    <tableColumn id="1" xr3:uid="{A00F8496-7860-42EB-849F-BF248FA89863}" name="Column1"/>
    <tableColumn id="2" xr3:uid="{0AF6EE3A-BB42-43B7-842E-EDB651F754EC}" name="Column2"/>
    <tableColumn id="3" xr3:uid="{01663BF7-E427-4C03-8D81-7ACD5E02D71F}" name="Column3"/>
    <tableColumn id="4" xr3:uid="{A442B58F-1D75-4B30-8B1D-BF55CAA8E1C9}" name="Column4"/>
    <tableColumn id="5" xr3:uid="{E1F976EF-1831-46A7-A155-64EF4FA4BD1F}" name="Column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F8198-64DB-4B01-B871-F7F4F72F7D1B}" name="Table3" displayName="Table3" ref="D6:I13" totalsRowShown="0">
  <autoFilter ref="D6:I13" xr:uid="{79BF8198-64DB-4B01-B871-F7F4F72F7D1B}"/>
  <tableColumns count="6">
    <tableColumn id="1" xr3:uid="{D1DD95BB-0ADD-4C4B-9391-A74066679F17}" name="Compound"/>
    <tableColumn id="2" xr3:uid="{1EFEE489-A2E2-4058-9EF2-0877650BA871}" name="Formula"/>
    <tableColumn id="3" xr3:uid="{C4A210BF-51B7-433D-BF86-DE1284007008}" name="KEGG ID"/>
    <tableColumn id="4" xr3:uid="{565B259B-9226-4E4D-B2AE-5F3BEE43B7F7}" name="MW (g/mol)"/>
    <tableColumn id="5" xr3:uid="{D75E0BAA-55E9-4CCB-B37D-EC4023CC378A}" name="mmol/gMM"/>
    <tableColumn id="6" xr3:uid="{79360C2B-B5E7-43F4-9BEB-A88512523141}" name="g/gDW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81B9A-048C-4F6D-BFB2-2F29F2F0A3A7}" name="Table5" displayName="Table5" ref="D6:I13" totalsRowShown="0" headerRowDxfId="36" headerRowBorderDxfId="35" tableBorderDxfId="34">
  <autoFilter ref="D6:I13" xr:uid="{1CD81B9A-048C-4F6D-BFB2-2F29F2F0A3A7}"/>
  <tableColumns count="6">
    <tableColumn id="1" xr3:uid="{2AC76093-B91D-419A-AFE8-C373C36342AF}" name="Compound"/>
    <tableColumn id="2" xr3:uid="{7D402D1F-617E-4EE5-8771-B3CE47F1B29F}" name="Formula"/>
    <tableColumn id="3" xr3:uid="{39F4984E-0E17-4455-B42C-93E39B9643E1}" name="KEGG ID"/>
    <tableColumn id="4" xr3:uid="{293E3146-A7EF-4D1E-9CB1-39F9C21D59A5}" name="MW (g/mol)"/>
    <tableColumn id="5" xr3:uid="{3F49FCEA-30E6-48FC-9459-58DE9CC05881}" name="mmol/gMM"/>
    <tableColumn id="6" xr3:uid="{2D27D9AA-5F64-4BFB-A229-D7C0099E2B3E}" name="g/gDW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093C2-176F-4533-9CFE-749ADADAE0CF}" name="Table8" displayName="Table8" ref="C3:R16" totalsRowShown="0" headerRowDxfId="33">
  <autoFilter ref="C3:R16" xr:uid="{18B093C2-176F-4533-9CFE-749ADADAE0CF}"/>
  <tableColumns count="16">
    <tableColumn id="1" xr3:uid="{83C4A33C-627E-4353-8994-71BCACFCBEB4}" name="Component" dataDxfId="32"/>
    <tableColumn id="2" xr3:uid="{F560B2BF-8D71-4BC8-B5FE-50B28CAABCB3}" name="KEGG ID" dataDxfId="31"/>
    <tableColumn id="3" xr3:uid="{7DDF3223-59EB-4C4E-BA26-13FEBB05DE49}" name="molM/molMM of polar lipids [1]" dataDxfId="30"/>
    <tableColumn id="4" xr3:uid="{DDF6F168-6254-428D-A8BD-E525DD47EB44}" name="mol/mol [2]" dataDxfId="29"/>
    <tableColumn id="5" xr3:uid="{54711997-711E-45E3-891B-79649BAC62B0}" name="mol /mol % [3]" dataDxfId="28"/>
    <tableColumn id="6" xr3:uid="{95EB541F-E136-40B0-B0F4-1FFEF473DE7A}" name="mol/mol" dataDxfId="27"/>
    <tableColumn id="7" xr3:uid="{43349913-53D8-4BB6-82BD-21A735ABD8A4}" name="mol/mol3" dataDxfId="26"/>
    <tableColumn id="8" xr3:uid="{E52F999F-0965-4A32-BE30-F118B7F903B2}" name="mol/mol4" dataDxfId="25"/>
    <tableColumn id="9" xr3:uid="{F60F4AFA-F8EA-4D04-AA35-D1340AB6FE98}" name="mol/mol (average)" dataDxfId="24"/>
    <tableColumn id="10" xr3:uid="{3AADCC2F-DBD0-40C7-9EB4-A51432943C33}" name="molM/molMM (normalized)" dataDxfId="23"/>
    <tableColumn id="11" xr3:uid="{2D7F340F-81F9-434D-AC0B-48437626EB29}" name="Average MW" dataDxfId="22"/>
    <tableColumn id="12" xr3:uid="{E0C86DA5-F30B-42B9-AF80-20EC8E4C89FF}" name="gM/molMM" dataDxfId="21"/>
    <tableColumn id="13" xr3:uid="{25C2F12D-E567-4605-933B-CBFA5A4EA3AC}" name="g M/g MM" dataDxfId="20"/>
    <tableColumn id="14" xr3:uid="{8F631D0D-0D0E-4599-AA15-F43BDB36B119}" name="mmol M/g MM" dataDxfId="19"/>
    <tableColumn id="15" xr3:uid="{3DF379D4-440C-4850-B999-7DF1C1FD29C0}" name="mmol M / gDW" dataDxfId="18"/>
    <tableColumn id="16" xr3:uid="{0554DC90-52F4-46E8-8BF5-021518E8B7DE}" name="g M / g DW" dataDxfId="1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5AC48-DA7A-437E-B0D9-1DCE363E1AAE}" name="Table1" displayName="Table1" ref="B6:K15" totalsRowShown="0">
  <autoFilter ref="B6:K15" xr:uid="{8BB5AC48-DA7A-437E-B0D9-1DCE363E1AAE}"/>
  <tableColumns count="10">
    <tableColumn id="1" xr3:uid="{3661542C-DD74-4A78-9F4B-19D502064C09}" name="Compound"/>
    <tableColumn id="2" xr3:uid="{5EB25E88-8A6B-4154-A687-498A70942664}" name="Formula"/>
    <tableColumn id="3" xr3:uid="{027FFE20-51B4-4099-9F28-8F8853FA059F}" name="Mol.Weight"/>
    <tableColumn id="4" xr3:uid="{15F627ED-BF0B-43EA-B882-3D43A3E81096}" name="Mol.Weight (without UDP/GDP)"/>
    <tableColumn id="5" xr3:uid="{D00A35E0-A8E6-4A88-BC4E-9D20811CC7E6}" name="mmol/gDW"/>
    <tableColumn id="6" xr3:uid="{1ED23458-115B-4C41-85E5-F6620438BDFA}" name="gM/gDW"/>
    <tableColumn id="7" xr3:uid="{932FE70D-9258-47F8-AB43-4943BB25E3EC}" name="gM/gMM"/>
    <tableColumn id="8" xr3:uid="{61BDC96D-40FE-4330-9415-911BE3783496}" name="gM/gMM2"/>
    <tableColumn id="9" xr3:uid="{C616C384-3C56-42A4-BF70-F54DAC8D07A4}" name="mmolM/gMM"/>
    <tableColumn id="10" xr3:uid="{681C7F95-9135-4D20-9B72-2367C37E064D}" name="g/gDW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79717-C861-499A-8C93-0DECDC11A3DC}" name="Table4" displayName="Table4" ref="C6:K12" totalsRowShown="0" dataDxfId="16">
  <autoFilter ref="C6:K12" xr:uid="{67079717-C861-499A-8C93-0DECDC11A3DC}"/>
  <tableColumns count="9">
    <tableColumn id="1" xr3:uid="{16D0A08D-6A7C-4971-B672-B57B40CAC980}" name="Compound" dataDxfId="15"/>
    <tableColumn id="2" xr3:uid="{FF6B412F-7CCE-4ECD-B786-76BF5F5D8E51}" name="Mol.Weight" dataDxfId="14"/>
    <tableColumn id="3" xr3:uid="{AB3C1DD6-5E56-423D-9C77-3B2AE3970047}" name="% mol/mol"/>
    <tableColumn id="4" xr3:uid="{43E21B7B-D863-4B8E-BC6B-4797F37540D7}" name="mol/mol"/>
    <tableColumn id="5" xr3:uid="{CBA3BCF3-D3F4-400B-8812-7EA2CFD2D451}" name="gM/molM"/>
    <tableColumn id="6" xr3:uid="{0529E601-9B90-4F1D-BCE2-C6030FC7FC91}" name="gM/gDW" dataDxfId="13"/>
    <tableColumn id="7" xr3:uid="{15CB14D2-A1F5-433B-9C10-4139013B6C2D}" name="Column1"/>
    <tableColumn id="8" xr3:uid="{5F3061DD-8BE8-4854-825B-62D7DAB2E27C}" name="mmolM/gMM" dataDxfId="12"/>
    <tableColumn id="9" xr3:uid="{1F1F1867-7B0A-445E-A4B1-D7D2F9E08C5A}" name="mmol/gDW" dataDxfId="1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332D1-DFC0-442C-B6D7-9947FB251380}" name="Table7" displayName="Table7" ref="B3:T12" totalsRowShown="0">
  <autoFilter ref="B3:T12" xr:uid="{574332D1-DFC0-442C-B6D7-9947FB251380}"/>
  <tableColumns count="19">
    <tableColumn id="1" xr3:uid="{F9C59071-89FA-4080-9504-8ED6BD46FA14}" name="Component" dataDxfId="10"/>
    <tableColumn id="2" xr3:uid="{51499AAD-A5C7-4427-B7F6-0B4A6110EC1A}" name="KEGG ID"/>
    <tableColumn id="3" xr3:uid="{96C5AF32-CE29-473F-BE72-E96B5AE36EBB}" name="Mol.Weight"/>
    <tableColumn id="4" xr3:uid="{052BC57B-A521-4A6E-A48D-CAA62371A946}" name="mg/gDW"/>
    <tableColumn id="5" xr3:uid="{5E7EA363-AFB3-4DC2-AD7B-E7F0FBFD7991}" name="mg/gDW2"/>
    <tableColumn id="8" xr3:uid="{81081F8E-B9BD-43DB-8D99-5315D737EEC4}" name="mg/g4"/>
    <tableColumn id="9" xr3:uid="{6AFF65F6-5FA3-42BD-8497-0505B392836B}" name="mmol/gDW"/>
    <tableColumn id="10" xr3:uid="{DA9F7F53-6F7F-4B2B-85BA-57841D681D17}" name="mmol/gDW5"/>
    <tableColumn id="13" xr3:uid="{AE20B93B-BB29-480F-95F2-1FC67C8AC77B}" name="mmol/gDW8"/>
    <tableColumn id="14" xr3:uid="{72F3D8F2-0E59-4AA2-B5F5-2EFDDE538D45}" name="mmol/gDW9"/>
    <tableColumn id="15" xr3:uid="{909ADDCF-C2D3-4CC6-A175-DDA72F6EB528}" name="mol/mol"/>
    <tableColumn id="16" xr3:uid="{94D90AA2-0142-4DEF-AD65-5A9DCC38B6C0}" name="Column10"/>
    <tableColumn id="17" xr3:uid="{3B39B16E-924C-4889-AE96-E79AB2F177F4}" name="mmol M/ gMM" dataDxfId="9"/>
    <tableColumn id="18" xr3:uid="{7E1829B6-DC4B-4AF8-810F-B9F94BBA267C}" name="mg / gDW"/>
    <tableColumn id="19" xr3:uid="{CD8584C7-CA7D-42F2-9CA2-38A9FED0A7C3}" name="g/gDW"/>
    <tableColumn id="20" xr3:uid="{5321F775-DCFA-4809-9AFA-C0BD62C17388}" name="mg/gMM" dataDxfId="8">
      <calculatedColumnFormula>Table7[[#This Row],[mmol M/ gMM]]*Table7[[#This Row],[Mol.Weight]]</calculatedColumnFormula>
    </tableColumn>
    <tableColumn id="6" xr3:uid="{70C9B5B8-88CC-4C4F-8DEA-C1491A61CCEC}" name="g/gDW2" dataDxfId="7">
      <calculatedColumnFormula>Table7[[#This Row],[g/gDW]]</calculatedColumnFormula>
    </tableColumn>
    <tableColumn id="7" xr3:uid="{E86A0115-F2DE-4234-9A19-AAC6F53B8B57}" name="gM/gMM" dataDxfId="6">
      <calculatedColumnFormula>Table7[[#This Row],[g/gDW2]]/$R$12</calculatedColumnFormula>
    </tableColumn>
    <tableColumn id="11" xr3:uid="{8A438586-5B82-4DC7-8BFD-5A492222E39C}" name="mmolM/gMM" dataDxfId="5">
      <calculatedColumnFormula>Table7[[#This Row],[gM/gMM]]/Table7[[#This Row],[Mol.Weight]]*1000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884936-5F57-44EC-8953-BE8147F915D4}" name="Table9" displayName="Table9" ref="D7:M13" totalsRowShown="0">
  <autoFilter ref="D7:M13" xr:uid="{A0884936-5F57-44EC-8953-BE8147F915D4}"/>
  <tableColumns count="10">
    <tableColumn id="1" xr3:uid="{9623B16B-3483-457F-97D7-AC344C225256}" name="Column1"/>
    <tableColumn id="2" xr3:uid="{072F1F95-2FF6-4EDB-850E-B8426858EB12}" name="KEGG ID"/>
    <tableColumn id="3" xr3:uid="{3869FB83-423D-44EC-8379-6B959B06B996}" name="MW"/>
    <tableColumn id="4" xr3:uid="{EFBCA1AC-A49B-4835-BD8F-C8ED24318EE4}" name="% (molar)"/>
    <tableColumn id="5" xr3:uid="{138F6833-EFF1-4489-B8B7-8F8801BB08A1}" name="mol M / mol MM"/>
    <tableColumn id="6" xr3:uid="{BCCBBB05-F485-482F-977D-E22C1F9171AC}" name="g/molM"/>
    <tableColumn id="7" xr3:uid="{2D0ED677-49CD-4530-A4CB-8E854404F4F3}" name="mmol M/gMM" dataDxfId="4"/>
    <tableColumn id="8" xr3:uid="{76A3A56E-B60B-45B3-AC1C-E55732BF706D}" name="mmol M/ gDW" dataDxfId="3"/>
    <tableColumn id="9" xr3:uid="{1F5BDFF6-2905-47F5-BBCA-6E3683E465AC}" name="g/gDW" dataDxfId="2"/>
    <tableColumn id="10" xr3:uid="{38BD67F6-8E61-4B5A-B82D-F86A841ACE6C}" name="Column2">
      <calculatedColumnFormula>L8*1000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ink.springer.com/content/pdf/10.1007/s00253-012-4502-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8"/>
  <sheetViews>
    <sheetView workbookViewId="0">
      <selection activeCell="F23" sqref="F23"/>
    </sheetView>
  </sheetViews>
  <sheetFormatPr defaultRowHeight="15"/>
  <cols>
    <col min="3" max="3" width="14.85546875" bestFit="1" customWidth="1"/>
    <col min="4" max="4" width="23" bestFit="1" customWidth="1"/>
    <col min="5" max="5" width="23.140625" customWidth="1"/>
    <col min="6" max="6" width="12" bestFit="1" customWidth="1"/>
    <col min="11" max="11" width="9.5703125" bestFit="1" customWidth="1"/>
    <col min="12" max="12" width="10.5703125" bestFit="1" customWidth="1"/>
  </cols>
  <sheetData>
    <row r="3" spans="3:12">
      <c r="D3" t="s">
        <v>2</v>
      </c>
      <c r="E3" t="s">
        <v>291</v>
      </c>
      <c r="H3" t="s">
        <v>0</v>
      </c>
    </row>
    <row r="4" spans="3:12">
      <c r="C4" t="s">
        <v>1</v>
      </c>
      <c r="D4">
        <v>44</v>
      </c>
      <c r="E4">
        <v>16.27</v>
      </c>
      <c r="F4">
        <f>AVERAGE(E4)</f>
        <v>16.27</v>
      </c>
      <c r="G4" s="22">
        <f t="shared" ref="G4:G14" si="0">F4/$F$15</f>
        <v>0.16269999999999998</v>
      </c>
      <c r="H4" s="20">
        <f>G4/$G$15</f>
        <v>0.16270000000000001</v>
      </c>
    </row>
    <row r="5" spans="3:12">
      <c r="C5" t="s">
        <v>3</v>
      </c>
      <c r="D5">
        <v>2</v>
      </c>
      <c r="E5" t="s">
        <v>13</v>
      </c>
      <c r="F5">
        <f>AVERAGE(D5)</f>
        <v>2</v>
      </c>
      <c r="G5" s="22">
        <f t="shared" si="0"/>
        <v>0.02</v>
      </c>
      <c r="H5" s="20">
        <f t="shared" ref="H5:H13" si="1">G5/$G$15</f>
        <v>2.0000000000000004E-2</v>
      </c>
      <c r="I5" s="8"/>
    </row>
    <row r="6" spans="3:12">
      <c r="C6" t="s">
        <v>4</v>
      </c>
      <c r="D6">
        <v>1</v>
      </c>
      <c r="E6" t="s">
        <v>13</v>
      </c>
      <c r="F6">
        <f>AVERAGE(D6)</f>
        <v>1</v>
      </c>
      <c r="G6" s="22">
        <f t="shared" si="0"/>
        <v>0.01</v>
      </c>
      <c r="H6" s="20">
        <f>G6/$G$15</f>
        <v>1.0000000000000002E-2</v>
      </c>
      <c r="I6" s="8"/>
    </row>
    <row r="7" spans="3:12">
      <c r="C7" t="s">
        <v>5</v>
      </c>
      <c r="D7">
        <f>1+16</f>
        <v>17</v>
      </c>
      <c r="E7">
        <v>11.1</v>
      </c>
      <c r="F7">
        <f>AVERAGE(E7)</f>
        <v>11.1</v>
      </c>
      <c r="G7" s="22">
        <f t="shared" si="0"/>
        <v>0.111</v>
      </c>
      <c r="H7" s="20">
        <f t="shared" si="1"/>
        <v>0.11100000000000002</v>
      </c>
      <c r="I7" s="8"/>
    </row>
    <row r="8" spans="3:12">
      <c r="C8" t="s">
        <v>7</v>
      </c>
      <c r="D8">
        <f>14+5</f>
        <v>19</v>
      </c>
      <c r="E8">
        <v>49.5</v>
      </c>
      <c r="F8">
        <f>AVERAGE(E8)</f>
        <v>49.5</v>
      </c>
      <c r="G8" s="22">
        <f t="shared" si="0"/>
        <v>0.495</v>
      </c>
      <c r="H8" s="20">
        <f t="shared" si="1"/>
        <v>0.49500000000000005</v>
      </c>
      <c r="I8" s="8"/>
    </row>
    <row r="9" spans="3:12">
      <c r="C9" t="s">
        <v>10</v>
      </c>
      <c r="D9">
        <f>14</f>
        <v>14</v>
      </c>
      <c r="E9" t="s">
        <v>13</v>
      </c>
      <c r="F9">
        <f>AVERAGE(D9)</f>
        <v>14</v>
      </c>
      <c r="G9" s="22">
        <f t="shared" si="0"/>
        <v>0.14000000000000001</v>
      </c>
      <c r="H9" s="16">
        <f t="shared" si="1"/>
        <v>0.14000000000000004</v>
      </c>
      <c r="I9" s="8" t="s">
        <v>432</v>
      </c>
    </row>
    <row r="10" spans="3:12">
      <c r="C10" t="s">
        <v>11</v>
      </c>
      <c r="D10">
        <v>5</v>
      </c>
      <c r="E10" t="s">
        <v>13</v>
      </c>
      <c r="F10">
        <f>AVERAGE(D10)</f>
        <v>5</v>
      </c>
      <c r="G10" s="22">
        <f t="shared" si="0"/>
        <v>0.05</v>
      </c>
      <c r="H10" s="16">
        <f t="shared" si="1"/>
        <v>5.000000000000001E-2</v>
      </c>
      <c r="I10" s="8" t="s">
        <v>432</v>
      </c>
    </row>
    <row r="11" spans="3:12">
      <c r="C11" t="s">
        <v>12</v>
      </c>
      <c r="D11">
        <v>15</v>
      </c>
      <c r="E11" t="s">
        <v>13</v>
      </c>
      <c r="F11" s="18">
        <f>Acids!H12*100</f>
        <v>15.67839630255086</v>
      </c>
      <c r="G11" s="22">
        <f>F11/$F$15</f>
        <v>0.15678396302550859</v>
      </c>
      <c r="H11" s="20">
        <f t="shared" si="1"/>
        <v>0.15678396302550862</v>
      </c>
      <c r="I11" s="8"/>
    </row>
    <row r="12" spans="3:12">
      <c r="C12" t="s">
        <v>8</v>
      </c>
      <c r="D12">
        <f>2</f>
        <v>2</v>
      </c>
      <c r="F12" s="18">
        <f>Pigments!O12/1000*100</f>
        <v>1.5989828480501826</v>
      </c>
      <c r="G12" s="22">
        <f>F12/$F$15</f>
        <v>1.5989828480501827E-2</v>
      </c>
      <c r="H12" s="20">
        <f t="shared" si="1"/>
        <v>1.598982848050183E-2</v>
      </c>
      <c r="I12" s="8"/>
    </row>
    <row r="13" spans="3:12">
      <c r="C13" t="s">
        <v>6</v>
      </c>
      <c r="F13">
        <v>0.13800000000000001</v>
      </c>
      <c r="G13" s="22">
        <f t="shared" si="0"/>
        <v>1.3800000000000002E-3</v>
      </c>
      <c r="H13" s="20">
        <f t="shared" si="1"/>
        <v>1.3800000000000004E-3</v>
      </c>
      <c r="I13" s="8"/>
      <c r="J13" s="8"/>
      <c r="K13" s="8"/>
    </row>
    <row r="14" spans="3:12">
      <c r="C14" t="s">
        <v>9</v>
      </c>
      <c r="D14" t="s">
        <v>13</v>
      </c>
      <c r="F14" s="18">
        <f>100-SUM(F4:F8)-SUM(F11:F13)</f>
        <v>2.7146208493989512</v>
      </c>
      <c r="G14" s="22">
        <f t="shared" si="0"/>
        <v>2.7146208493989511E-2</v>
      </c>
      <c r="H14" s="20">
        <f>G14/$G$15</f>
        <v>2.7146208493989514E-2</v>
      </c>
      <c r="I14" s="8"/>
    </row>
    <row r="15" spans="3:12">
      <c r="D15">
        <f>SUM(D4:D8)+SUM(D11:D14)</f>
        <v>100</v>
      </c>
      <c r="F15" s="18">
        <f>SUM(F4:F8)+SUM(F11:F14)</f>
        <v>100</v>
      </c>
      <c r="G15" s="22">
        <f>SUM(G4:G8)+SUM(G11:G14)</f>
        <v>0.99999999999999989</v>
      </c>
      <c r="H15" s="22">
        <f>SUM(H4:H8)+SUM(H11:H14)</f>
        <v>1.0000000000000002</v>
      </c>
    </row>
    <row r="16" spans="3:12">
      <c r="L16" s="8"/>
    </row>
    <row r="19" spans="2:6">
      <c r="B19" s="2" t="s">
        <v>14</v>
      </c>
    </row>
    <row r="20" spans="2:6">
      <c r="B20" s="2" t="s">
        <v>431</v>
      </c>
    </row>
    <row r="29" spans="2:6">
      <c r="F29">
        <v>2.8230000000000002E-2</v>
      </c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1"/>
    </row>
    <row r="41" spans="2:2">
      <c r="B41" s="1"/>
    </row>
    <row r="42" spans="2:2">
      <c r="B42" s="1"/>
    </row>
    <row r="43" spans="2:2">
      <c r="B43" s="3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2242-3BAE-4D56-BFEB-FBD85335365E}">
  <dimension ref="D7:R42"/>
  <sheetViews>
    <sheetView topLeftCell="B1" workbookViewId="0">
      <selection activeCell="K16" sqref="K16"/>
    </sheetView>
  </sheetViews>
  <sheetFormatPr defaultRowHeight="15"/>
  <cols>
    <col min="4" max="4" width="22.85546875" bestFit="1" customWidth="1"/>
    <col min="5" max="5" width="18.7109375" bestFit="1" customWidth="1"/>
    <col min="6" max="6" width="11" bestFit="1" customWidth="1"/>
    <col min="7" max="7" width="11.7109375" customWidth="1"/>
    <col min="8" max="8" width="17.7109375" customWidth="1"/>
    <col min="9" max="9" width="11" bestFit="1" customWidth="1"/>
    <col min="10" max="10" width="15.7109375" customWidth="1"/>
    <col min="11" max="11" width="15.85546875" customWidth="1"/>
    <col min="12" max="12" width="12" bestFit="1" customWidth="1"/>
    <col min="13" max="13" width="11" customWidth="1"/>
    <col min="17" max="17" width="48.28515625" bestFit="1" customWidth="1"/>
  </cols>
  <sheetData>
    <row r="7" spans="4:13">
      <c r="D7" t="s">
        <v>422</v>
      </c>
      <c r="E7" t="s">
        <v>108</v>
      </c>
      <c r="F7" t="s">
        <v>17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19</v>
      </c>
      <c r="M7" t="s">
        <v>441</v>
      </c>
    </row>
    <row r="8" spans="4:13">
      <c r="D8" t="s">
        <v>317</v>
      </c>
      <c r="E8" t="s">
        <v>318</v>
      </c>
      <c r="F8">
        <v>386.65</v>
      </c>
      <c r="G8">
        <v>8.2000000000000003E-2</v>
      </c>
      <c r="H8">
        <f>G8/$G$13</f>
        <v>1.0507432086109688E-2</v>
      </c>
      <c r="I8">
        <f>H8*F8</f>
        <v>4.0626986160943108</v>
      </c>
      <c r="J8" s="20">
        <f>H8/$I$13*1000</f>
        <v>2.5911391644925941E-2</v>
      </c>
      <c r="K8" s="16">
        <f>J8*$F$16</f>
        <v>3.5725269092772941E-5</v>
      </c>
      <c r="L8" s="16">
        <f>K8*F8/1000</f>
        <v>1.3813175294720657E-5</v>
      </c>
      <c r="M8">
        <f>L8*1000</f>
        <v>1.3813175294720656E-2</v>
      </c>
    </row>
    <row r="9" spans="4:13">
      <c r="D9" t="s">
        <v>319</v>
      </c>
      <c r="E9" t="s">
        <v>320</v>
      </c>
      <c r="F9">
        <v>396.64839999999998</v>
      </c>
      <c r="G9">
        <v>2.0059999999999998</v>
      </c>
      <c r="H9">
        <f>G9/$G$13</f>
        <v>0.2570476678626345</v>
      </c>
      <c r="I9">
        <f>H9*F9</f>
        <v>101.95754618144539</v>
      </c>
      <c r="J9" s="20">
        <f>H9/$I$13*1000</f>
        <v>0.63388111755757837</v>
      </c>
      <c r="K9" s="16">
        <f>J9*$F$16</f>
        <v>8.739620707329573E-4</v>
      </c>
      <c r="L9" s="16">
        <f t="shared" ref="L9:L12" si="0">K9*F9/1000</f>
        <v>3.4665565701691431E-4</v>
      </c>
      <c r="M9">
        <f t="shared" ref="M9:M13" si="1">L9*1000</f>
        <v>0.34665565701691431</v>
      </c>
    </row>
    <row r="10" spans="4:13">
      <c r="D10" t="s">
        <v>321</v>
      </c>
      <c r="E10" t="s">
        <v>322</v>
      </c>
      <c r="F10">
        <v>400.69</v>
      </c>
      <c r="G10">
        <v>1.26</v>
      </c>
      <c r="H10">
        <f t="shared" ref="H10:H12" si="2">G10/$G$13</f>
        <v>0.16145566376217324</v>
      </c>
      <c r="I10">
        <f t="shared" ref="I10:I11" si="3">H10*F10</f>
        <v>64.69366991286519</v>
      </c>
      <c r="J10" s="20">
        <f t="shared" ref="J10:J11" si="4">H10/$I$13*1000</f>
        <v>0.39815065210495953</v>
      </c>
      <c r="K10" s="16">
        <f t="shared" ref="K10:K12" si="5">J10*$F$16</f>
        <v>5.4894925679138901E-4</v>
      </c>
      <c r="L10" s="16">
        <f>K10*F10/1000</f>
        <v>2.1995847770374166E-4</v>
      </c>
      <c r="M10">
        <f t="shared" si="1"/>
        <v>0.21995847770374166</v>
      </c>
    </row>
    <row r="11" spans="4:13">
      <c r="D11" t="s">
        <v>323</v>
      </c>
      <c r="E11" t="s">
        <v>324</v>
      </c>
      <c r="F11">
        <v>410.68</v>
      </c>
      <c r="G11">
        <v>3.863</v>
      </c>
      <c r="H11">
        <f t="shared" si="2"/>
        <v>0.49500256278831367</v>
      </c>
      <c r="I11">
        <f t="shared" si="3"/>
        <v>203.28765248590466</v>
      </c>
      <c r="J11" s="20">
        <f t="shared" si="4"/>
        <v>1.2206793405408403</v>
      </c>
      <c r="K11" s="16">
        <f t="shared" si="5"/>
        <v>1.6830087134802663E-3</v>
      </c>
      <c r="L11" s="16">
        <f t="shared" si="0"/>
        <v>6.9117801845207578E-4</v>
      </c>
      <c r="M11">
        <f t="shared" si="1"/>
        <v>0.69117801845207583</v>
      </c>
    </row>
    <row r="12" spans="4:13">
      <c r="D12" t="s">
        <v>325</v>
      </c>
      <c r="E12" t="s">
        <v>326</v>
      </c>
      <c r="F12">
        <v>414.71</v>
      </c>
      <c r="G12">
        <v>0.59299999999999997</v>
      </c>
      <c r="H12">
        <f t="shared" si="2"/>
        <v>7.5986673500768834E-2</v>
      </c>
      <c r="I12">
        <f>H12*F12</f>
        <v>31.512433367503842</v>
      </c>
      <c r="J12" s="20">
        <f>H12/$I$13*1000</f>
        <v>0.18738360055415954</v>
      </c>
      <c r="K12" s="16">
        <f t="shared" si="5"/>
        <v>2.5835468990261401E-4</v>
      </c>
      <c r="L12" s="16">
        <f t="shared" si="0"/>
        <v>1.0714227344951304E-4</v>
      </c>
      <c r="M12">
        <f t="shared" si="1"/>
        <v>0.10714227344951305</v>
      </c>
    </row>
    <row r="13" spans="4:13">
      <c r="G13">
        <f>SUM(G8:G12)</f>
        <v>7.8040000000000003</v>
      </c>
      <c r="H13">
        <f t="shared" ref="H13:K13" si="6">SUM(H8:H12)</f>
        <v>1</v>
      </c>
      <c r="I13">
        <f t="shared" si="6"/>
        <v>405.5140005638134</v>
      </c>
      <c r="J13" s="16">
        <f>SUM(J8:J12)</f>
        <v>2.4660061024024635</v>
      </c>
      <c r="K13" s="16">
        <f t="shared" si="6"/>
        <v>3.3999999999999994E-3</v>
      </c>
      <c r="L13" s="16">
        <f>SUM(L8:L12)</f>
        <v>1.3787476019169653E-3</v>
      </c>
      <c r="M13">
        <f t="shared" si="1"/>
        <v>1.3787476019169653</v>
      </c>
    </row>
    <row r="14" spans="4:13">
      <c r="E14" t="s">
        <v>327</v>
      </c>
      <c r="F14">
        <v>3.4</v>
      </c>
    </row>
    <row r="15" spans="4:13">
      <c r="E15" t="s">
        <v>328</v>
      </c>
      <c r="F15">
        <f>F14*10^-6*1000</f>
        <v>3.3999999999999998E-3</v>
      </c>
    </row>
    <row r="16" spans="4:13">
      <c r="E16" t="s">
        <v>329</v>
      </c>
      <c r="F16">
        <f>F15*I13/1000</f>
        <v>1.3787476019169655E-3</v>
      </c>
    </row>
    <row r="20" spans="4:18">
      <c r="D20" t="s">
        <v>443</v>
      </c>
    </row>
    <row r="23" spans="4:18">
      <c r="P23" t="s">
        <v>330</v>
      </c>
      <c r="Q23" t="s">
        <v>331</v>
      </c>
      <c r="R23">
        <v>8.2000000000000003E-2</v>
      </c>
    </row>
    <row r="24" spans="4:18">
      <c r="Q24" t="s">
        <v>332</v>
      </c>
    </row>
    <row r="25" spans="4:18">
      <c r="P25" t="s">
        <v>333</v>
      </c>
      <c r="Q25" t="s">
        <v>334</v>
      </c>
      <c r="R25" s="7">
        <v>4.2999999999999997E-2</v>
      </c>
    </row>
    <row r="26" spans="4:18">
      <c r="Q26" t="s">
        <v>335</v>
      </c>
    </row>
    <row r="27" spans="4:18">
      <c r="P27" t="s">
        <v>336</v>
      </c>
      <c r="Q27" t="s">
        <v>337</v>
      </c>
      <c r="R27" s="19">
        <v>2.0059999999999998</v>
      </c>
    </row>
    <row r="28" spans="4:18">
      <c r="Q28" t="s">
        <v>338</v>
      </c>
    </row>
    <row r="29" spans="4:18">
      <c r="P29" t="s">
        <v>339</v>
      </c>
      <c r="Q29" t="s">
        <v>340</v>
      </c>
      <c r="R29" s="7">
        <v>0.184</v>
      </c>
    </row>
    <row r="30" spans="4:18">
      <c r="Q30" t="s">
        <v>341</v>
      </c>
    </row>
    <row r="31" spans="4:18">
      <c r="P31" t="s">
        <v>342</v>
      </c>
      <c r="Q31" t="s">
        <v>343</v>
      </c>
      <c r="R31" s="7">
        <v>0.121</v>
      </c>
    </row>
    <row r="32" spans="4:18">
      <c r="P32" t="s">
        <v>344</v>
      </c>
      <c r="Q32" t="s">
        <v>345</v>
      </c>
      <c r="R32" s="7">
        <v>8.8999999999999996E-2</v>
      </c>
    </row>
    <row r="33" spans="16:18">
      <c r="P33" t="s">
        <v>346</v>
      </c>
      <c r="Q33" t="s">
        <v>347</v>
      </c>
      <c r="R33" s="19">
        <v>1.26</v>
      </c>
    </row>
    <row r="34" spans="16:18">
      <c r="Q34" t="s">
        <v>348</v>
      </c>
    </row>
    <row r="35" spans="16:18">
      <c r="P35" t="s">
        <v>349</v>
      </c>
      <c r="Q35" t="s">
        <v>350</v>
      </c>
      <c r="R35" s="19">
        <v>3.863</v>
      </c>
    </row>
    <row r="36" spans="16:18">
      <c r="Q36" t="s">
        <v>351</v>
      </c>
    </row>
    <row r="37" spans="16:18">
      <c r="P37" t="s">
        <v>352</v>
      </c>
      <c r="Q37" t="s">
        <v>353</v>
      </c>
      <c r="R37" s="7">
        <v>0.57899999999999996</v>
      </c>
    </row>
    <row r="38" spans="16:18">
      <c r="Q38" t="s">
        <v>354</v>
      </c>
      <c r="R38" s="7"/>
    </row>
    <row r="39" spans="16:18">
      <c r="P39" t="s">
        <v>355</v>
      </c>
      <c r="Q39" t="s">
        <v>356</v>
      </c>
      <c r="R39" s="7">
        <v>5.0999999999999997E-2</v>
      </c>
    </row>
    <row r="40" spans="16:18">
      <c r="P40" t="s">
        <v>357</v>
      </c>
      <c r="Q40" t="s">
        <v>358</v>
      </c>
      <c r="R40" s="7">
        <v>1.6E-2</v>
      </c>
    </row>
    <row r="41" spans="16:18">
      <c r="P41" t="s">
        <v>359</v>
      </c>
      <c r="Q41" t="s">
        <v>360</v>
      </c>
      <c r="R41" s="19">
        <v>0.59299999999999997</v>
      </c>
    </row>
    <row r="42" spans="16:18">
      <c r="Q42" t="s">
        <v>361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3:P62"/>
  <sheetViews>
    <sheetView workbookViewId="0">
      <selection activeCell="L26" sqref="L26"/>
    </sheetView>
  </sheetViews>
  <sheetFormatPr defaultRowHeight="15"/>
  <cols>
    <col min="3" max="3" width="29.140625" bestFit="1" customWidth="1"/>
    <col min="4" max="4" width="19" hidden="1" customWidth="1"/>
    <col min="5" max="5" width="13.85546875" hidden="1" customWidth="1"/>
    <col min="6" max="6" width="14.85546875" hidden="1" customWidth="1"/>
    <col min="7" max="7" width="20.140625" hidden="1" customWidth="1"/>
    <col min="8" max="8" width="25.140625" hidden="1" customWidth="1"/>
    <col min="9" max="9" width="29.28515625" customWidth="1"/>
    <col min="10" max="10" width="19" customWidth="1"/>
  </cols>
  <sheetData>
    <row r="3" spans="3:16">
      <c r="C3" t="s">
        <v>362</v>
      </c>
      <c r="D3" t="s">
        <v>363</v>
      </c>
      <c r="E3" t="s">
        <v>364</v>
      </c>
      <c r="F3" t="s">
        <v>365</v>
      </c>
      <c r="G3" t="s">
        <v>366</v>
      </c>
      <c r="H3" t="s">
        <v>367</v>
      </c>
      <c r="I3" t="s">
        <v>368</v>
      </c>
      <c r="J3" t="s">
        <v>369</v>
      </c>
    </row>
    <row r="4" spans="3:16">
      <c r="C4" t="s">
        <v>370</v>
      </c>
      <c r="D4" t="s">
        <v>402</v>
      </c>
      <c r="E4">
        <v>740.38</v>
      </c>
      <c r="F4">
        <v>740.38</v>
      </c>
      <c r="G4">
        <v>1</v>
      </c>
      <c r="H4">
        <f t="shared" ref="H4:H27" si="0">G4/$G$28</f>
        <v>4.1666666666666664E-2</v>
      </c>
      <c r="I4" s="20">
        <f>H4/F4*1000</f>
        <v>5.6277407097256357E-2</v>
      </c>
      <c r="J4" s="16">
        <f>H4*'Macromolecular Composition'!$H$14</f>
        <v>1.1310920205828963E-3</v>
      </c>
    </row>
    <row r="5" spans="3:16">
      <c r="C5" t="s">
        <v>371</v>
      </c>
      <c r="D5" t="s">
        <v>403</v>
      </c>
      <c r="E5">
        <v>783.53</v>
      </c>
      <c r="F5">
        <v>783.53</v>
      </c>
      <c r="G5">
        <v>1</v>
      </c>
      <c r="H5">
        <f t="shared" si="0"/>
        <v>4.1666666666666664E-2</v>
      </c>
      <c r="I5" s="20">
        <f>H5/F5*1000</f>
        <v>5.317813825465096E-2</v>
      </c>
      <c r="J5" s="16">
        <f>H5*'Macromolecular Composition'!$H$14</f>
        <v>1.1310920205828963E-3</v>
      </c>
    </row>
    <row r="6" spans="3:16">
      <c r="C6" t="s">
        <v>372</v>
      </c>
      <c r="D6" t="s">
        <v>404</v>
      </c>
      <c r="E6">
        <v>423.3</v>
      </c>
      <c r="F6">
        <v>423.3</v>
      </c>
      <c r="G6">
        <v>1</v>
      </c>
      <c r="H6">
        <f t="shared" si="0"/>
        <v>4.1666666666666664E-2</v>
      </c>
      <c r="I6" s="20">
        <f t="shared" ref="I6:I26" si="1">H6/F6*1000</f>
        <v>9.8432947476179214E-2</v>
      </c>
      <c r="J6" s="16">
        <f>H6*'Macromolecular Composition'!$H$14</f>
        <v>1.1310920205828963E-3</v>
      </c>
    </row>
    <row r="7" spans="3:16">
      <c r="C7" t="s">
        <v>373</v>
      </c>
      <c r="D7" t="s">
        <v>405</v>
      </c>
      <c r="E7">
        <v>763.5</v>
      </c>
      <c r="F7">
        <v>763.5</v>
      </c>
      <c r="G7">
        <v>1</v>
      </c>
      <c r="H7">
        <f t="shared" si="0"/>
        <v>4.1666666666666664E-2</v>
      </c>
      <c r="I7" s="20">
        <f t="shared" si="1"/>
        <v>5.4573237284435715E-2</v>
      </c>
      <c r="J7" s="16">
        <f>H7*'Macromolecular Composition'!$H$14</f>
        <v>1.1310920205828963E-3</v>
      </c>
    </row>
    <row r="8" spans="3:16">
      <c r="C8" t="s">
        <v>374</v>
      </c>
      <c r="D8" t="s">
        <v>406</v>
      </c>
      <c r="E8">
        <v>245.13</v>
      </c>
      <c r="F8">
        <v>245.13</v>
      </c>
      <c r="G8">
        <v>1</v>
      </c>
      <c r="H8">
        <f t="shared" si="0"/>
        <v>4.1666666666666664E-2</v>
      </c>
      <c r="I8" s="20">
        <f t="shared" si="1"/>
        <v>0.1699778348903303</v>
      </c>
      <c r="J8" s="16">
        <f>H8*'Macromolecular Composition'!$H$14</f>
        <v>1.1310920205828963E-3</v>
      </c>
    </row>
    <row r="9" spans="3:16">
      <c r="C9" t="s">
        <v>375</v>
      </c>
      <c r="D9" t="s">
        <v>407</v>
      </c>
      <c r="E9">
        <v>399.44</v>
      </c>
      <c r="F9">
        <v>399.44</v>
      </c>
      <c r="G9">
        <v>1</v>
      </c>
      <c r="H9">
        <f t="shared" si="0"/>
        <v>4.1666666666666664E-2</v>
      </c>
      <c r="I9" s="20">
        <f t="shared" si="1"/>
        <v>0.10431270445290072</v>
      </c>
      <c r="J9" s="16">
        <f>H9*'Macromolecular Composition'!$H$14</f>
        <v>1.1310920205828963E-3</v>
      </c>
    </row>
    <row r="10" spans="3:16">
      <c r="C10" t="s">
        <v>376</v>
      </c>
      <c r="D10" t="s">
        <v>408</v>
      </c>
      <c r="E10">
        <v>471.42</v>
      </c>
      <c r="F10">
        <v>471.42</v>
      </c>
      <c r="G10">
        <v>1</v>
      </c>
      <c r="H10">
        <f t="shared" si="0"/>
        <v>4.1666666666666664E-2</v>
      </c>
      <c r="I10" s="20">
        <f t="shared" si="1"/>
        <v>8.8385445391936421E-2</v>
      </c>
      <c r="J10" s="16">
        <f>H10*'Macromolecular Composition'!$H$14</f>
        <v>1.1310920205828963E-3</v>
      </c>
    </row>
    <row r="11" spans="3:16">
      <c r="C11" t="s">
        <v>377</v>
      </c>
      <c r="D11" t="s">
        <v>409</v>
      </c>
      <c r="E11">
        <v>662.42</v>
      </c>
      <c r="F11">
        <v>662.42</v>
      </c>
      <c r="G11">
        <v>1</v>
      </c>
      <c r="H11">
        <f t="shared" si="0"/>
        <v>4.1666666666666664E-2</v>
      </c>
      <c r="I11" s="20">
        <f t="shared" si="1"/>
        <v>6.2900677314493322E-2</v>
      </c>
      <c r="J11" s="16">
        <f>H11*'Macromolecular Composition'!$H$14</f>
        <v>1.1310920205828963E-3</v>
      </c>
    </row>
    <row r="12" spans="3:16">
      <c r="C12" t="s">
        <v>378</v>
      </c>
      <c r="D12" t="s">
        <v>410</v>
      </c>
      <c r="E12">
        <v>454.33</v>
      </c>
      <c r="F12">
        <v>454.33</v>
      </c>
      <c r="G12">
        <v>1</v>
      </c>
      <c r="H12">
        <f t="shared" si="0"/>
        <v>4.1666666666666664E-2</v>
      </c>
      <c r="I12" s="20">
        <f t="shared" si="1"/>
        <v>9.1710137271733466E-2</v>
      </c>
      <c r="J12" s="16">
        <f>H12*'Macromolecular Composition'!$H$14</f>
        <v>1.1310920205828963E-3</v>
      </c>
    </row>
    <row r="13" spans="3:16">
      <c r="C13" t="s">
        <v>379</v>
      </c>
      <c r="D13" t="s">
        <v>411</v>
      </c>
      <c r="E13">
        <v>306.31</v>
      </c>
      <c r="F13">
        <v>306.31</v>
      </c>
      <c r="G13">
        <v>1</v>
      </c>
      <c r="H13">
        <f t="shared" si="0"/>
        <v>4.1666666666666664E-2</v>
      </c>
      <c r="I13" s="20">
        <f t="shared" si="1"/>
        <v>0.13602777142981509</v>
      </c>
      <c r="J13" s="16">
        <f>H13*'Macromolecular Composition'!$H$14</f>
        <v>1.1310920205828963E-3</v>
      </c>
    </row>
    <row r="14" spans="3:16">
      <c r="C14" t="s">
        <v>380</v>
      </c>
      <c r="D14" t="s">
        <v>412</v>
      </c>
      <c r="E14">
        <v>175.12</v>
      </c>
      <c r="F14">
        <v>175.12</v>
      </c>
      <c r="G14">
        <v>1</v>
      </c>
      <c r="H14">
        <f t="shared" si="0"/>
        <v>4.1666666666666664E-2</v>
      </c>
      <c r="I14" s="20">
        <f t="shared" si="1"/>
        <v>0.23793208466575297</v>
      </c>
      <c r="J14" s="16">
        <f>H14*'Macromolecular Composition'!$H$14</f>
        <v>1.1310920205828963E-3</v>
      </c>
      <c r="P14" s="21"/>
    </row>
    <row r="15" spans="3:16">
      <c r="C15" t="s">
        <v>381</v>
      </c>
      <c r="D15" t="s">
        <v>413</v>
      </c>
      <c r="E15">
        <v>375.36</v>
      </c>
      <c r="F15">
        <v>375.36</v>
      </c>
      <c r="G15">
        <v>1</v>
      </c>
      <c r="H15">
        <f t="shared" si="0"/>
        <v>4.1666666666666664E-2</v>
      </c>
      <c r="I15" s="20">
        <f>H15/F15*1000</f>
        <v>0.11100454674623472</v>
      </c>
      <c r="J15" s="16">
        <f>H15*'Macromolecular Composition'!$H$14</f>
        <v>1.1310920205828963E-3</v>
      </c>
    </row>
    <row r="16" spans="3:16">
      <c r="C16" t="s">
        <v>382</v>
      </c>
      <c r="D16" t="s">
        <v>414</v>
      </c>
      <c r="E16">
        <v>443.41</v>
      </c>
      <c r="F16">
        <v>443.41</v>
      </c>
      <c r="G16">
        <v>1</v>
      </c>
      <c r="H16">
        <f t="shared" si="0"/>
        <v>4.1666666666666664E-2</v>
      </c>
      <c r="I16" s="20">
        <f t="shared" si="1"/>
        <v>9.3968712177593339E-2</v>
      </c>
      <c r="J16" s="16">
        <f>H16*'Macromolecular Composition'!$H$14</f>
        <v>1.1310920205828963E-3</v>
      </c>
    </row>
    <row r="17" spans="3:10">
      <c r="C17" t="s">
        <v>383</v>
      </c>
      <c r="D17" t="s">
        <v>415</v>
      </c>
      <c r="E17">
        <v>356.33</v>
      </c>
      <c r="F17">
        <v>356.33</v>
      </c>
      <c r="G17">
        <v>1</v>
      </c>
      <c r="H17">
        <f t="shared" si="0"/>
        <v>4.1666666666666664E-2</v>
      </c>
      <c r="I17" s="20">
        <f t="shared" si="1"/>
        <v>0.11693280573251387</v>
      </c>
      <c r="J17" s="16">
        <f>H17*'Macromolecular Composition'!$H$14</f>
        <v>1.1310920205828963E-3</v>
      </c>
    </row>
    <row r="18" spans="3:10">
      <c r="C18" t="s">
        <v>384</v>
      </c>
      <c r="D18" t="s">
        <v>385</v>
      </c>
      <c r="E18">
        <v>797.24</v>
      </c>
      <c r="F18">
        <v>797.24</v>
      </c>
      <c r="G18">
        <v>1</v>
      </c>
      <c r="H18">
        <f t="shared" si="0"/>
        <v>4.1666666666666664E-2</v>
      </c>
      <c r="I18" s="20">
        <f>H18/F18*1000</f>
        <v>5.2263642901342965E-2</v>
      </c>
      <c r="J18" s="16">
        <f>H18*'Macromolecular Composition'!$H$14</f>
        <v>1.1310920205828963E-3</v>
      </c>
    </row>
    <row r="19" spans="3:10">
      <c r="C19" t="s">
        <v>386</v>
      </c>
      <c r="D19" t="s">
        <v>387</v>
      </c>
      <c r="E19">
        <v>751.21</v>
      </c>
      <c r="F19">
        <v>751.21</v>
      </c>
      <c r="G19">
        <v>1</v>
      </c>
      <c r="H19">
        <f t="shared" si="0"/>
        <v>4.1666666666666664E-2</v>
      </c>
      <c r="I19" s="20">
        <f t="shared" si="1"/>
        <v>5.5466070295478842E-2</v>
      </c>
      <c r="J19" s="16">
        <f>H19*'Macromolecular Composition'!$H$14</f>
        <v>1.1310920205828963E-3</v>
      </c>
    </row>
    <row r="20" spans="3:10">
      <c r="C20" t="s">
        <v>388</v>
      </c>
      <c r="D20" t="s">
        <v>416</v>
      </c>
      <c r="E20">
        <v>614.47</v>
      </c>
      <c r="F20">
        <v>614.47</v>
      </c>
      <c r="G20">
        <v>1</v>
      </c>
      <c r="H20">
        <f t="shared" si="0"/>
        <v>4.1666666666666664E-2</v>
      </c>
      <c r="I20" s="20">
        <f t="shared" si="1"/>
        <v>6.7809114629952094E-2</v>
      </c>
      <c r="J20" s="16">
        <f>H20*'Macromolecular Composition'!$H$14</f>
        <v>1.1310920205828963E-3</v>
      </c>
    </row>
    <row r="21" spans="3:10">
      <c r="C21" t="s">
        <v>389</v>
      </c>
      <c r="D21" t="s">
        <v>417</v>
      </c>
      <c r="E21">
        <v>243.3</v>
      </c>
      <c r="F21">
        <v>243.3</v>
      </c>
      <c r="G21">
        <v>1</v>
      </c>
      <c r="H21">
        <f t="shared" si="0"/>
        <v>4.1666666666666664E-2</v>
      </c>
      <c r="I21" s="20">
        <f t="shared" si="1"/>
        <v>0.17125633648444991</v>
      </c>
      <c r="J21" s="16">
        <f>H21*'Macromolecular Composition'!$H$14</f>
        <v>1.1310920205828963E-3</v>
      </c>
    </row>
    <row r="22" spans="3:10">
      <c r="C22" t="s">
        <v>390</v>
      </c>
      <c r="D22" t="s">
        <v>391</v>
      </c>
      <c r="E22">
        <v>430.7</v>
      </c>
      <c r="F22">
        <v>430.7</v>
      </c>
      <c r="G22">
        <v>1</v>
      </c>
      <c r="H22">
        <f t="shared" si="0"/>
        <v>4.1666666666666664E-2</v>
      </c>
      <c r="I22" s="20">
        <f t="shared" si="1"/>
        <v>9.6741738255552975E-2</v>
      </c>
      <c r="J22" s="16">
        <f>H22*'Macromolecular Composition'!$H$14</f>
        <v>1.1310920205828963E-3</v>
      </c>
    </row>
    <row r="23" spans="3:10">
      <c r="C23" t="s">
        <v>392</v>
      </c>
      <c r="D23" t="s">
        <v>393</v>
      </c>
      <c r="E23">
        <v>268.44</v>
      </c>
      <c r="F23">
        <f>E23</f>
        <v>268.44</v>
      </c>
      <c r="G23">
        <v>1</v>
      </c>
      <c r="H23">
        <f t="shared" si="0"/>
        <v>4.1666666666666664E-2</v>
      </c>
      <c r="I23" s="20">
        <f t="shared" si="1"/>
        <v>0.1552178016192321</v>
      </c>
      <c r="J23" s="16">
        <f>H23*'Macromolecular Composition'!$H$14</f>
        <v>1.1310920205828963E-3</v>
      </c>
    </row>
    <row r="24" spans="3:10">
      <c r="C24" t="s">
        <v>394</v>
      </c>
      <c r="D24" t="s">
        <v>395</v>
      </c>
      <c r="E24">
        <v>452.71159999999998</v>
      </c>
      <c r="F24">
        <v>452.71159999999998</v>
      </c>
      <c r="G24">
        <v>1</v>
      </c>
      <c r="H24">
        <f t="shared" si="0"/>
        <v>4.1666666666666664E-2</v>
      </c>
      <c r="I24" s="20">
        <f t="shared" si="1"/>
        <v>9.2037992105054672E-2</v>
      </c>
      <c r="J24" s="16">
        <f>H24*'Macromolecular Composition'!$H$14</f>
        <v>1.1310920205828963E-3</v>
      </c>
    </row>
    <row r="25" spans="3:10">
      <c r="C25" t="s">
        <v>418</v>
      </c>
      <c r="D25" t="s">
        <v>419</v>
      </c>
      <c r="E25">
        <v>1579.58</v>
      </c>
      <c r="F25">
        <v>1579.5817999999999</v>
      </c>
      <c r="G25">
        <v>1</v>
      </c>
      <c r="H25">
        <f t="shared" si="0"/>
        <v>4.1666666666666664E-2</v>
      </c>
      <c r="I25" s="20">
        <f t="shared" si="1"/>
        <v>2.6378289916145315E-2</v>
      </c>
      <c r="J25" s="16">
        <f>H25*'Macromolecular Composition'!$H$14</f>
        <v>1.1310920205828963E-3</v>
      </c>
    </row>
    <row r="26" spans="3:10">
      <c r="C26" t="s">
        <v>396</v>
      </c>
      <c r="D26" t="s">
        <v>397</v>
      </c>
      <c r="E26">
        <v>206.33</v>
      </c>
      <c r="F26">
        <v>206.33</v>
      </c>
      <c r="G26">
        <v>1</v>
      </c>
      <c r="H26">
        <f t="shared" si="0"/>
        <v>4.1666666666666664E-2</v>
      </c>
      <c r="I26" s="20">
        <f t="shared" si="1"/>
        <v>0.20194187305126091</v>
      </c>
      <c r="J26" s="16">
        <f>H26*'Macromolecular Composition'!$H$14</f>
        <v>1.1310920205828963E-3</v>
      </c>
    </row>
    <row r="27" spans="3:10">
      <c r="C27" t="s">
        <v>420</v>
      </c>
      <c r="D27" t="s">
        <v>398</v>
      </c>
      <c r="E27">
        <v>175.82</v>
      </c>
      <c r="F27">
        <v>175.82</v>
      </c>
      <c r="G27">
        <v>1</v>
      </c>
      <c r="H27">
        <f t="shared" si="0"/>
        <v>4.1666666666666664E-2</v>
      </c>
      <c r="I27" s="20">
        <f>H27/F27*1000</f>
        <v>0.23698479505554923</v>
      </c>
      <c r="J27" s="16">
        <f>H27*'Macromolecular Composition'!$H$14</f>
        <v>1.1310920205828963E-3</v>
      </c>
    </row>
    <row r="28" spans="3:10">
      <c r="G28">
        <f>SUM(G4:G27)</f>
        <v>24</v>
      </c>
      <c r="H28">
        <f>SUM(H4:H27)</f>
        <v>0.99999999999999956</v>
      </c>
      <c r="I28" s="16">
        <f>SUM(I4:I27)</f>
        <v>2.6317121044998446</v>
      </c>
      <c r="J28" s="16">
        <f>SUM(J4:J27)</f>
        <v>2.7146208493989517E-2</v>
      </c>
    </row>
    <row r="37" spans="9:10">
      <c r="I37" s="16"/>
      <c r="J37" s="16"/>
    </row>
    <row r="38" spans="9:10">
      <c r="I38" s="16"/>
      <c r="J38" s="16"/>
    </row>
    <row r="39" spans="9:10">
      <c r="I39" s="16"/>
      <c r="J39" s="16"/>
    </row>
    <row r="40" spans="9:10">
      <c r="I40" s="16"/>
      <c r="J40" s="16"/>
    </row>
    <row r="41" spans="9:10">
      <c r="I41" s="16"/>
      <c r="J41" s="16"/>
    </row>
    <row r="42" spans="9:10">
      <c r="I42" s="16"/>
      <c r="J42" s="16"/>
    </row>
    <row r="43" spans="9:10">
      <c r="I43" s="16"/>
      <c r="J43" s="16"/>
    </row>
    <row r="44" spans="9:10">
      <c r="I44" s="16"/>
      <c r="J44" s="16"/>
    </row>
    <row r="45" spans="9:10">
      <c r="I45" s="16"/>
      <c r="J45" s="16"/>
    </row>
    <row r="46" spans="9:10">
      <c r="I46" s="16"/>
      <c r="J46" s="16"/>
    </row>
    <row r="47" spans="9:10">
      <c r="I47" s="16"/>
      <c r="J47" s="16"/>
    </row>
    <row r="48" spans="9:10">
      <c r="I48" s="16"/>
      <c r="J48" s="16"/>
    </row>
    <row r="49" spans="9:10">
      <c r="I49" s="16"/>
      <c r="J49" s="16"/>
    </row>
    <row r="50" spans="9:10">
      <c r="I50" s="16"/>
      <c r="J50" s="16"/>
    </row>
    <row r="51" spans="9:10">
      <c r="I51" s="16"/>
      <c r="J51" s="16"/>
    </row>
    <row r="52" spans="9:10">
      <c r="I52" s="16"/>
      <c r="J52" s="16"/>
    </row>
    <row r="53" spans="9:10">
      <c r="I53" s="16"/>
      <c r="J53" s="16"/>
    </row>
    <row r="54" spans="9:10">
      <c r="I54" s="16"/>
      <c r="J54" s="16"/>
    </row>
    <row r="55" spans="9:10">
      <c r="I55" s="16"/>
      <c r="J55" s="16"/>
    </row>
    <row r="56" spans="9:10">
      <c r="I56" s="16"/>
      <c r="J56" s="16"/>
    </row>
    <row r="57" spans="9:10">
      <c r="I57" s="16"/>
      <c r="J57" s="16"/>
    </row>
    <row r="58" spans="9:10">
      <c r="I58" s="16"/>
      <c r="J58" s="16"/>
    </row>
    <row r="59" spans="9:10">
      <c r="I59" s="16"/>
      <c r="J59" s="16"/>
    </row>
    <row r="60" spans="9:10">
      <c r="I60" s="16"/>
      <c r="J60" s="16"/>
    </row>
    <row r="61" spans="9:10">
      <c r="I61" s="16"/>
      <c r="J61" s="16"/>
    </row>
    <row r="62" spans="9:10">
      <c r="J62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7EC6-DB96-46BF-A8AF-D315E6F6DEB9}">
  <dimension ref="B5:Q91"/>
  <sheetViews>
    <sheetView workbookViewId="0">
      <selection activeCell="E22" sqref="E22:E29"/>
    </sheetView>
  </sheetViews>
  <sheetFormatPr defaultRowHeight="15"/>
  <cols>
    <col min="2" max="2" width="13.140625" bestFit="1" customWidth="1"/>
    <col min="3" max="3" width="18.5703125" bestFit="1" customWidth="1"/>
    <col min="4" max="4" width="12" bestFit="1" customWidth="1"/>
    <col min="5" max="5" width="18.140625" bestFit="1" customWidth="1"/>
    <col min="6" max="6" width="23.140625" bestFit="1" customWidth="1"/>
    <col min="7" max="7" width="24.140625" bestFit="1" customWidth="1"/>
  </cols>
  <sheetData>
    <row r="5" spans="2:17">
      <c r="D5" t="s">
        <v>19</v>
      </c>
      <c r="E5" s="26" t="s">
        <v>453</v>
      </c>
      <c r="F5" t="s">
        <v>454</v>
      </c>
      <c r="G5" t="s">
        <v>455</v>
      </c>
      <c r="I5" t="s">
        <v>455</v>
      </c>
    </row>
    <row r="6" spans="2:17">
      <c r="B6" s="28" t="s">
        <v>5</v>
      </c>
      <c r="C6" s="27" t="str">
        <f>Lipid!C4</f>
        <v>TAG</v>
      </c>
      <c r="D6" s="8">
        <f>Lipid!R4</f>
        <v>1.3057017931404239E-2</v>
      </c>
      <c r="E6" s="29">
        <f>SUM(D6:D17)</f>
        <v>0.11100000000000002</v>
      </c>
      <c r="F6" s="29">
        <f>SUM(D6:D17)</f>
        <v>0.11100000000000002</v>
      </c>
      <c r="G6" s="29">
        <f>F6/$F$91</f>
        <v>0.15759623029945746</v>
      </c>
      <c r="H6" s="29">
        <f>SUM(D7:D17)</f>
        <v>9.794298206859578E-2</v>
      </c>
      <c r="I6" s="28" t="e">
        <f>H6/$H$91</f>
        <v>#REF!</v>
      </c>
      <c r="K6">
        <v>0.16422619389218732</v>
      </c>
      <c r="M6">
        <v>0.114069497365553</v>
      </c>
    </row>
    <row r="7" spans="2:17">
      <c r="B7" s="28"/>
      <c r="C7" t="str">
        <f>Lipid!C5</f>
        <v>DAG</v>
      </c>
      <c r="D7" s="8">
        <f>Lipid!R5</f>
        <v>1.0033346912066697E-2</v>
      </c>
      <c r="E7" s="29"/>
      <c r="F7" s="28"/>
      <c r="G7" s="28"/>
      <c r="H7" s="28"/>
      <c r="I7" s="28"/>
    </row>
    <row r="8" spans="2:17">
      <c r="B8" s="28"/>
      <c r="C8" t="str">
        <f>Lipid!C6</f>
        <v>FFA</v>
      </c>
      <c r="D8" s="8">
        <f>Lipid!R6</f>
        <v>3.4537258779239479E-3</v>
      </c>
      <c r="E8" s="29"/>
      <c r="F8" s="28"/>
      <c r="G8" s="28"/>
      <c r="H8" s="28"/>
      <c r="I8" s="28"/>
    </row>
    <row r="9" spans="2:17">
      <c r="B9" s="28"/>
      <c r="C9" t="str">
        <f>Lipid!C7</f>
        <v>SQDG</v>
      </c>
      <c r="D9" s="8">
        <f>Lipid!R7</f>
        <v>1.0249986505916417E-2</v>
      </c>
      <c r="E9" s="29"/>
      <c r="F9" s="28"/>
      <c r="G9" s="28"/>
      <c r="H9" s="28"/>
      <c r="I9" s="28"/>
    </row>
    <row r="10" spans="2:17">
      <c r="B10" s="28"/>
      <c r="C10" t="str">
        <f>Lipid!C8</f>
        <v>PG</v>
      </c>
      <c r="D10" s="8">
        <f>Lipid!R8</f>
        <v>1.4725056255515854E-2</v>
      </c>
      <c r="E10" s="29"/>
      <c r="F10" s="28"/>
      <c r="G10" s="28"/>
      <c r="H10" s="28"/>
      <c r="I10" s="28"/>
      <c r="Q10">
        <f>0.05*0.07</f>
        <v>3.5000000000000005E-3</v>
      </c>
    </row>
    <row r="11" spans="2:17">
      <c r="B11" s="28"/>
      <c r="C11" t="str">
        <f>Lipid!C9</f>
        <v>PC</v>
      </c>
      <c r="D11" s="8">
        <f>Lipid!R9</f>
        <v>3.2405438541267964E-3</v>
      </c>
      <c r="E11" s="29"/>
      <c r="F11" s="28"/>
      <c r="G11" s="28"/>
      <c r="H11" s="28"/>
      <c r="I11" s="28"/>
      <c r="N11" s="8"/>
    </row>
    <row r="12" spans="2:17">
      <c r="B12" s="28"/>
      <c r="C12" t="str">
        <f>Lipid!C10</f>
        <v>PE</v>
      </c>
      <c r="D12" s="8">
        <f>Lipid!R10</f>
        <v>3.3964647743971008E-3</v>
      </c>
      <c r="E12" s="29"/>
      <c r="F12" s="28"/>
      <c r="G12" s="28"/>
      <c r="H12" s="28"/>
      <c r="I12" s="28"/>
    </row>
    <row r="13" spans="2:17">
      <c r="B13" s="28"/>
      <c r="C13" t="str">
        <f>Lipid!C11</f>
        <v>PI</v>
      </c>
      <c r="D13" s="8">
        <f>Lipid!R11</f>
        <v>3.0600210575503026E-3</v>
      </c>
      <c r="E13" s="29"/>
      <c r="F13" s="28"/>
      <c r="G13" s="28"/>
      <c r="H13" s="28"/>
      <c r="I13" s="28"/>
    </row>
    <row r="14" spans="2:17">
      <c r="B14" s="28"/>
      <c r="C14" t="str">
        <f>Lipid!C12</f>
        <v>MGDG</v>
      </c>
      <c r="D14" s="8">
        <f>Lipid!R12</f>
        <v>1.9584816445996554E-2</v>
      </c>
      <c r="E14" s="29"/>
      <c r="F14" s="28"/>
      <c r="G14" s="28"/>
      <c r="H14" s="28"/>
      <c r="I14" s="28"/>
    </row>
    <row r="15" spans="2:17">
      <c r="B15" s="28"/>
      <c r="C15" t="str">
        <f>Lipid!C13</f>
        <v>DGDG</v>
      </c>
      <c r="D15" s="8">
        <f>Lipid!R13</f>
        <v>1.9220288035408178E-2</v>
      </c>
      <c r="E15" s="29"/>
      <c r="F15" s="28"/>
      <c r="G15" s="28"/>
      <c r="H15" s="28"/>
      <c r="I15" s="28"/>
    </row>
    <row r="16" spans="2:17">
      <c r="B16" s="28"/>
      <c r="C16" t="str">
        <f>Lipid!C14</f>
        <v>DGTS</v>
      </c>
      <c r="D16" s="8">
        <f>Lipid!R14</f>
        <v>6.9515740256073559E-3</v>
      </c>
      <c r="E16" s="29"/>
      <c r="F16" s="28"/>
      <c r="G16" s="28"/>
      <c r="H16" s="28"/>
      <c r="I16" s="28"/>
    </row>
    <row r="17" spans="2:15">
      <c r="B17" s="28"/>
      <c r="C17" t="str">
        <f>Lipid!C15</f>
        <v>CL</v>
      </c>
      <c r="D17" s="8">
        <f>Lipid!R15</f>
        <v>4.0271583240865773E-3</v>
      </c>
      <c r="E17" s="29"/>
      <c r="F17" s="28"/>
      <c r="G17" s="28"/>
      <c r="H17" s="28"/>
      <c r="I17" s="28"/>
    </row>
    <row r="18" spans="2:15">
      <c r="B18" s="28" t="s">
        <v>456</v>
      </c>
      <c r="C18" t="str">
        <f>[1]Carbohydrates!B25</f>
        <v>UDP-D-Galactose</v>
      </c>
      <c r="D18" s="8">
        <f>Carbohydrates!K7</f>
        <v>9.573948266556595E-2</v>
      </c>
      <c r="E18" s="29">
        <f>SUM(D18:D21)</f>
        <v>0.49500000000000005</v>
      </c>
      <c r="F18" s="29">
        <f>SUM(D18:D19,D21)</f>
        <v>0.19783574839808049</v>
      </c>
      <c r="G18" s="29">
        <f>F18/$F$91</f>
        <v>0.28088439789197667</v>
      </c>
      <c r="H18" s="29">
        <f>SUM(D18:D19,D21)</f>
        <v>0.19783574839808049</v>
      </c>
      <c r="I18" s="28" t="e">
        <f>H18/$H$91</f>
        <v>#REF!</v>
      </c>
      <c r="K18">
        <v>0.29270100878584798</v>
      </c>
      <c r="M18">
        <v>0.20330652595231499</v>
      </c>
    </row>
    <row r="19" spans="2:15">
      <c r="B19" s="28"/>
      <c r="C19" t="str">
        <f>[1]Carbohydrates!B26</f>
        <v>GDP-Mannose</v>
      </c>
      <c r="D19" s="8">
        <f>Carbohydrates!K8</f>
        <v>4.5100804663280973E-2</v>
      </c>
      <c r="E19" s="29"/>
      <c r="F19" s="28"/>
      <c r="G19" s="28"/>
      <c r="H19" s="28"/>
      <c r="I19" s="28"/>
      <c r="M19" s="8">
        <f>E18-G18</f>
        <v>0.21411560210802338</v>
      </c>
      <c r="O19">
        <v>-0.29720000000000002</v>
      </c>
    </row>
    <row r="20" spans="2:15">
      <c r="B20" s="28"/>
      <c r="C20" s="27" t="str">
        <f>[1]Carbohydrates!B27</f>
        <v>Starch (300)</v>
      </c>
      <c r="D20" s="8">
        <f>Carbohydrates!K9</f>
        <v>0.29716425160191956</v>
      </c>
      <c r="E20" s="29"/>
      <c r="F20" s="28"/>
      <c r="G20" s="28"/>
      <c r="H20" s="28"/>
      <c r="I20" s="28"/>
      <c r="O20" s="8">
        <f>O19--E18</f>
        <v>0.19780000000000003</v>
      </c>
    </row>
    <row r="21" spans="2:15">
      <c r="B21" s="28"/>
      <c r="C21" t="str">
        <f>[1]Carbohydrates!B28</f>
        <v>UDP-L-Arabinose</v>
      </c>
      <c r="D21" s="8">
        <f>Carbohydrates!K10</f>
        <v>5.6995461069233547E-2</v>
      </c>
      <c r="E21" s="29"/>
      <c r="F21" s="28"/>
      <c r="G21" s="28"/>
      <c r="H21" s="28"/>
      <c r="I21" s="28"/>
      <c r="O21" s="8"/>
    </row>
    <row r="22" spans="2:15">
      <c r="B22" s="28" t="s">
        <v>457</v>
      </c>
      <c r="C22" t="str">
        <f>Pigments!B4</f>
        <v>Chlorophyll a</v>
      </c>
      <c r="D22" s="8">
        <f>Pigments!P4</f>
        <v>5.9620000000000012E-3</v>
      </c>
      <c r="E22" s="29">
        <f>SUM(D22:D29)</f>
        <v>1.5989828480501827E-2</v>
      </c>
      <c r="F22" s="29">
        <f>SUM(D22:D29)</f>
        <v>1.5989828480501827E-2</v>
      </c>
      <c r="G22" s="29">
        <f>F22/$F$91</f>
        <v>2.2702132357315219E-2</v>
      </c>
      <c r="H22" s="29" t="e">
        <f>SUM(D22:D24,D26:D28,#REF!)</f>
        <v>#REF!</v>
      </c>
      <c r="I22" s="28" t="e">
        <f>H22/$H$91</f>
        <v>#REF!</v>
      </c>
      <c r="K22">
        <v>2.95903052057995E-2</v>
      </c>
      <c r="M22">
        <v>2.0553062588387856E-2</v>
      </c>
      <c r="O22" s="8">
        <f>1-D20</f>
        <v>0.7028357483980805</v>
      </c>
    </row>
    <row r="23" spans="2:15">
      <c r="B23" s="28"/>
      <c r="C23" t="str">
        <f>Pigments!B5</f>
        <v>Chlorophyll b</v>
      </c>
      <c r="D23" s="8">
        <f>Pigments!P5</f>
        <v>4.3194689265536679E-3</v>
      </c>
      <c r="E23" s="29"/>
      <c r="F23" s="29"/>
      <c r="G23" s="29"/>
      <c r="H23" s="29"/>
      <c r="I23" s="28"/>
    </row>
    <row r="24" spans="2:15">
      <c r="B24" s="28"/>
      <c r="C24" t="str">
        <f>Pigments!B6</f>
        <v>Violaxanthin</v>
      </c>
      <c r="D24" s="8">
        <f>Pigments!P6</f>
        <v>4.5400000000000003E-4</v>
      </c>
      <c r="E24" s="29"/>
      <c r="F24" s="29"/>
      <c r="G24" s="29"/>
      <c r="H24" s="29"/>
      <c r="I24" s="28"/>
      <c r="J24">
        <v>0.20330652595231505</v>
      </c>
    </row>
    <row r="25" spans="2:15">
      <c r="B25" s="28"/>
      <c r="C25" t="str">
        <f>Pigments!B7</f>
        <v>beta-Carotene</v>
      </c>
      <c r="D25" s="8">
        <f>Pigments!P7</f>
        <v>9.7318264014466455E-4</v>
      </c>
      <c r="E25" s="29"/>
      <c r="F25" s="29"/>
      <c r="G25" s="29"/>
      <c r="H25" s="29"/>
      <c r="I25" s="28"/>
    </row>
    <row r="26" spans="2:15">
      <c r="B26" s="28"/>
      <c r="C26" t="str">
        <f>Pigments!B8</f>
        <v>cis-beta-carotene</v>
      </c>
      <c r="D26" s="8">
        <f>Pigments!P8</f>
        <v>9.7318264014466455E-4</v>
      </c>
      <c r="E26" s="29"/>
      <c r="F26" s="29"/>
      <c r="G26" s="29"/>
      <c r="H26" s="29"/>
      <c r="I26" s="28"/>
    </row>
    <row r="27" spans="2:15">
      <c r="B27" s="28"/>
      <c r="C27" t="str">
        <f>Pigments!B9</f>
        <v>Zeaxanthin</v>
      </c>
      <c r="D27" s="8">
        <f>Pigments!P9</f>
        <v>1.9089240506329098E-4</v>
      </c>
      <c r="E27" s="29"/>
      <c r="F27" s="29"/>
      <c r="G27" s="29"/>
      <c r="H27" s="29"/>
      <c r="I27" s="28"/>
    </row>
    <row r="28" spans="2:15">
      <c r="B28" s="28"/>
      <c r="C28" t="str">
        <f>Pigments!B10</f>
        <v>Lutein</v>
      </c>
      <c r="D28" s="8">
        <f>Pigments!P10</f>
        <v>2.6201018685955381E-3</v>
      </c>
      <c r="E28" s="29"/>
      <c r="F28" s="29"/>
      <c r="G28" s="29"/>
      <c r="H28" s="29"/>
      <c r="I28" s="28"/>
    </row>
    <row r="29" spans="2:15">
      <c r="B29" s="28"/>
      <c r="C29" t="str">
        <f>Pigments!B11</f>
        <v>Neoxanthin</v>
      </c>
      <c r="D29" s="8">
        <f>Pigments!P11</f>
        <v>4.9700000000000005E-4</v>
      </c>
      <c r="E29" s="29"/>
      <c r="F29" s="29"/>
      <c r="G29" s="29"/>
      <c r="H29" s="29"/>
      <c r="I29" s="28"/>
    </row>
    <row r="30" spans="2:15">
      <c r="B30" s="28" t="s">
        <v>458</v>
      </c>
      <c r="C30" t="str">
        <f>Acids!C7</f>
        <v>Acetate</v>
      </c>
      <c r="D30" s="8">
        <f>Acids!I7</f>
        <v>2.2256563871472872E-3</v>
      </c>
      <c r="E30" s="29">
        <f>SUM(D30:D33)</f>
        <v>0.15678396302550859</v>
      </c>
      <c r="F30" s="29">
        <f>SUM(D30:D33)</f>
        <v>0.15678396302550859</v>
      </c>
      <c r="G30" s="29">
        <f>F30/$F$91</f>
        <v>0.22259965355161865</v>
      </c>
      <c r="H30" s="29">
        <f>SUM(D30:D32)</f>
        <v>6.6772630255086014E-3</v>
      </c>
      <c r="I30" s="28" t="e">
        <f>H30/$H$91</f>
        <v>#REF!</v>
      </c>
      <c r="K30">
        <v>0.22493574860927038</v>
      </c>
      <c r="M30">
        <v>0.15623760847948601</v>
      </c>
    </row>
    <row r="31" spans="2:15">
      <c r="B31" s="28"/>
      <c r="C31" t="str">
        <f>Acids!C8</f>
        <v>Propanoate</v>
      </c>
      <c r="D31" s="8">
        <f>Acids!I8</f>
        <v>2.2257640856624614E-3</v>
      </c>
      <c r="E31" s="29"/>
      <c r="F31" s="28"/>
      <c r="G31" s="28"/>
      <c r="H31" s="28"/>
      <c r="I31" s="28"/>
    </row>
    <row r="32" spans="2:15">
      <c r="B32" s="28"/>
      <c r="C32" t="str">
        <f>Acids!C9</f>
        <v>Butanoate</v>
      </c>
      <c r="D32" s="8">
        <f>Acids!I9</f>
        <v>2.2258425526988524E-3</v>
      </c>
      <c r="E32" s="29"/>
      <c r="F32" s="28"/>
      <c r="G32" s="28"/>
      <c r="H32" s="28"/>
      <c r="I32" s="28"/>
    </row>
    <row r="33" spans="2:13">
      <c r="B33" s="28"/>
      <c r="C33" t="str">
        <f>Acids!C10</f>
        <v>Glycerol</v>
      </c>
      <c r="D33" s="8">
        <f>Acids!I10</f>
        <v>0.15010669999999998</v>
      </c>
      <c r="E33" s="29"/>
      <c r="F33" s="28"/>
      <c r="G33" s="28"/>
      <c r="H33" s="28"/>
      <c r="I33" s="28"/>
    </row>
    <row r="34" spans="2:13">
      <c r="B34" s="28" t="s">
        <v>6</v>
      </c>
      <c r="C34" t="str">
        <f>Sterols!D8</f>
        <v>Cholesterol</v>
      </c>
      <c r="D34" s="8">
        <f>Sterols!L8</f>
        <v>1.3813175294720657E-5</v>
      </c>
      <c r="E34" s="29">
        <f>SUM(D34:D38)</f>
        <v>1.3787476019169653E-3</v>
      </c>
      <c r="F34" s="29">
        <f>SUM(D34:D38)</f>
        <v>1.3787476019169653E-3</v>
      </c>
      <c r="G34" s="29">
        <f>F34/$F$91</f>
        <v>1.957526347716493E-3</v>
      </c>
      <c r="H34" s="29">
        <f>SUM(D34:D38)</f>
        <v>1.3787476019169653E-3</v>
      </c>
      <c r="I34" s="28" t="e">
        <f>H34/$H$91</f>
        <v>#REF!</v>
      </c>
      <c r="K34">
        <v>1.984987014321512E-3</v>
      </c>
      <c r="M34">
        <v>1.3787476019169653E-3</v>
      </c>
    </row>
    <row r="35" spans="2:13">
      <c r="B35" s="28"/>
      <c r="C35" t="str">
        <f>Sterols!D9</f>
        <v>Ergosterol</v>
      </c>
      <c r="D35" s="8">
        <f>Sterols!L9</f>
        <v>3.4665565701691431E-4</v>
      </c>
      <c r="E35" s="29"/>
      <c r="F35" s="28"/>
      <c r="G35" s="28"/>
      <c r="H35" s="28"/>
      <c r="I35" s="28"/>
    </row>
    <row r="36" spans="2:13">
      <c r="B36" s="28"/>
      <c r="C36" t="str">
        <f>Sterols!D10</f>
        <v>Ergost-7-enol</v>
      </c>
      <c r="D36" s="8">
        <f>Sterols!L10</f>
        <v>2.1995847770374166E-4</v>
      </c>
      <c r="E36" s="29"/>
      <c r="F36" s="28"/>
      <c r="G36" s="28"/>
      <c r="H36" s="28"/>
      <c r="I36" s="28"/>
    </row>
    <row r="37" spans="2:13">
      <c r="B37" s="28"/>
      <c r="C37" t="str">
        <f>Sterols!D11</f>
        <v>7-dehydroporiferasterol</v>
      </c>
      <c r="D37" s="8">
        <f>Sterols!L11</f>
        <v>6.9117801845207578E-4</v>
      </c>
      <c r="E37" s="29"/>
      <c r="F37" s="28"/>
      <c r="G37" s="28"/>
      <c r="H37" s="28"/>
      <c r="I37" s="28"/>
    </row>
    <row r="38" spans="2:13">
      <c r="B38" s="28"/>
      <c r="C38" t="str">
        <f>Sterols!D12</f>
        <v>22-dihydrochondrillasterol</v>
      </c>
      <c r="D38" s="8">
        <f>Sterols!L12</f>
        <v>1.0714227344951304E-4</v>
      </c>
      <c r="E38" s="29"/>
      <c r="F38" s="28"/>
      <c r="G38" s="28"/>
      <c r="H38" s="28"/>
      <c r="I38" s="28"/>
    </row>
    <row r="39" spans="2:13">
      <c r="B39" s="28" t="s">
        <v>1</v>
      </c>
      <c r="C39" t="str">
        <f>Protein!D4</f>
        <v>Glutaminyl-tRNA</v>
      </c>
      <c r="D39" s="8">
        <f>Protein!J4</f>
        <v>1.3631409782351998E-2</v>
      </c>
      <c r="E39" s="29">
        <f>SUM(D39:D58)</f>
        <v>0.16419684523405897</v>
      </c>
      <c r="F39" s="29">
        <f>SUM(D39:D58)</f>
        <v>0.16419684523405897</v>
      </c>
      <c r="G39" s="29">
        <f>F39/$F$91</f>
        <v>0.23312435888244259</v>
      </c>
      <c r="H39" s="29">
        <f>SUM(D39:D58)</f>
        <v>0.16419684523405897</v>
      </c>
      <c r="I39" s="28" t="e">
        <f>H39/$H$91</f>
        <v>#REF!</v>
      </c>
      <c r="K39">
        <v>0.24069644789837322</v>
      </c>
      <c r="M39">
        <v>0.16718479664374367</v>
      </c>
    </row>
    <row r="40" spans="2:13">
      <c r="B40" s="28"/>
      <c r="C40" t="str">
        <f>Protein!D5</f>
        <v>Glycyl-tRNA(Gly)</v>
      </c>
      <c r="D40" s="8">
        <f>Protein!J5</f>
        <v>7.1115265550700003E-3</v>
      </c>
      <c r="E40" s="29"/>
      <c r="F40" s="28"/>
      <c r="G40" s="28"/>
      <c r="H40" s="29"/>
      <c r="I40" s="28"/>
    </row>
    <row r="41" spans="2:13">
      <c r="B41" s="28"/>
      <c r="C41" t="str">
        <f>Protein!D6</f>
        <v>L-Alanyl-tRNA</v>
      </c>
      <c r="D41" s="8">
        <f>Protein!J6</f>
        <v>1.2524784262460004E-2</v>
      </c>
      <c r="E41" s="29"/>
      <c r="F41" s="28"/>
      <c r="G41" s="28"/>
      <c r="H41" s="29"/>
      <c r="I41" s="28"/>
    </row>
    <row r="42" spans="2:13">
      <c r="B42" s="28"/>
      <c r="C42" t="str">
        <f>Protein!D7</f>
        <v>L-Arginyl-tRNA(Arg)</v>
      </c>
      <c r="D42" s="8">
        <f>Protein!J7</f>
        <v>1.3808844899837998E-2</v>
      </c>
      <c r="E42" s="29"/>
      <c r="F42" s="28"/>
      <c r="G42" s="28"/>
      <c r="H42" s="29"/>
      <c r="I42" s="28"/>
    </row>
    <row r="43" spans="2:13">
      <c r="B43" s="28"/>
      <c r="C43" t="str">
        <f>Protein!D8</f>
        <v>L-Asparaginyl-tRNA(Asn)</v>
      </c>
      <c r="D43" s="8">
        <f>Protein!J8</f>
        <v>4.5731895946200009E-3</v>
      </c>
      <c r="E43" s="29"/>
      <c r="F43" s="28"/>
      <c r="G43" s="28"/>
      <c r="H43" s="29"/>
      <c r="I43" s="28"/>
    </row>
    <row r="44" spans="2:13">
      <c r="B44" s="28"/>
      <c r="C44" t="str">
        <f>Protein!D9</f>
        <v>L-Aspartyl-tRNA(Asp)</v>
      </c>
      <c r="D44" s="8">
        <f>Protein!J9</f>
        <v>7.4410709487170009E-3</v>
      </c>
      <c r="E44" s="29"/>
      <c r="F44" s="28"/>
      <c r="G44" s="28"/>
      <c r="H44" s="29"/>
      <c r="I44" s="28"/>
    </row>
    <row r="45" spans="2:13">
      <c r="B45" s="28"/>
      <c r="C45" t="str">
        <f>Protein!D10</f>
        <v>L-Cysteinyl-tRNA(Cys)</v>
      </c>
      <c r="D45" s="8">
        <f>Protein!J10</f>
        <v>2.9229535843580002E-3</v>
      </c>
      <c r="E45" s="29"/>
      <c r="F45" s="28"/>
      <c r="G45" s="28"/>
      <c r="H45" s="29"/>
      <c r="I45" s="28"/>
    </row>
    <row r="46" spans="2:13">
      <c r="B46" s="28"/>
      <c r="C46" t="str">
        <f>Protein!D11</f>
        <v>L-Glutamyl-tRNA(Glu)</v>
      </c>
      <c r="D46" s="8">
        <f>Protein!J11</f>
        <v>1.1157753611419999E-2</v>
      </c>
      <c r="E46" s="29"/>
      <c r="F46" s="28"/>
      <c r="G46" s="28"/>
      <c r="H46" s="29"/>
      <c r="I46" s="28"/>
    </row>
    <row r="47" spans="2:13">
      <c r="B47" s="28"/>
      <c r="C47" t="str">
        <f>Protein!D12</f>
        <v>L-Histidyl-tRNA(His)</v>
      </c>
      <c r="D47" s="8">
        <f>Protein!J12</f>
        <v>6.5359735820770008E-3</v>
      </c>
      <c r="E47" s="29"/>
      <c r="F47" s="28"/>
      <c r="G47" s="28"/>
      <c r="H47" s="29"/>
      <c r="I47" s="28"/>
    </row>
    <row r="48" spans="2:13">
      <c r="B48" s="28"/>
      <c r="C48" t="str">
        <f>Protein!D13</f>
        <v>L-Isoleucyl-tRNA(Ile)</v>
      </c>
      <c r="D48" s="8">
        <f>Protein!J13</f>
        <v>4.9068508498200008E-3</v>
      </c>
      <c r="E48" s="29"/>
      <c r="F48" s="28"/>
      <c r="G48" s="28"/>
      <c r="H48" s="29"/>
      <c r="I48" s="28"/>
    </row>
    <row r="49" spans="2:13">
      <c r="B49" s="28"/>
      <c r="C49" t="str">
        <f>Protein!D14</f>
        <v>L-Leucyl-tRNA</v>
      </c>
      <c r="D49" s="8">
        <f>Protein!J14</f>
        <v>1.5592053269085001E-2</v>
      </c>
      <c r="E49" s="29"/>
      <c r="F49" s="28"/>
      <c r="G49" s="28"/>
      <c r="H49" s="29"/>
      <c r="I49" s="28"/>
    </row>
    <row r="50" spans="2:13">
      <c r="B50" s="28"/>
      <c r="C50" t="str">
        <f>Protein!D15</f>
        <v>L-Lysyl-tRNA</v>
      </c>
      <c r="D50" s="8">
        <f>Protein!J15</f>
        <v>7.7063633649660001E-3</v>
      </c>
      <c r="E50" s="29"/>
      <c r="F50" s="28"/>
      <c r="G50" s="28"/>
      <c r="H50" s="29"/>
      <c r="I50" s="28"/>
    </row>
    <row r="51" spans="2:13">
      <c r="B51" s="28"/>
      <c r="C51" t="str">
        <f>Protein!D16</f>
        <v>L-Methionyl-tRNA</v>
      </c>
      <c r="D51" s="8">
        <f>Protein!J16</f>
        <v>4.6772813873620003E-3</v>
      </c>
      <c r="E51" s="29"/>
      <c r="F51" s="28"/>
      <c r="G51" s="28"/>
      <c r="H51" s="29"/>
      <c r="I51" s="28"/>
    </row>
    <row r="52" spans="2:13">
      <c r="B52" s="28"/>
      <c r="C52" t="str">
        <f>Protein!D17</f>
        <v>L-Phenylalanyl-tRNA(Phe)</v>
      </c>
      <c r="D52" s="8">
        <f>Protein!J17</f>
        <v>5.7737849595359998E-3</v>
      </c>
      <c r="E52" s="29"/>
      <c r="F52" s="28"/>
      <c r="G52" s="28"/>
      <c r="H52" s="29"/>
      <c r="I52" s="28"/>
    </row>
    <row r="53" spans="2:13">
      <c r="B53" s="28"/>
      <c r="C53" t="str">
        <f>Protein!D18</f>
        <v>L-Prolyl-tRNA(Pro)</v>
      </c>
      <c r="D53" s="8">
        <f>Protein!J18</f>
        <v>1.0484535167031E-2</v>
      </c>
      <c r="E53" s="29"/>
      <c r="F53" s="28"/>
      <c r="G53" s="28"/>
      <c r="H53" s="29"/>
      <c r="I53" s="28"/>
    </row>
    <row r="54" spans="2:13">
      <c r="B54" s="28"/>
      <c r="C54" t="str">
        <f>Protein!D19</f>
        <v>L-Seryl-tRNA(Ser)</v>
      </c>
      <c r="D54" s="8">
        <f>Protein!J19</f>
        <v>1.1506393101835002E-2</v>
      </c>
      <c r="E54" s="29"/>
      <c r="F54" s="28"/>
      <c r="G54" s="28"/>
      <c r="H54" s="29"/>
      <c r="I54" s="28"/>
    </row>
    <row r="55" spans="2:13">
      <c r="B55" s="28"/>
      <c r="C55" t="str">
        <f>Protein!D20</f>
        <v>L-Threonyl-tRNA(Thr)</v>
      </c>
      <c r="D55" s="8">
        <f>Protein!J20</f>
        <v>7.4939396287500007E-3</v>
      </c>
      <c r="E55" s="29"/>
      <c r="F55" s="28"/>
      <c r="G55" s="28"/>
      <c r="H55" s="29"/>
      <c r="I55" s="28"/>
    </row>
    <row r="56" spans="2:13">
      <c r="B56" s="28"/>
      <c r="C56" t="str">
        <f>Protein!D21</f>
        <v>L-Tryptophanyl-tRNA(Trp)</v>
      </c>
      <c r="D56" s="8">
        <f>Protein!J21</f>
        <v>3.3219016084800003E-3</v>
      </c>
      <c r="E56" s="29"/>
      <c r="F56" s="28"/>
      <c r="G56" s="28"/>
      <c r="H56" s="29"/>
      <c r="I56" s="28"/>
    </row>
    <row r="57" spans="2:13">
      <c r="B57" s="28"/>
      <c r="C57" t="str">
        <f>Protein!D22</f>
        <v>L-Tyrosyl-tRNA(Tyr)</v>
      </c>
      <c r="D57" s="8">
        <f>Protein!J22</f>
        <v>4.2835563098300002E-3</v>
      </c>
      <c r="E57" s="29"/>
      <c r="F57" s="28"/>
      <c r="G57" s="28"/>
      <c r="H57" s="29"/>
      <c r="I57" s="28"/>
    </row>
    <row r="58" spans="2:13">
      <c r="B58" s="28"/>
      <c r="C58" t="str">
        <f>Protein!D23</f>
        <v>L-Valyl-tRNA(Val)</v>
      </c>
      <c r="D58" s="8">
        <f>Protein!J23</f>
        <v>8.7426787664520011E-3</v>
      </c>
      <c r="E58" s="29"/>
      <c r="F58" s="28"/>
      <c r="G58" s="28"/>
      <c r="H58" s="29"/>
      <c r="I58" s="28"/>
    </row>
    <row r="59" spans="2:13">
      <c r="B59" s="28" t="s">
        <v>3</v>
      </c>
      <c r="C59" t="str">
        <f>RNA!D7</f>
        <v>ATP</v>
      </c>
      <c r="D59" s="8">
        <f>RNA!I7</f>
        <v>8.1480826720000017E-3</v>
      </c>
      <c r="E59" s="29">
        <f>SUM(D59:D62)-[1]RNA!J13</f>
        <v>2.0000189910600007E-2</v>
      </c>
      <c r="F59" s="29">
        <f>E59</f>
        <v>2.0000189910600007E-2</v>
      </c>
      <c r="G59" s="29">
        <f>F59/$F$91</f>
        <v>2.8395986803457691E-2</v>
      </c>
      <c r="H59" s="29">
        <f>E59</f>
        <v>2.0000189910600007E-2</v>
      </c>
      <c r="I59" s="28" t="e">
        <f>H59/$H$91</f>
        <v>#REF!</v>
      </c>
      <c r="K59">
        <v>2.9590586181430314E-2</v>
      </c>
      <c r="M59">
        <v>2.0553257750610263E-2</v>
      </c>
    </row>
    <row r="60" spans="2:13">
      <c r="B60" s="28"/>
      <c r="C60" t="str">
        <f>RNA!D8</f>
        <v>GTP</v>
      </c>
      <c r="D60" s="8">
        <f>RNA!I8</f>
        <v>8.1862364672000022E-3</v>
      </c>
      <c r="E60" s="29"/>
      <c r="F60" s="29"/>
      <c r="G60" s="29"/>
      <c r="H60" s="29"/>
      <c r="I60" s="28"/>
    </row>
    <row r="61" spans="2:13">
      <c r="B61" s="28"/>
      <c r="C61" t="str">
        <f>RNA!D9</f>
        <v>CTP</v>
      </c>
      <c r="D61" s="8">
        <f>RNA!I9</f>
        <v>6.4578733338000018E-3</v>
      </c>
      <c r="E61" s="29"/>
      <c r="F61" s="29"/>
      <c r="G61" s="29"/>
      <c r="H61" s="29"/>
      <c r="I61" s="28"/>
    </row>
    <row r="62" spans="2:13">
      <c r="B62" s="28"/>
      <c r="C62" t="str">
        <f>RNA!D10</f>
        <v>UTP</v>
      </c>
      <c r="D62" s="8">
        <f>RNA!I10</f>
        <v>8.0801602176000017E-3</v>
      </c>
      <c r="E62" s="29"/>
      <c r="F62" s="29"/>
      <c r="G62" s="29"/>
      <c r="H62" s="29"/>
      <c r="I62" s="28"/>
    </row>
    <row r="63" spans="2:13">
      <c r="B63" s="28" t="s">
        <v>4</v>
      </c>
      <c r="C63" t="str">
        <f>DNA!D7</f>
        <v>dATP</v>
      </c>
      <c r="D63" s="8">
        <f>DNA!I7</f>
        <v>4.9402768320000014E-3</v>
      </c>
      <c r="E63" s="29">
        <f>SUM(D63:D66)-[1]DNA!J13</f>
        <v>1.0000036869900003E-2</v>
      </c>
      <c r="F63" s="29">
        <f>E63</f>
        <v>1.0000036869900003E-2</v>
      </c>
      <c r="G63" s="29">
        <f>F63/$F$91</f>
        <v>1.4197910932899335E-2</v>
      </c>
      <c r="H63" s="29">
        <f>E63</f>
        <v>1.0000036869900003E-2</v>
      </c>
      <c r="I63" s="28" t="e">
        <f>H63/$H$91</f>
        <v>#REF!</v>
      </c>
      <c r="K63">
        <v>1.4795207152479456E-2</v>
      </c>
      <c r="M63">
        <v>1.0276569183662047E-2</v>
      </c>
    </row>
    <row r="64" spans="2:13">
      <c r="B64" s="28"/>
      <c r="C64" t="str">
        <f>DNA!D8</f>
        <v>dCTP</v>
      </c>
      <c r="D64" s="8">
        <f>DNA!I8</f>
        <v>3.1026579957000007E-3</v>
      </c>
      <c r="E64" s="29"/>
      <c r="F64" s="28"/>
      <c r="G64" s="28"/>
      <c r="H64" s="28"/>
      <c r="I64" s="28"/>
    </row>
    <row r="65" spans="2:13">
      <c r="B65" s="28"/>
      <c r="C65" t="str">
        <f>DNA!D9</f>
        <v>dGTP</v>
      </c>
      <c r="D65" s="8">
        <f>DNA!I9</f>
        <v>3.6394050000000014E-3</v>
      </c>
      <c r="E65" s="29"/>
      <c r="F65" s="28"/>
      <c r="G65" s="28"/>
      <c r="H65" s="28"/>
      <c r="I65" s="28"/>
    </row>
    <row r="66" spans="2:13">
      <c r="B66" s="28"/>
      <c r="C66" t="str">
        <f>DNA!D10</f>
        <v>dTTP</v>
      </c>
      <c r="D66" s="8">
        <f>DNA!I10</f>
        <v>3.9703840272000013E-3</v>
      </c>
      <c r="E66" s="29"/>
      <c r="F66" s="28"/>
      <c r="G66" s="28"/>
      <c r="H66" s="28"/>
      <c r="I66" s="28"/>
    </row>
    <row r="67" spans="2:13">
      <c r="B67" s="28" t="s">
        <v>459</v>
      </c>
      <c r="C67" t="str">
        <f>Cofactors!C4</f>
        <v>NADP+</v>
      </c>
      <c r="D67" s="8">
        <f>Cofactors!J4</f>
        <v>1.1310920205828963E-3</v>
      </c>
      <c r="E67" s="29">
        <f>SUM(D67:D90)</f>
        <v>2.7146208493989517E-2</v>
      </c>
      <c r="F67" s="29">
        <f>E67</f>
        <v>2.7146208493989517E-2</v>
      </c>
      <c r="G67" s="29">
        <f>F67/$F$91</f>
        <v>3.8541802933115848E-2</v>
      </c>
      <c r="H67" s="29">
        <f>E67</f>
        <v>2.7146208493989517E-2</v>
      </c>
      <c r="I67" s="28" t="e">
        <f>H67/$H$91</f>
        <v>#REF!</v>
      </c>
      <c r="K67">
        <v>1.479515260289976E-3</v>
      </c>
      <c r="M67">
        <v>1.0276531294193931E-3</v>
      </c>
    </row>
    <row r="68" spans="2:13">
      <c r="B68" s="28"/>
      <c r="C68" t="str">
        <f>Cofactors!C5</f>
        <v>FAD</v>
      </c>
      <c r="D68" s="8">
        <f>Cofactors!J5</f>
        <v>1.1310920205828963E-3</v>
      </c>
      <c r="E68" s="29"/>
      <c r="F68" s="29"/>
      <c r="G68" s="29"/>
      <c r="H68" s="29"/>
      <c r="I68" s="28"/>
    </row>
    <row r="69" spans="2:13">
      <c r="B69" s="28"/>
      <c r="C69" t="str">
        <f>Cofactors!C6</f>
        <v>Thiamin diphosphate</v>
      </c>
      <c r="D69" s="8">
        <f>Cofactors!J6</f>
        <v>1.1310920205828963E-3</v>
      </c>
      <c r="E69" s="29"/>
      <c r="F69" s="29"/>
      <c r="G69" s="29"/>
      <c r="H69" s="29"/>
      <c r="I69" s="28"/>
    </row>
    <row r="70" spans="2:13">
      <c r="B70" s="28"/>
      <c r="C70" t="str">
        <f>Cofactors!C7</f>
        <v>CoA</v>
      </c>
      <c r="D70" s="8">
        <f>Cofactors!J7</f>
        <v>1.1310920205828963E-3</v>
      </c>
      <c r="E70" s="29"/>
      <c r="F70" s="29"/>
      <c r="G70" s="29"/>
      <c r="H70" s="29"/>
      <c r="I70" s="28"/>
    </row>
    <row r="71" spans="2:13">
      <c r="B71" s="28"/>
      <c r="C71" t="str">
        <f>Cofactors!C8</f>
        <v>Pyridoxal phosphate</v>
      </c>
      <c r="D71" s="8">
        <f>Cofactors!J8</f>
        <v>1.1310920205828963E-3</v>
      </c>
      <c r="E71" s="29"/>
      <c r="F71" s="29"/>
      <c r="G71" s="29"/>
      <c r="H71" s="29"/>
      <c r="I71" s="28"/>
    </row>
    <row r="72" spans="2:13">
      <c r="B72" s="28"/>
      <c r="C72" t="str">
        <f>Cofactors!C9</f>
        <v>S-Adenosyl-L-methionine</v>
      </c>
      <c r="D72" s="8">
        <f>Cofactors!J9</f>
        <v>1.1310920205828963E-3</v>
      </c>
      <c r="E72" s="29"/>
      <c r="F72" s="29"/>
      <c r="G72" s="29"/>
      <c r="H72" s="29"/>
      <c r="I72" s="28"/>
    </row>
    <row r="73" spans="2:13">
      <c r="B73" s="28"/>
      <c r="C73" t="str">
        <f>Cofactors!C10</f>
        <v>10-Formyltetrahydrofolate</v>
      </c>
      <c r="D73" s="8">
        <f>Cofactors!J10</f>
        <v>1.1310920205828963E-3</v>
      </c>
      <c r="E73" s="29"/>
      <c r="F73" s="29"/>
      <c r="G73" s="29"/>
      <c r="H73" s="29"/>
      <c r="I73" s="28"/>
    </row>
    <row r="74" spans="2:13">
      <c r="B74" s="28"/>
      <c r="C74" t="str">
        <f>Cofactors!C11</f>
        <v>NAD+</v>
      </c>
      <c r="D74" s="8">
        <f>Cofactors!J11</f>
        <v>1.1310920205828963E-3</v>
      </c>
      <c r="E74" s="29"/>
      <c r="F74" s="29"/>
      <c r="G74" s="29"/>
      <c r="H74" s="29"/>
      <c r="I74" s="28"/>
    </row>
    <row r="75" spans="2:13">
      <c r="B75" s="28"/>
      <c r="C75" t="str">
        <f>Cofactors!C12</f>
        <v>FMN</v>
      </c>
      <c r="D75" s="8">
        <f>Cofactors!J12</f>
        <v>1.1310920205828963E-3</v>
      </c>
      <c r="E75" s="29"/>
      <c r="F75" s="29"/>
      <c r="G75" s="29"/>
      <c r="H75" s="29"/>
      <c r="I75" s="28"/>
    </row>
    <row r="76" spans="2:13">
      <c r="B76" s="28"/>
      <c r="C76" t="str">
        <f>Cofactors!C13</f>
        <v>Glutathione</v>
      </c>
      <c r="D76" s="8">
        <f>Cofactors!J13</f>
        <v>1.1310920205828963E-3</v>
      </c>
      <c r="E76" s="29"/>
      <c r="F76" s="29"/>
      <c r="G76" s="29"/>
      <c r="H76" s="29"/>
      <c r="I76" s="28"/>
    </row>
    <row r="77" spans="2:13">
      <c r="B77" s="28"/>
      <c r="C77" t="str">
        <f>Cofactors!C14</f>
        <v>Ascorbate</v>
      </c>
      <c r="D77" s="8">
        <f>Cofactors!J14</f>
        <v>1.1310920205828963E-3</v>
      </c>
      <c r="E77" s="29"/>
      <c r="F77" s="29"/>
      <c r="G77" s="29"/>
      <c r="H77" s="29"/>
      <c r="I77" s="28"/>
    </row>
    <row r="78" spans="2:13">
      <c r="B78" s="28"/>
      <c r="C78" t="str">
        <f>Cofactors!C15</f>
        <v>Riboflavin</v>
      </c>
      <c r="D78" s="8">
        <f>Cofactors!J15</f>
        <v>1.1310920205828963E-3</v>
      </c>
      <c r="E78" s="29"/>
      <c r="F78" s="29"/>
      <c r="G78" s="29"/>
      <c r="H78" s="29"/>
      <c r="I78" s="28"/>
    </row>
    <row r="79" spans="2:13">
      <c r="B79" s="28"/>
      <c r="C79" t="str">
        <f>Cofactors!C16</f>
        <v>Tetrahydrofolate</v>
      </c>
      <c r="D79" s="8">
        <f>Cofactors!J16</f>
        <v>1.1310920205828963E-3</v>
      </c>
      <c r="E79" s="29"/>
      <c r="F79" s="29"/>
      <c r="G79" s="29"/>
      <c r="H79" s="29"/>
      <c r="I79" s="28"/>
    </row>
    <row r="80" spans="2:13">
      <c r="B80" s="28"/>
      <c r="C80" t="str">
        <f>Cofactors!C17</f>
        <v>Pantetheine 4\'-phosphate</v>
      </c>
      <c r="D80" s="8">
        <f>Cofactors!J17</f>
        <v>1.1310920205828963E-3</v>
      </c>
      <c r="E80" s="29"/>
      <c r="F80" s="29"/>
      <c r="G80" s="29"/>
      <c r="H80" s="29"/>
      <c r="I80" s="28"/>
    </row>
    <row r="81" spans="2:13">
      <c r="B81" s="28"/>
      <c r="C81" t="str">
        <f>Cofactors!C18</f>
        <v>Ubiquinol-9</v>
      </c>
      <c r="D81" s="8">
        <f>Cofactors!J18</f>
        <v>1.1310920205828963E-3</v>
      </c>
      <c r="E81" s="29"/>
      <c r="F81" s="29"/>
      <c r="G81" s="29"/>
      <c r="H81" s="29"/>
      <c r="I81" s="28"/>
    </row>
    <row r="82" spans="2:13">
      <c r="B82" s="28"/>
      <c r="C82" t="str">
        <f>Cofactors!C19</f>
        <v>Plastoquinol-9</v>
      </c>
      <c r="D82" s="8">
        <f>Cofactors!J19</f>
        <v>1.1310920205828963E-3</v>
      </c>
      <c r="E82" s="29"/>
      <c r="F82" s="29"/>
      <c r="G82" s="29"/>
      <c r="H82" s="29"/>
      <c r="I82" s="28"/>
    </row>
    <row r="83" spans="2:13">
      <c r="B83" s="28"/>
      <c r="C83" t="str">
        <f>Cofactors!C20</f>
        <v>Heme</v>
      </c>
      <c r="D83" s="8">
        <f>Cofactors!J20</f>
        <v>1.1310920205828963E-3</v>
      </c>
      <c r="E83" s="29"/>
      <c r="F83" s="29"/>
      <c r="G83" s="29"/>
      <c r="H83" s="29"/>
      <c r="I83" s="28"/>
    </row>
    <row r="84" spans="2:13">
      <c r="B84" s="28"/>
      <c r="C84" t="str">
        <f>Cofactors!C21</f>
        <v>Biotin</v>
      </c>
      <c r="D84" s="8">
        <f>Cofactors!J21</f>
        <v>1.1310920205828963E-3</v>
      </c>
      <c r="E84" s="29"/>
      <c r="F84" s="29"/>
      <c r="G84" s="29"/>
      <c r="H84" s="29"/>
      <c r="I84" s="28"/>
    </row>
    <row r="85" spans="2:13">
      <c r="B85" s="28"/>
      <c r="C85" t="str">
        <f>Cofactors!C22</f>
        <v>alpha-Tocopherol</v>
      </c>
      <c r="D85" s="8">
        <f>Cofactors!J22</f>
        <v>1.1310920205828963E-3</v>
      </c>
      <c r="E85" s="29"/>
      <c r="F85" s="29"/>
      <c r="G85" s="29"/>
      <c r="H85" s="29"/>
      <c r="I85" s="28"/>
    </row>
    <row r="86" spans="2:13">
      <c r="B86" s="28"/>
      <c r="C86" t="str">
        <f>Cofactors!C23</f>
        <v>Rhodopsin</v>
      </c>
      <c r="D86" s="8">
        <f>Cofactors!J23</f>
        <v>1.1310920205828963E-3</v>
      </c>
      <c r="E86" s="29"/>
      <c r="F86" s="29"/>
      <c r="G86" s="29"/>
      <c r="H86" s="29"/>
      <c r="I86" s="28"/>
    </row>
    <row r="87" spans="2:13">
      <c r="B87" s="28"/>
      <c r="C87" t="str">
        <f>Cofactors!C24</f>
        <v>Phylloquinol</v>
      </c>
      <c r="D87" s="8">
        <f>Cofactors!J24</f>
        <v>1.1310920205828963E-3</v>
      </c>
      <c r="E87" s="29"/>
      <c r="F87" s="29"/>
      <c r="G87" s="29"/>
      <c r="H87" s="29"/>
      <c r="I87" s="28"/>
    </row>
    <row r="88" spans="2:13">
      <c r="B88" s="28"/>
      <c r="C88" t="str">
        <f>Cofactors!C25</f>
        <v>Cobamide coenzyme</v>
      </c>
      <c r="D88" s="8">
        <f>Cofactors!J25</f>
        <v>1.1310920205828963E-3</v>
      </c>
      <c r="E88" s="29"/>
      <c r="F88" s="29"/>
      <c r="G88" s="29"/>
      <c r="H88" s="29"/>
      <c r="I88" s="28"/>
    </row>
    <row r="89" spans="2:13">
      <c r="B89" s="28"/>
      <c r="C89" t="str">
        <f>Cofactors!C26</f>
        <v>Lipoate</v>
      </c>
      <c r="D89" s="8">
        <f>Cofactors!J26</f>
        <v>1.1310920205828963E-3</v>
      </c>
      <c r="E89" s="29"/>
      <c r="F89" s="29"/>
      <c r="G89" s="29"/>
      <c r="H89" s="29"/>
      <c r="I89" s="28"/>
    </row>
    <row r="90" spans="2:13">
      <c r="B90" s="28"/>
      <c r="C90" t="str">
        <f>Cofactors!C27</f>
        <v>[2Fe-2S] without apo protein</v>
      </c>
      <c r="D90" s="8">
        <f>Cofactors!J27</f>
        <v>1.1310920205828963E-3</v>
      </c>
      <c r="E90" s="29"/>
      <c r="F90" s="29"/>
      <c r="G90" s="29"/>
      <c r="H90" s="29"/>
      <c r="I90" s="28"/>
    </row>
    <row r="91" spans="2:13">
      <c r="E91" s="8">
        <f>SUM(E6:E90)</f>
        <v>1.0014958196164758</v>
      </c>
      <c r="F91" s="8">
        <f>SUM(F6:F90)</f>
        <v>0.70433156801455643</v>
      </c>
      <c r="G91" s="8">
        <f>SUM(G6:G90)</f>
        <v>1</v>
      </c>
      <c r="H91" s="8" t="e">
        <f>SUM(H6:H90)</f>
        <v>#REF!</v>
      </c>
      <c r="I91" s="8" t="e">
        <f>SUM(I6:I90)</f>
        <v>#REF!</v>
      </c>
      <c r="K91">
        <v>0.99999999999999989</v>
      </c>
      <c r="M91">
        <v>0.69458771869509428</v>
      </c>
    </row>
  </sheetData>
  <mergeCells count="54">
    <mergeCell ref="I67:I90"/>
    <mergeCell ref="B63:B66"/>
    <mergeCell ref="E63:E66"/>
    <mergeCell ref="F63:F66"/>
    <mergeCell ref="G63:G66"/>
    <mergeCell ref="H63:H66"/>
    <mergeCell ref="I63:I66"/>
    <mergeCell ref="B67:B90"/>
    <mergeCell ref="E67:E90"/>
    <mergeCell ref="F67:F90"/>
    <mergeCell ref="G67:G90"/>
    <mergeCell ref="H67:H90"/>
    <mergeCell ref="I59:I62"/>
    <mergeCell ref="B39:B58"/>
    <mergeCell ref="E39:E58"/>
    <mergeCell ref="F39:F58"/>
    <mergeCell ref="G39:G58"/>
    <mergeCell ref="H39:H58"/>
    <mergeCell ref="I39:I58"/>
    <mergeCell ref="B59:B62"/>
    <mergeCell ref="E59:E62"/>
    <mergeCell ref="F59:F62"/>
    <mergeCell ref="G59:G62"/>
    <mergeCell ref="H59:H62"/>
    <mergeCell ref="I34:I38"/>
    <mergeCell ref="B30:B33"/>
    <mergeCell ref="E30:E33"/>
    <mergeCell ref="F30:F33"/>
    <mergeCell ref="G30:G33"/>
    <mergeCell ref="H30:H33"/>
    <mergeCell ref="I30:I33"/>
    <mergeCell ref="B34:B38"/>
    <mergeCell ref="E34:E38"/>
    <mergeCell ref="F34:F38"/>
    <mergeCell ref="G34:G38"/>
    <mergeCell ref="H34:H38"/>
    <mergeCell ref="I22:I29"/>
    <mergeCell ref="B18:B21"/>
    <mergeCell ref="E18:E21"/>
    <mergeCell ref="F18:F21"/>
    <mergeCell ref="G18:G21"/>
    <mergeCell ref="H18:H21"/>
    <mergeCell ref="I18:I21"/>
    <mergeCell ref="B22:B29"/>
    <mergeCell ref="E22:E29"/>
    <mergeCell ref="F22:F29"/>
    <mergeCell ref="G22:G29"/>
    <mergeCell ref="H22:H29"/>
    <mergeCell ref="I6:I17"/>
    <mergeCell ref="B6:B17"/>
    <mergeCell ref="E6:E17"/>
    <mergeCell ref="F6:F17"/>
    <mergeCell ref="G6:G17"/>
    <mergeCell ref="H6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D1:M72"/>
  <sheetViews>
    <sheetView workbookViewId="0">
      <selection activeCell="P18" sqref="P18"/>
    </sheetView>
  </sheetViews>
  <sheetFormatPr defaultRowHeight="15"/>
  <cols>
    <col min="4" max="4" width="24.5703125" bestFit="1" customWidth="1"/>
    <col min="5" max="5" width="19.7109375" bestFit="1" customWidth="1"/>
    <col min="6" max="6" width="16.42578125" bestFit="1" customWidth="1"/>
    <col min="7" max="7" width="11" customWidth="1"/>
    <col min="8" max="8" width="13" customWidth="1"/>
    <col min="9" max="9" width="13.5703125" customWidth="1"/>
    <col min="15" max="15" width="12" bestFit="1" customWidth="1"/>
  </cols>
  <sheetData>
    <row r="1" spans="4:13">
      <c r="H1" t="s">
        <v>421</v>
      </c>
    </row>
    <row r="2" spans="4:13">
      <c r="H2">
        <f>17.02</f>
        <v>17.02</v>
      </c>
    </row>
    <row r="3" spans="4:13">
      <c r="D3" t="s">
        <v>424</v>
      </c>
      <c r="E3" t="s">
        <v>15</v>
      </c>
      <c r="F3" t="s">
        <v>16</v>
      </c>
      <c r="G3" t="s">
        <v>17</v>
      </c>
      <c r="H3" t="s">
        <v>433</v>
      </c>
      <c r="I3" t="s">
        <v>18</v>
      </c>
      <c r="J3" t="s">
        <v>19</v>
      </c>
      <c r="K3" t="s">
        <v>528</v>
      </c>
      <c r="L3" t="s">
        <v>210</v>
      </c>
      <c r="M3" t="s">
        <v>529</v>
      </c>
    </row>
    <row r="4" spans="4:13">
      <c r="D4" t="s">
        <v>35</v>
      </c>
      <c r="E4" t="s">
        <v>36</v>
      </c>
      <c r="F4" t="s">
        <v>37</v>
      </c>
      <c r="G4">
        <v>146.13999999999999</v>
      </c>
      <c r="H4">
        <f t="shared" ref="H4:H23" si="0">G4-$H$2</f>
        <v>129.11999999999998</v>
      </c>
      <c r="I4">
        <v>0.64887300000000003</v>
      </c>
      <c r="J4" s="17">
        <f>I4*H4/1000*'Macromolecular Composition'!$H$4</f>
        <v>1.3631409782351998E-2</v>
      </c>
      <c r="K4">
        <f>Table2[[#This Row],[g/gDW]]/$J$24*'Macromolecular Composition'!$H$4</f>
        <v>1.3507143626463726E-2</v>
      </c>
      <c r="L4">
        <f>Table2[[#This Row],[g/gDW (normalized)]]/Table2[[#This Row],[MW (-H2O)]]*1000</f>
        <v>0.10460922882948984</v>
      </c>
      <c r="M4" s="19">
        <f>Table2[[#This Row],[mmol/gDW]]/$K$24</f>
        <v>0.64295776785181202</v>
      </c>
    </row>
    <row r="5" spans="4:13">
      <c r="D5" t="s">
        <v>29</v>
      </c>
      <c r="E5" t="s">
        <v>30</v>
      </c>
      <c r="F5" t="s">
        <v>31</v>
      </c>
      <c r="G5">
        <v>75.069999999999993</v>
      </c>
      <c r="H5">
        <f t="shared" si="0"/>
        <v>58.05</v>
      </c>
      <c r="I5">
        <v>0.75296200000000002</v>
      </c>
      <c r="J5" s="17">
        <f>I5*H5/1000*'Macromolecular Composition'!$H$4</f>
        <v>7.1115265550700003E-3</v>
      </c>
      <c r="K5">
        <f>Table2[[#This Row],[g/gDW]]/$J$24*'Macromolecular Composition'!$H$4</f>
        <v>7.0466967185669532E-3</v>
      </c>
      <c r="L5">
        <f>Table2[[#This Row],[g/gDW (normalized)]]/Table2[[#This Row],[MW (-H2O)]]*1000</f>
        <v>0.12139012435085191</v>
      </c>
      <c r="M5" s="19">
        <f>Table2[[#This Row],[mmol/gDW]]/$K$24</f>
        <v>0.74609787554303553</v>
      </c>
    </row>
    <row r="6" spans="4:13">
      <c r="D6" t="s">
        <v>20</v>
      </c>
      <c r="E6" t="s">
        <v>21</v>
      </c>
      <c r="F6" t="s">
        <v>22</v>
      </c>
      <c r="G6">
        <v>89.09</v>
      </c>
      <c r="H6">
        <f t="shared" si="0"/>
        <v>72.070000000000007</v>
      </c>
      <c r="I6">
        <v>1.0681400000000001</v>
      </c>
      <c r="J6" s="17">
        <f>I6*H6/1000*'Macromolecular Composition'!$H$4</f>
        <v>1.2524784262460004E-2</v>
      </c>
      <c r="K6">
        <f>Table2[[#This Row],[g/gDW]]/$J$24*'Macromolecular Composition'!$H$4</f>
        <v>1.2410606285385258E-2</v>
      </c>
      <c r="L6">
        <f>Table2[[#This Row],[g/gDW (normalized)]]/Table2[[#This Row],[MW (-H2O)]]*1000</f>
        <v>0.17220211302046978</v>
      </c>
      <c r="M6" s="19">
        <f>Table2[[#This Row],[mmol/gDW]]/$K$24</f>
        <v>1.0584026614657021</v>
      </c>
    </row>
    <row r="7" spans="4:13">
      <c r="D7" t="s">
        <v>38</v>
      </c>
      <c r="E7" t="s">
        <v>39</v>
      </c>
      <c r="F7" t="s">
        <v>40</v>
      </c>
      <c r="G7">
        <v>175.21</v>
      </c>
      <c r="H7">
        <f t="shared" si="0"/>
        <v>158.19</v>
      </c>
      <c r="I7">
        <v>0.53652599999999995</v>
      </c>
      <c r="J7" s="17">
        <f>I7*H7/1000*'Macromolecular Composition'!$H$4</f>
        <v>1.3808844899837998E-2</v>
      </c>
      <c r="K7">
        <f>Table2[[#This Row],[g/gDW]]/$J$24*'Macromolecular Composition'!$H$4</f>
        <v>1.3682961216465657E-2</v>
      </c>
      <c r="L7">
        <f>Table2[[#This Row],[g/gDW (normalized)]]/Table2[[#This Row],[MW (-H2O)]]*1000</f>
        <v>8.6497004971652164E-2</v>
      </c>
      <c r="M7" s="19">
        <f>Table2[[#This Row],[mmol/gDW]]/$K$24</f>
        <v>0.5316349414360918</v>
      </c>
    </row>
    <row r="8" spans="4:13">
      <c r="D8" t="s">
        <v>60</v>
      </c>
      <c r="E8" t="s">
        <v>61</v>
      </c>
      <c r="F8" t="s">
        <v>62</v>
      </c>
      <c r="G8">
        <v>132.12</v>
      </c>
      <c r="H8">
        <f t="shared" si="0"/>
        <v>115.10000000000001</v>
      </c>
      <c r="I8">
        <v>0.24420600000000001</v>
      </c>
      <c r="J8" s="17">
        <f>I8*H8/1000*'Macromolecular Composition'!$H$4</f>
        <v>4.5731895946200009E-3</v>
      </c>
      <c r="K8">
        <f>Table2[[#This Row],[g/gDW]]/$J$24*'Macromolecular Composition'!$H$4</f>
        <v>4.5314996520428637E-3</v>
      </c>
      <c r="L8">
        <f>Table2[[#This Row],[g/gDW (normalized)]]/Table2[[#This Row],[MW (-H2O)]]*1000</f>
        <v>3.9370109922179521E-2</v>
      </c>
      <c r="M8" s="19">
        <f>Table2[[#This Row],[mmol/gDW]]/$K$24</f>
        <v>0.24197977825555939</v>
      </c>
    </row>
    <row r="9" spans="4:13">
      <c r="D9" t="s">
        <v>50</v>
      </c>
      <c r="E9" t="s">
        <v>51</v>
      </c>
      <c r="F9" t="s">
        <v>52</v>
      </c>
      <c r="G9">
        <v>132.09</v>
      </c>
      <c r="H9">
        <f t="shared" si="0"/>
        <v>115.07000000000001</v>
      </c>
      <c r="I9">
        <v>0.397453</v>
      </c>
      <c r="J9" s="17">
        <f>I9*H9/1000*'Macromolecular Composition'!$H$4</f>
        <v>7.4410709487170009E-3</v>
      </c>
      <c r="K9">
        <f>Table2[[#This Row],[g/gDW]]/$J$24*'Macromolecular Composition'!$H$4</f>
        <v>7.3732369317478898E-3</v>
      </c>
      <c r="L9">
        <f>Table2[[#This Row],[g/gDW (normalized)]]/Table2[[#This Row],[MW (-H2O)]]*1000</f>
        <v>6.4076100910297112E-2</v>
      </c>
      <c r="M9" s="19">
        <f>Table2[[#This Row],[mmol/gDW]]/$K$24</f>
        <v>0.39382975359740074</v>
      </c>
    </row>
    <row r="10" spans="4:13">
      <c r="D10" t="s">
        <v>69</v>
      </c>
      <c r="E10" t="s">
        <v>70</v>
      </c>
      <c r="F10" t="s">
        <v>71</v>
      </c>
      <c r="G10">
        <v>121.16</v>
      </c>
      <c r="H10">
        <f t="shared" si="0"/>
        <v>104.14</v>
      </c>
      <c r="I10">
        <v>0.172511</v>
      </c>
      <c r="J10" s="17">
        <f>I10*H10/1000*'Macromolecular Composition'!$H$4</f>
        <v>2.9229535843580002E-3</v>
      </c>
      <c r="K10">
        <f>Table2[[#This Row],[g/gDW]]/$J$24*'Macromolecular Composition'!$H$4</f>
        <v>2.8963074625285275E-3</v>
      </c>
      <c r="L10">
        <f>Table2[[#This Row],[g/gDW (normalized)]]/Table2[[#This Row],[MW (-H2O)]]*1000</f>
        <v>2.7811671428159473E-2</v>
      </c>
      <c r="M10" s="19">
        <f>Table2[[#This Row],[mmol/gDW]]/$K$24</f>
        <v>0.17093836157442818</v>
      </c>
    </row>
    <row r="11" spans="4:13">
      <c r="D11" t="s">
        <v>44</v>
      </c>
      <c r="E11" t="s">
        <v>45</v>
      </c>
      <c r="F11" t="s">
        <v>46</v>
      </c>
      <c r="G11">
        <v>146.12</v>
      </c>
      <c r="H11">
        <f t="shared" si="0"/>
        <v>129.1</v>
      </c>
      <c r="I11">
        <v>0.53120599999999996</v>
      </c>
      <c r="J11" s="17">
        <f>I11*H11/1000*'Macromolecular Composition'!$H$4</f>
        <v>1.1157753611419999E-2</v>
      </c>
      <c r="K11">
        <f>Table2[[#This Row],[g/gDW]]/$J$24*'Macromolecular Composition'!$H$4</f>
        <v>1.1056037708826068E-2</v>
      </c>
      <c r="L11">
        <f>Table2[[#This Row],[g/gDW (normalized)]]/Table2[[#This Row],[MW (-H2O)]]*1000</f>
        <v>8.5639331594315013E-2</v>
      </c>
      <c r="M11" s="19">
        <f>Table2[[#This Row],[mmol/gDW]]/$K$24</f>
        <v>0.52636343942418562</v>
      </c>
    </row>
    <row r="12" spans="4:13">
      <c r="D12" t="s">
        <v>56</v>
      </c>
      <c r="E12" t="s">
        <v>57</v>
      </c>
      <c r="F12" t="s">
        <v>58</v>
      </c>
      <c r="G12">
        <v>155.15</v>
      </c>
      <c r="H12">
        <f t="shared" si="0"/>
        <v>138.13</v>
      </c>
      <c r="I12">
        <v>0.290827</v>
      </c>
      <c r="J12" s="17">
        <f>I12*H12/1000*'Macromolecular Composition'!$H$4</f>
        <v>6.5359735820770008E-3</v>
      </c>
      <c r="K12">
        <f>Table2[[#This Row],[g/gDW]]/$J$24*'Macromolecular Composition'!$H$4</f>
        <v>6.4763905803919119E-3</v>
      </c>
      <c r="L12">
        <f>Table2[[#This Row],[g/gDW (normalized)]]/Table2[[#This Row],[MW (-H2O)]]*1000</f>
        <v>4.6886198366697399E-2</v>
      </c>
      <c r="M12" s="19">
        <f>Table2[[#This Row],[mmol/gDW]]/$K$24</f>
        <v>0.28817577361215357</v>
      </c>
    </row>
    <row r="13" spans="4:13">
      <c r="D13" t="s">
        <v>59</v>
      </c>
      <c r="E13" t="s">
        <v>24</v>
      </c>
      <c r="F13" t="s">
        <v>25</v>
      </c>
      <c r="G13">
        <v>131.16999999999999</v>
      </c>
      <c r="H13">
        <f t="shared" si="0"/>
        <v>114.14999999999999</v>
      </c>
      <c r="I13">
        <v>0.26420399999999999</v>
      </c>
      <c r="J13" s="17">
        <f>I13*H13/1000*'Macromolecular Composition'!$H$4</f>
        <v>4.9068508498200008E-3</v>
      </c>
      <c r="K13">
        <f>Table2[[#This Row],[g/gDW]]/$J$24*'Macromolecular Composition'!$H$4</f>
        <v>4.8621191967951121E-3</v>
      </c>
      <c r="L13">
        <f>Table2[[#This Row],[g/gDW (normalized)]]/Table2[[#This Row],[MW (-H2O)]]*1000</f>
        <v>4.259412349360589E-2</v>
      </c>
      <c r="M13" s="19">
        <f>Table2[[#This Row],[mmol/gDW]]/$K$24</f>
        <v>0.26179547322437541</v>
      </c>
    </row>
    <row r="14" spans="4:13">
      <c r="D14" t="s">
        <v>23</v>
      </c>
      <c r="E14" t="s">
        <v>24</v>
      </c>
      <c r="F14" t="s">
        <v>25</v>
      </c>
      <c r="G14">
        <v>131.16999999999999</v>
      </c>
      <c r="H14">
        <f t="shared" si="0"/>
        <v>114.14999999999999</v>
      </c>
      <c r="I14">
        <v>0.83953699999999998</v>
      </c>
      <c r="J14" s="17">
        <f>I14*H14/1000*'Macromolecular Composition'!$H$4</f>
        <v>1.5592053269085001E-2</v>
      </c>
      <c r="K14">
        <f>Table2[[#This Row],[g/gDW]]/$J$24*'Macromolecular Composition'!$H$4</f>
        <v>1.5449913567242653E-2</v>
      </c>
      <c r="L14">
        <f>Table2[[#This Row],[g/gDW (normalized)]]/Table2[[#This Row],[MW (-H2O)]]*1000</f>
        <v>0.13534746883261195</v>
      </c>
      <c r="M14" s="19">
        <f>Table2[[#This Row],[mmol/gDW]]/$K$24</f>
        <v>0.83188364371611501</v>
      </c>
    </row>
    <row r="15" spans="4:13">
      <c r="D15" t="s">
        <v>53</v>
      </c>
      <c r="E15" t="s">
        <v>54</v>
      </c>
      <c r="F15" t="s">
        <v>55</v>
      </c>
      <c r="G15">
        <v>147.19</v>
      </c>
      <c r="H15">
        <f t="shared" si="0"/>
        <v>130.16999999999999</v>
      </c>
      <c r="I15">
        <v>0.36387399999999998</v>
      </c>
      <c r="J15" s="17">
        <f>I15*H15/1000*'Macromolecular Composition'!$H$4</f>
        <v>7.7063633649660001E-3</v>
      </c>
      <c r="K15">
        <f>Table2[[#This Row],[g/gDW]]/$J$24*'Macromolecular Composition'!$H$4</f>
        <v>7.6361108990411356E-3</v>
      </c>
      <c r="L15">
        <f>Table2[[#This Row],[g/gDW (normalized)]]/Table2[[#This Row],[MW (-H2O)]]*1000</f>
        <v>5.8662601974657266E-2</v>
      </c>
      <c r="M15" s="19">
        <f>Table2[[#This Row],[mmol/gDW]]/$K$24</f>
        <v>0.36055686524067149</v>
      </c>
    </row>
    <row r="16" spans="4:13">
      <c r="D16" t="s">
        <v>66</v>
      </c>
      <c r="E16" t="s">
        <v>67</v>
      </c>
      <c r="F16" t="s">
        <v>68</v>
      </c>
      <c r="G16">
        <v>149.21</v>
      </c>
      <c r="H16">
        <f t="shared" si="0"/>
        <v>132.19</v>
      </c>
      <c r="I16">
        <v>0.217474</v>
      </c>
      <c r="J16" s="17">
        <f>I16*H16/1000*'Macromolecular Composition'!$H$4</f>
        <v>4.6772813873620003E-3</v>
      </c>
      <c r="K16">
        <f>Table2[[#This Row],[g/gDW]]/$J$24*'Macromolecular Composition'!$H$4</f>
        <v>4.6346425270169947E-3</v>
      </c>
      <c r="L16">
        <f>Table2[[#This Row],[g/gDW (normalized)]]/Table2[[#This Row],[MW (-H2O)]]*1000</f>
        <v>3.5060462417860615E-2</v>
      </c>
      <c r="M16" s="19">
        <f>Table2[[#This Row],[mmol/gDW]]/$K$24</f>
        <v>0.21549147152956735</v>
      </c>
    </row>
    <row r="17" spans="4:13">
      <c r="D17" t="s">
        <v>63</v>
      </c>
      <c r="E17" t="s">
        <v>64</v>
      </c>
      <c r="F17" t="s">
        <v>65</v>
      </c>
      <c r="G17">
        <v>165.19</v>
      </c>
      <c r="H17">
        <f t="shared" si="0"/>
        <v>148.16999999999999</v>
      </c>
      <c r="I17">
        <v>0.23950399999999999</v>
      </c>
      <c r="J17" s="17">
        <f>I17*H17/1000*'Macromolecular Composition'!$H$4</f>
        <v>5.7737849595359998E-3</v>
      </c>
      <c r="K17">
        <f>Table2[[#This Row],[g/gDW]]/$J$24*'Macromolecular Composition'!$H$4</f>
        <v>5.7211501937045172E-3</v>
      </c>
      <c r="L17">
        <f>Table2[[#This Row],[g/gDW (normalized)]]/Table2[[#This Row],[MW (-H2O)]]*1000</f>
        <v>3.8612068527397701E-2</v>
      </c>
      <c r="M17" s="19">
        <f>Table2[[#This Row],[mmol/gDW]]/$K$24</f>
        <v>0.23732064245481063</v>
      </c>
    </row>
    <row r="18" spans="4:13">
      <c r="D18" t="s">
        <v>32</v>
      </c>
      <c r="E18" t="s">
        <v>33</v>
      </c>
      <c r="F18" t="s">
        <v>34</v>
      </c>
      <c r="G18">
        <v>115.13</v>
      </c>
      <c r="H18">
        <f t="shared" si="0"/>
        <v>98.11</v>
      </c>
      <c r="I18">
        <v>0.65682300000000005</v>
      </c>
      <c r="J18" s="17">
        <f>I18*H18/1000*'Macromolecular Composition'!$H$4</f>
        <v>1.0484535167031E-2</v>
      </c>
      <c r="K18">
        <f>Table2[[#This Row],[g/gDW]]/$J$24*'Macromolecular Composition'!$H$4</f>
        <v>1.0388956433628888E-2</v>
      </c>
      <c r="L18">
        <f>Table2[[#This Row],[g/gDW (normalized)]]/Table2[[#This Row],[MW (-H2O)]]*1000</f>
        <v>0.10589090239148799</v>
      </c>
      <c r="M18" s="19">
        <f>Table2[[#This Row],[mmol/gDW]]/$K$24</f>
        <v>0.65083529435456644</v>
      </c>
    </row>
    <row r="19" spans="4:13">
      <c r="D19" t="s">
        <v>26</v>
      </c>
      <c r="E19" t="s">
        <v>27</v>
      </c>
      <c r="F19" t="s">
        <v>28</v>
      </c>
      <c r="G19">
        <v>105.09</v>
      </c>
      <c r="H19">
        <f t="shared" si="0"/>
        <v>88.070000000000007</v>
      </c>
      <c r="I19">
        <v>0.80301500000000003</v>
      </c>
      <c r="J19" s="17">
        <f>I19*H19/1000*'Macromolecular Composition'!$H$4</f>
        <v>1.1506393101835002E-2</v>
      </c>
      <c r="K19">
        <f>Table2[[#This Row],[g/gDW]]/$J$24*'Macromolecular Composition'!$H$4</f>
        <v>1.1401498944757019E-2</v>
      </c>
      <c r="L19">
        <f>Table2[[#This Row],[g/gDW (normalized)]]/Table2[[#This Row],[MW (-H2O)]]*1000</f>
        <v>0.12945950885383237</v>
      </c>
      <c r="M19" s="19">
        <f>Table2[[#This Row],[mmol/gDW]]/$K$24</f>
        <v>0.79569458422761119</v>
      </c>
    </row>
    <row r="20" spans="4:13">
      <c r="D20" t="s">
        <v>47</v>
      </c>
      <c r="E20" t="s">
        <v>48</v>
      </c>
      <c r="F20" t="s">
        <v>49</v>
      </c>
      <c r="G20">
        <v>119.12</v>
      </c>
      <c r="H20">
        <f t="shared" si="0"/>
        <v>102.10000000000001</v>
      </c>
      <c r="I20">
        <v>0.451125</v>
      </c>
      <c r="J20" s="17">
        <f>I20*H20/1000*'Macromolecular Composition'!$H$4</f>
        <v>7.4939396287500007E-3</v>
      </c>
      <c r="K20">
        <f>Table2[[#This Row],[g/gDW]]/$J$24*'Macromolecular Composition'!$H$4</f>
        <v>7.4256236522668344E-3</v>
      </c>
      <c r="L20">
        <f>Table2[[#This Row],[g/gDW (normalized)]]/Table2[[#This Row],[MW (-H2O)]]*1000</f>
        <v>7.2728929013387206E-2</v>
      </c>
      <c r="M20" s="19">
        <f>Table2[[#This Row],[mmol/gDW]]/$K$24</f>
        <v>0.44701247088744428</v>
      </c>
    </row>
    <row r="21" spans="4:13">
      <c r="D21" t="s">
        <v>75</v>
      </c>
      <c r="E21" t="s">
        <v>76</v>
      </c>
      <c r="F21" t="s">
        <v>77</v>
      </c>
      <c r="G21">
        <v>204.22</v>
      </c>
      <c r="H21">
        <f t="shared" si="0"/>
        <v>187.2</v>
      </c>
      <c r="I21">
        <v>0.109067</v>
      </c>
      <c r="J21" s="17">
        <f>I21*H21/1000*'Macromolecular Composition'!$H$4</f>
        <v>3.3219016084800003E-3</v>
      </c>
      <c r="K21">
        <f>Table2[[#This Row],[g/gDW]]/$J$24*'Macromolecular Composition'!$H$4</f>
        <v>3.2916186113640805E-3</v>
      </c>
      <c r="L21">
        <f>Table2[[#This Row],[g/gDW (normalized)]]/Table2[[#This Row],[MW (-H2O)]]*1000</f>
        <v>1.7583432753013252E-2</v>
      </c>
      <c r="M21" s="19">
        <f>Table2[[#This Row],[mmol/gDW]]/$K$24</f>
        <v>0.10807272743093575</v>
      </c>
    </row>
    <row r="22" spans="4:13">
      <c r="D22" t="s">
        <v>72</v>
      </c>
      <c r="E22" t="s">
        <v>73</v>
      </c>
      <c r="F22" t="s">
        <v>74</v>
      </c>
      <c r="G22">
        <v>181.19</v>
      </c>
      <c r="H22">
        <f t="shared" si="0"/>
        <v>164.17</v>
      </c>
      <c r="I22">
        <v>0.16037000000000001</v>
      </c>
      <c r="J22" s="17">
        <f>I22*H22/1000*'Macromolecular Composition'!$H$4</f>
        <v>4.2835563098300002E-3</v>
      </c>
      <c r="K22">
        <f>Table2[[#This Row],[g/gDW]]/$J$24*'Macromolecular Composition'!$H$4</f>
        <v>4.2445067115380701E-3</v>
      </c>
      <c r="L22">
        <f>Table2[[#This Row],[g/gDW (normalized)]]/Table2[[#This Row],[MW (-H2O)]]*1000</f>
        <v>2.5854338256307917E-2</v>
      </c>
      <c r="M22" s="19">
        <f>Table2[[#This Row],[mmol/gDW]]/$K$24</f>
        <v>0.15890804091154218</v>
      </c>
    </row>
    <row r="23" spans="4:13">
      <c r="D23" t="s">
        <v>41</v>
      </c>
      <c r="E23" t="s">
        <v>42</v>
      </c>
      <c r="F23" t="s">
        <v>43</v>
      </c>
      <c r="G23">
        <v>117.15</v>
      </c>
      <c r="H23">
        <f t="shared" si="0"/>
        <v>100.13000000000001</v>
      </c>
      <c r="I23">
        <v>0.53665200000000002</v>
      </c>
      <c r="J23" s="17">
        <f>I23*H23/1000*'Macromolecular Composition'!$H$4</f>
        <v>8.7426787664520011E-3</v>
      </c>
      <c r="K23">
        <f>Table2[[#This Row],[g/gDW]]/$J$24*'Macromolecular Composition'!$H$4</f>
        <v>8.6629790802258879E-3</v>
      </c>
      <c r="L23">
        <f>Table2[[#This Row],[g/gDW (normalized)]]/Table2[[#This Row],[MW (-H2O)]]*1000</f>
        <v>8.6517318288483844E-2</v>
      </c>
      <c r="M23" s="19">
        <f>Table2[[#This Row],[mmol/gDW]]/$K$24</f>
        <v>0.53175979279953178</v>
      </c>
    </row>
    <row r="24" spans="4:13">
      <c r="I24" s="8">
        <f>SUM(I4:I23)</f>
        <v>9.2843490000000006</v>
      </c>
      <c r="J24" s="8">
        <f>SUM(J4:J23)</f>
        <v>0.16419684523405897</v>
      </c>
      <c r="K24" s="8">
        <f>SUM(K4:K23)</f>
        <v>0.16270000000000004</v>
      </c>
      <c r="L24" s="8">
        <f>SUM(L4:L23)</f>
        <v>1.496793038196758</v>
      </c>
      <c r="M24" s="8">
        <f>SUM(M4:M23)</f>
        <v>9.1997113595375399</v>
      </c>
    </row>
    <row r="30" spans="4:13">
      <c r="D30" t="s">
        <v>422</v>
      </c>
      <c r="E30" t="s">
        <v>441</v>
      </c>
      <c r="F30" t="s">
        <v>525</v>
      </c>
      <c r="G30" t="s">
        <v>526</v>
      </c>
      <c r="H30" t="s">
        <v>527</v>
      </c>
    </row>
    <row r="31" spans="4:13">
      <c r="D31" t="s">
        <v>284</v>
      </c>
      <c r="E31" t="s">
        <v>284</v>
      </c>
      <c r="F31" t="s">
        <v>479</v>
      </c>
      <c r="G31" t="s">
        <v>461</v>
      </c>
      <c r="H31">
        <v>9.2843499999999999</v>
      </c>
    </row>
    <row r="32" spans="4:13">
      <c r="D32" t="s">
        <v>510</v>
      </c>
      <c r="E32" t="s">
        <v>465</v>
      </c>
      <c r="F32" t="s">
        <v>511</v>
      </c>
      <c r="G32" t="s">
        <v>461</v>
      </c>
      <c r="H32">
        <v>1.0681400000000001</v>
      </c>
    </row>
    <row r="33" spans="4:8">
      <c r="D33" t="s">
        <v>503</v>
      </c>
      <c r="F33" t="s">
        <v>503</v>
      </c>
      <c r="G33" t="s">
        <v>461</v>
      </c>
      <c r="H33">
        <v>1</v>
      </c>
    </row>
    <row r="34" spans="4:8">
      <c r="D34" t="s">
        <v>488</v>
      </c>
      <c r="E34" t="s">
        <v>474</v>
      </c>
      <c r="F34" t="s">
        <v>489</v>
      </c>
      <c r="G34" t="s">
        <v>461</v>
      </c>
      <c r="H34">
        <v>0.83953699999999998</v>
      </c>
    </row>
    <row r="35" spans="4:8">
      <c r="D35" t="s">
        <v>469</v>
      </c>
      <c r="E35" t="s">
        <v>465</v>
      </c>
      <c r="F35" t="s">
        <v>470</v>
      </c>
      <c r="G35" t="s">
        <v>461</v>
      </c>
      <c r="H35">
        <v>0.80301500000000003</v>
      </c>
    </row>
    <row r="36" spans="4:8">
      <c r="D36" t="s">
        <v>516</v>
      </c>
      <c r="E36" t="s">
        <v>465</v>
      </c>
      <c r="F36" t="s">
        <v>517</v>
      </c>
      <c r="G36" t="s">
        <v>461</v>
      </c>
      <c r="H36">
        <v>0.75296200000000002</v>
      </c>
    </row>
    <row r="37" spans="4:8">
      <c r="D37" t="s">
        <v>467</v>
      </c>
      <c r="E37" t="s">
        <v>465</v>
      </c>
      <c r="F37" t="s">
        <v>468</v>
      </c>
      <c r="G37" t="s">
        <v>461</v>
      </c>
      <c r="H37">
        <v>0.65682300000000005</v>
      </c>
    </row>
    <row r="38" spans="4:8">
      <c r="D38" t="s">
        <v>499</v>
      </c>
      <c r="E38" t="s">
        <v>474</v>
      </c>
      <c r="F38" t="s">
        <v>500</v>
      </c>
      <c r="G38" t="s">
        <v>461</v>
      </c>
      <c r="H38">
        <v>0.64887300000000003</v>
      </c>
    </row>
    <row r="39" spans="4:8">
      <c r="D39" t="s">
        <v>481</v>
      </c>
      <c r="E39" t="s">
        <v>474</v>
      </c>
      <c r="F39" t="s">
        <v>482</v>
      </c>
      <c r="G39" t="s">
        <v>461</v>
      </c>
      <c r="H39">
        <v>0.53665200000000002</v>
      </c>
    </row>
    <row r="40" spans="4:8">
      <c r="D40" t="s">
        <v>523</v>
      </c>
      <c r="E40" t="s">
        <v>474</v>
      </c>
      <c r="F40" t="s">
        <v>524</v>
      </c>
      <c r="G40" t="s">
        <v>461</v>
      </c>
      <c r="H40">
        <v>0.53652599999999995</v>
      </c>
    </row>
    <row r="41" spans="4:8">
      <c r="D41" t="s">
        <v>497</v>
      </c>
      <c r="E41" t="s">
        <v>474</v>
      </c>
      <c r="F41" t="s">
        <v>498</v>
      </c>
      <c r="G41" t="s">
        <v>461</v>
      </c>
      <c r="H41">
        <v>0.53120599999999996</v>
      </c>
    </row>
    <row r="42" spans="4:8">
      <c r="D42" t="s">
        <v>464</v>
      </c>
      <c r="E42" t="s">
        <v>465</v>
      </c>
      <c r="F42" t="s">
        <v>466</v>
      </c>
      <c r="G42" t="s">
        <v>461</v>
      </c>
      <c r="H42">
        <v>0.451125</v>
      </c>
    </row>
    <row r="43" spans="4:8">
      <c r="D43" t="s">
        <v>518</v>
      </c>
      <c r="E43" t="s">
        <v>465</v>
      </c>
      <c r="F43" t="s">
        <v>519</v>
      </c>
      <c r="G43" t="s">
        <v>461</v>
      </c>
      <c r="H43">
        <v>0.397453</v>
      </c>
    </row>
    <row r="44" spans="4:8">
      <c r="D44" t="s">
        <v>486</v>
      </c>
      <c r="E44" t="s">
        <v>465</v>
      </c>
      <c r="F44" t="s">
        <v>487</v>
      </c>
      <c r="G44" t="s">
        <v>461</v>
      </c>
      <c r="H44">
        <v>0.36387399999999998</v>
      </c>
    </row>
    <row r="45" spans="4:8">
      <c r="D45" t="s">
        <v>507</v>
      </c>
      <c r="E45" t="s">
        <v>465</v>
      </c>
      <c r="F45" t="s">
        <v>508</v>
      </c>
      <c r="G45" t="s">
        <v>461</v>
      </c>
      <c r="H45">
        <v>0.290827</v>
      </c>
    </row>
    <row r="46" spans="4:8">
      <c r="D46" t="s">
        <v>490</v>
      </c>
      <c r="E46" t="s">
        <v>474</v>
      </c>
      <c r="F46" t="s">
        <v>491</v>
      </c>
      <c r="G46" t="s">
        <v>461</v>
      </c>
      <c r="H46">
        <v>0.26420399999999999</v>
      </c>
    </row>
    <row r="47" spans="4:8">
      <c r="D47" t="s">
        <v>521</v>
      </c>
      <c r="E47" t="s">
        <v>465</v>
      </c>
      <c r="F47" t="s">
        <v>522</v>
      </c>
      <c r="G47" t="s">
        <v>461</v>
      </c>
      <c r="H47">
        <v>0.24420600000000001</v>
      </c>
    </row>
    <row r="48" spans="4:8">
      <c r="D48" t="s">
        <v>501</v>
      </c>
      <c r="E48" t="s">
        <v>465</v>
      </c>
      <c r="F48" t="s">
        <v>502</v>
      </c>
      <c r="G48" t="s">
        <v>461</v>
      </c>
      <c r="H48">
        <v>0.23950399999999999</v>
      </c>
    </row>
    <row r="49" spans="4:8">
      <c r="D49" t="s">
        <v>473</v>
      </c>
      <c r="E49" t="s">
        <v>474</v>
      </c>
      <c r="F49" t="s">
        <v>475</v>
      </c>
      <c r="G49" t="s">
        <v>461</v>
      </c>
      <c r="H49">
        <v>0.217474</v>
      </c>
    </row>
    <row r="50" spans="4:8">
      <c r="D50" t="s">
        <v>477</v>
      </c>
      <c r="E50" t="s">
        <v>474</v>
      </c>
      <c r="F50" t="s">
        <v>478</v>
      </c>
      <c r="G50" t="s">
        <v>461</v>
      </c>
      <c r="H50">
        <v>0.172511</v>
      </c>
    </row>
    <row r="51" spans="4:8">
      <c r="D51" t="s">
        <v>505</v>
      </c>
      <c r="E51" t="s">
        <v>474</v>
      </c>
      <c r="F51" t="s">
        <v>506</v>
      </c>
      <c r="G51" t="s">
        <v>461</v>
      </c>
      <c r="H51">
        <v>0.16037000000000001</v>
      </c>
    </row>
    <row r="52" spans="4:8">
      <c r="D52" t="s">
        <v>514</v>
      </c>
      <c r="E52" t="s">
        <v>474</v>
      </c>
      <c r="F52" t="s">
        <v>515</v>
      </c>
      <c r="G52" t="s">
        <v>461</v>
      </c>
      <c r="H52">
        <v>0.109067</v>
      </c>
    </row>
    <row r="53" spans="4:8">
      <c r="D53" t="s">
        <v>75</v>
      </c>
      <c r="E53" t="s">
        <v>76</v>
      </c>
      <c r="F53" t="s">
        <v>485</v>
      </c>
      <c r="G53" t="s">
        <v>461</v>
      </c>
      <c r="H53">
        <v>-0.109067</v>
      </c>
    </row>
    <row r="54" spans="4:8">
      <c r="D54" t="s">
        <v>72</v>
      </c>
      <c r="E54" t="s">
        <v>73</v>
      </c>
      <c r="F54" t="s">
        <v>496</v>
      </c>
      <c r="G54" t="s">
        <v>461</v>
      </c>
      <c r="H54">
        <v>-0.16037000000000001</v>
      </c>
    </row>
    <row r="55" spans="4:8">
      <c r="D55" t="s">
        <v>69</v>
      </c>
      <c r="E55" t="s">
        <v>70</v>
      </c>
      <c r="F55" t="s">
        <v>504</v>
      </c>
      <c r="G55" t="s">
        <v>461</v>
      </c>
      <c r="H55">
        <v>-0.172511</v>
      </c>
    </row>
    <row r="56" spans="4:8">
      <c r="D56" t="s">
        <v>66</v>
      </c>
      <c r="E56" t="s">
        <v>67</v>
      </c>
      <c r="F56" t="s">
        <v>460</v>
      </c>
      <c r="G56" t="s">
        <v>461</v>
      </c>
      <c r="H56">
        <v>-0.217474</v>
      </c>
    </row>
    <row r="57" spans="4:8">
      <c r="D57" t="s">
        <v>63</v>
      </c>
      <c r="E57" t="s">
        <v>64</v>
      </c>
      <c r="F57" t="s">
        <v>476</v>
      </c>
      <c r="G57" t="s">
        <v>461</v>
      </c>
      <c r="H57">
        <v>-0.23950399999999999</v>
      </c>
    </row>
    <row r="58" spans="4:8">
      <c r="D58" t="s">
        <v>60</v>
      </c>
      <c r="E58" t="s">
        <v>61</v>
      </c>
      <c r="F58" t="s">
        <v>493</v>
      </c>
      <c r="G58" t="s">
        <v>461</v>
      </c>
      <c r="H58">
        <v>-0.24420600000000001</v>
      </c>
    </row>
    <row r="59" spans="4:8">
      <c r="D59" t="s">
        <v>59</v>
      </c>
      <c r="E59" t="s">
        <v>24</v>
      </c>
      <c r="F59" t="s">
        <v>463</v>
      </c>
      <c r="G59" t="s">
        <v>461</v>
      </c>
      <c r="H59">
        <v>-0.26420399999999999</v>
      </c>
    </row>
    <row r="60" spans="4:8">
      <c r="D60" t="s">
        <v>56</v>
      </c>
      <c r="E60" t="s">
        <v>57</v>
      </c>
      <c r="F60" t="s">
        <v>509</v>
      </c>
      <c r="G60" t="s">
        <v>461</v>
      </c>
      <c r="H60">
        <v>-0.290827</v>
      </c>
    </row>
    <row r="61" spans="4:8">
      <c r="D61" t="s">
        <v>53</v>
      </c>
      <c r="E61" t="s">
        <v>54</v>
      </c>
      <c r="F61" t="s">
        <v>512</v>
      </c>
      <c r="G61" t="s">
        <v>461</v>
      </c>
      <c r="H61">
        <v>-0.36387399999999998</v>
      </c>
    </row>
    <row r="62" spans="4:8">
      <c r="D62" t="s">
        <v>50</v>
      </c>
      <c r="E62" t="s">
        <v>51</v>
      </c>
      <c r="F62" t="s">
        <v>492</v>
      </c>
      <c r="G62" t="s">
        <v>461</v>
      </c>
      <c r="H62">
        <v>-0.397453</v>
      </c>
    </row>
    <row r="63" spans="4:8">
      <c r="D63" t="s">
        <v>47</v>
      </c>
      <c r="E63" t="s">
        <v>48</v>
      </c>
      <c r="F63" t="s">
        <v>484</v>
      </c>
      <c r="G63" t="s">
        <v>461</v>
      </c>
      <c r="H63">
        <v>-0.451125</v>
      </c>
    </row>
    <row r="64" spans="4:8">
      <c r="D64" t="s">
        <v>44</v>
      </c>
      <c r="E64" t="s">
        <v>45</v>
      </c>
      <c r="F64" t="s">
        <v>513</v>
      </c>
      <c r="G64" t="s">
        <v>461</v>
      </c>
      <c r="H64">
        <v>-0.53120599999999996</v>
      </c>
    </row>
    <row r="65" spans="4:8">
      <c r="D65" t="s">
        <v>38</v>
      </c>
      <c r="E65" t="s">
        <v>39</v>
      </c>
      <c r="F65" t="s">
        <v>520</v>
      </c>
      <c r="G65" t="s">
        <v>461</v>
      </c>
      <c r="H65">
        <v>-0.53652599999999995</v>
      </c>
    </row>
    <row r="66" spans="4:8">
      <c r="D66" t="s">
        <v>41</v>
      </c>
      <c r="E66" t="s">
        <v>42</v>
      </c>
      <c r="F66" t="s">
        <v>471</v>
      </c>
      <c r="G66" t="s">
        <v>461</v>
      </c>
      <c r="H66">
        <v>-0.53665200000000002</v>
      </c>
    </row>
    <row r="67" spans="4:8">
      <c r="D67" t="s">
        <v>35</v>
      </c>
      <c r="E67" t="s">
        <v>36</v>
      </c>
      <c r="F67" t="s">
        <v>462</v>
      </c>
      <c r="G67" t="s">
        <v>461</v>
      </c>
      <c r="H67">
        <v>-0.64887300000000003</v>
      </c>
    </row>
    <row r="68" spans="4:8">
      <c r="D68" t="s">
        <v>32</v>
      </c>
      <c r="E68" t="s">
        <v>33</v>
      </c>
      <c r="F68" t="s">
        <v>480</v>
      </c>
      <c r="G68" t="s">
        <v>461</v>
      </c>
      <c r="H68">
        <v>-0.65682300000000005</v>
      </c>
    </row>
    <row r="69" spans="4:8">
      <c r="D69" t="s">
        <v>29</v>
      </c>
      <c r="E69" t="s">
        <v>30</v>
      </c>
      <c r="F69" t="s">
        <v>494</v>
      </c>
      <c r="G69" t="s">
        <v>461</v>
      </c>
      <c r="H69">
        <v>-0.75296200000000002</v>
      </c>
    </row>
    <row r="70" spans="4:8">
      <c r="D70" t="s">
        <v>26</v>
      </c>
      <c r="E70" t="s">
        <v>27</v>
      </c>
      <c r="F70" t="s">
        <v>483</v>
      </c>
      <c r="G70" t="s">
        <v>461</v>
      </c>
      <c r="H70">
        <v>-0.80301500000000003</v>
      </c>
    </row>
    <row r="71" spans="4:8">
      <c r="D71" t="s">
        <v>23</v>
      </c>
      <c r="E71" t="s">
        <v>24</v>
      </c>
      <c r="F71" t="s">
        <v>495</v>
      </c>
      <c r="G71" t="s">
        <v>461</v>
      </c>
      <c r="H71">
        <v>-0.83953699999999998</v>
      </c>
    </row>
    <row r="72" spans="4:8">
      <c r="D72" t="s">
        <v>20</v>
      </c>
      <c r="E72" t="s">
        <v>21</v>
      </c>
      <c r="F72" t="s">
        <v>472</v>
      </c>
      <c r="G72" t="s">
        <v>461</v>
      </c>
      <c r="H72">
        <v>-1.0681400000000001</v>
      </c>
    </row>
  </sheetData>
  <sortState xmlns:xlrd2="http://schemas.microsoft.com/office/spreadsheetml/2017/richdata2" ref="D4:G43">
    <sortCondition ref="G4:G43"/>
  </sortState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D6:I13"/>
  <sheetViews>
    <sheetView workbookViewId="0">
      <selection activeCell="D6" sqref="D6:I6"/>
    </sheetView>
  </sheetViews>
  <sheetFormatPr defaultRowHeight="15"/>
  <cols>
    <col min="4" max="4" width="12.85546875" customWidth="1"/>
    <col min="5" max="5" width="10.42578125" customWidth="1"/>
    <col min="6" max="6" width="10.140625" customWidth="1"/>
    <col min="7" max="7" width="13.85546875" customWidth="1"/>
    <col min="8" max="8" width="13.5703125" customWidth="1"/>
  </cols>
  <sheetData>
    <row r="6" spans="4:9">
      <c r="D6" t="s">
        <v>424</v>
      </c>
      <c r="E6" t="s">
        <v>109</v>
      </c>
      <c r="F6" t="s">
        <v>108</v>
      </c>
      <c r="G6" t="s">
        <v>364</v>
      </c>
      <c r="H6" t="s">
        <v>18</v>
      </c>
      <c r="I6" t="s">
        <v>19</v>
      </c>
    </row>
    <row r="7" spans="4:9">
      <c r="D7" t="s">
        <v>79</v>
      </c>
      <c r="E7" t="s">
        <v>80</v>
      </c>
      <c r="F7" t="s">
        <v>81</v>
      </c>
      <c r="G7">
        <v>504.16</v>
      </c>
      <c r="H7">
        <v>-0.80808500000000005</v>
      </c>
      <c r="I7">
        <f>H7*-1*G7/1000*'Macromolecular Composition'!$H$5</f>
        <v>8.1480826720000017E-3</v>
      </c>
    </row>
    <row r="8" spans="4:9">
      <c r="D8" t="s">
        <v>82</v>
      </c>
      <c r="E8" t="s">
        <v>83</v>
      </c>
      <c r="F8" t="s">
        <v>84</v>
      </c>
      <c r="G8">
        <v>520.16</v>
      </c>
      <c r="H8">
        <v>-0.78689600000000004</v>
      </c>
      <c r="I8">
        <f>H8*-1*G8/1000*'Macromolecular Composition'!$H$5</f>
        <v>8.1862364672000022E-3</v>
      </c>
    </row>
    <row r="9" spans="4:9">
      <c r="D9" t="s">
        <v>85</v>
      </c>
      <c r="E9" t="s">
        <v>86</v>
      </c>
      <c r="F9" t="s">
        <v>87</v>
      </c>
      <c r="G9">
        <v>480.13</v>
      </c>
      <c r="H9">
        <v>-0.67251300000000003</v>
      </c>
      <c r="I9">
        <f>H9*-1*G9/1000*'Macromolecular Composition'!$H$5</f>
        <v>6.4578733338000018E-3</v>
      </c>
    </row>
    <row r="10" spans="4:9">
      <c r="D10" t="s">
        <v>88</v>
      </c>
      <c r="E10" t="s">
        <v>89</v>
      </c>
      <c r="F10" t="s">
        <v>90</v>
      </c>
      <c r="G10">
        <v>481.12</v>
      </c>
      <c r="H10">
        <v>-0.83972400000000003</v>
      </c>
      <c r="I10">
        <f>H10*-1*G10/1000*'Macromolecular Composition'!$H$5</f>
        <v>8.0801602176000017E-3</v>
      </c>
    </row>
    <row r="12" spans="4:9">
      <c r="D12" t="s">
        <v>91</v>
      </c>
      <c r="F12" t="s">
        <v>91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3.107218</v>
      </c>
      <c r="I13">
        <f>H13*G13/1000*'Macromolecular Composition'!$H$5</f>
        <v>1.0872155782000001E-2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D6:I13"/>
  <sheetViews>
    <sheetView workbookViewId="0">
      <selection activeCell="H17" sqref="H17"/>
    </sheetView>
  </sheetViews>
  <sheetFormatPr defaultRowHeight="15"/>
  <cols>
    <col min="4" max="4" width="12.85546875" customWidth="1"/>
    <col min="5" max="5" width="15.5703125" bestFit="1" customWidth="1"/>
    <col min="6" max="6" width="10.42578125" customWidth="1"/>
    <col min="7" max="7" width="14.140625" customWidth="1"/>
    <col min="8" max="8" width="13.85546875" customWidth="1"/>
    <col min="9" max="9" width="9.28515625" customWidth="1"/>
  </cols>
  <sheetData>
    <row r="6" spans="4:9">
      <c r="D6" s="25" t="s">
        <v>424</v>
      </c>
      <c r="E6" s="25" t="s">
        <v>109</v>
      </c>
      <c r="F6" s="25" t="s">
        <v>108</v>
      </c>
      <c r="G6" s="25" t="s">
        <v>364</v>
      </c>
      <c r="H6" s="25" t="s">
        <v>18</v>
      </c>
      <c r="I6" s="25" t="s">
        <v>19</v>
      </c>
    </row>
    <row r="7" spans="4:9">
      <c r="D7" t="s">
        <v>95</v>
      </c>
      <c r="E7" t="s">
        <v>96</v>
      </c>
      <c r="F7" t="s">
        <v>97</v>
      </c>
      <c r="G7">
        <v>488.16</v>
      </c>
      <c r="H7">
        <v>-1.0120199999999999</v>
      </c>
      <c r="I7">
        <f>H7*-1*G7*'Macromolecular Composition'!$H$6/1000</f>
        <v>4.9402768320000014E-3</v>
      </c>
    </row>
    <row r="8" spans="4:9">
      <c r="D8" t="s">
        <v>98</v>
      </c>
      <c r="E8" t="s">
        <v>99</v>
      </c>
      <c r="F8" t="s">
        <v>100</v>
      </c>
      <c r="G8">
        <v>464.13</v>
      </c>
      <c r="H8">
        <v>-0.668489</v>
      </c>
      <c r="I8">
        <f>H8*-1*G8*'Macromolecular Composition'!$H$6/1000</f>
        <v>3.1026579957000007E-3</v>
      </c>
    </row>
    <row r="9" spans="4:9">
      <c r="D9" t="s">
        <v>101</v>
      </c>
      <c r="E9" t="s">
        <v>80</v>
      </c>
      <c r="F9" t="s">
        <v>102</v>
      </c>
      <c r="G9">
        <v>504.16</v>
      </c>
      <c r="H9">
        <v>-0.72187500000000004</v>
      </c>
      <c r="I9">
        <f>H9*-1*G9*'Macromolecular Composition'!$H$6/1000</f>
        <v>3.6394050000000014E-3</v>
      </c>
    </row>
    <row r="10" spans="4:9">
      <c r="D10" t="s">
        <v>103</v>
      </c>
      <c r="E10" t="s">
        <v>104</v>
      </c>
      <c r="F10" t="s">
        <v>105</v>
      </c>
      <c r="G10">
        <v>479.14</v>
      </c>
      <c r="H10">
        <v>-0.82864800000000005</v>
      </c>
      <c r="I10">
        <f>H10*-1*G10*'Macromolecular Composition'!$H$6/1000</f>
        <v>3.9703840272000013E-3</v>
      </c>
    </row>
    <row r="12" spans="4:9">
      <c r="D12" t="s">
        <v>106</v>
      </c>
      <c r="F12" t="s">
        <v>106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3.2310319999999999</v>
      </c>
      <c r="I13">
        <f>H13*G13*'Macromolecular Composition'!$H$6/1000</f>
        <v>5.6526904840000008E-3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C1:AL222"/>
  <sheetViews>
    <sheetView workbookViewId="0">
      <selection activeCell="B23" sqref="B23"/>
    </sheetView>
  </sheetViews>
  <sheetFormatPr defaultColWidth="9.140625" defaultRowHeight="15"/>
  <cols>
    <col min="1" max="2" width="9.140625" style="8"/>
    <col min="3" max="3" width="13.5703125" style="8" customWidth="1"/>
    <col min="4" max="5" width="11" style="8" customWidth="1"/>
    <col min="6" max="6" width="13.85546875" style="8" customWidth="1"/>
    <col min="7" max="7" width="18.85546875" style="8" bestFit="1" customWidth="1"/>
    <col min="8" max="8" width="14.140625" style="8" customWidth="1"/>
    <col min="9" max="9" width="11" style="8" customWidth="1"/>
    <col min="10" max="10" width="34.28515625" style="8" bestFit="1" customWidth="1"/>
    <col min="11" max="11" width="22" style="8" bestFit="1" customWidth="1"/>
    <col min="12" max="13" width="34.28515625" style="8" bestFit="1" customWidth="1"/>
    <col min="14" max="14" width="15.140625" style="8" customWidth="1"/>
    <col min="15" max="15" width="24" style="8" bestFit="1" customWidth="1"/>
    <col min="16" max="16" width="35" style="8" customWidth="1"/>
    <col min="17" max="17" width="18.28515625" style="8" bestFit="1" customWidth="1"/>
    <col min="18" max="18" width="54.28515625" style="8" customWidth="1"/>
    <col min="19" max="19" width="24" style="8" bestFit="1" customWidth="1"/>
    <col min="20" max="20" width="18.42578125" style="8" customWidth="1"/>
    <col min="21" max="21" width="28.28515625" style="8" bestFit="1" customWidth="1"/>
    <col min="22" max="23" width="21.85546875" style="8" bestFit="1" customWidth="1"/>
    <col min="24" max="27" width="22.85546875" style="8" bestFit="1" customWidth="1"/>
    <col min="28" max="29" width="23.28515625" style="8" bestFit="1" customWidth="1"/>
    <col min="30" max="30" width="22.85546875" style="8" bestFit="1" customWidth="1"/>
    <col min="31" max="31" width="23.28515625" style="8" bestFit="1" customWidth="1"/>
    <col min="32" max="16384" width="9.140625" style="8"/>
  </cols>
  <sheetData>
    <row r="1" spans="3:30">
      <c r="C1" s="10"/>
    </row>
    <row r="2" spans="3:30">
      <c r="E2" s="11" t="s">
        <v>129</v>
      </c>
      <c r="F2" s="11" t="s">
        <v>130</v>
      </c>
      <c r="G2" s="8" t="s">
        <v>444</v>
      </c>
    </row>
    <row r="3" spans="3:30">
      <c r="C3" s="8" t="s">
        <v>107</v>
      </c>
      <c r="D3" s="8" t="s">
        <v>108</v>
      </c>
      <c r="E3" s="8" t="s">
        <v>439</v>
      </c>
      <c r="F3" s="8" t="s">
        <v>440</v>
      </c>
      <c r="G3" s="8" t="s">
        <v>447</v>
      </c>
      <c r="H3" s="8" t="s">
        <v>132</v>
      </c>
      <c r="I3" s="8" t="s">
        <v>448</v>
      </c>
      <c r="J3" s="8" t="s">
        <v>449</v>
      </c>
      <c r="K3" s="8" t="s">
        <v>450</v>
      </c>
      <c r="L3" s="8" t="s">
        <v>133</v>
      </c>
      <c r="M3" s="8" t="s">
        <v>134</v>
      </c>
      <c r="N3" s="8" t="s">
        <v>135</v>
      </c>
      <c r="O3" s="8" t="s">
        <v>136</v>
      </c>
      <c r="P3" s="8" t="s">
        <v>137</v>
      </c>
      <c r="Q3" s="8" t="s">
        <v>138</v>
      </c>
      <c r="R3" s="8" t="s">
        <v>139</v>
      </c>
    </row>
    <row r="4" spans="3:30">
      <c r="C4" s="8" t="s">
        <v>114</v>
      </c>
      <c r="E4" s="8">
        <f>31*0.4</f>
        <v>12.4</v>
      </c>
      <c r="F4" s="8">
        <f>2</f>
        <v>2</v>
      </c>
      <c r="G4" s="8">
        <f>AVERAGE(21.3*0.8, 24.6*0.8)</f>
        <v>18.360000000000003</v>
      </c>
      <c r="H4" s="8">
        <f t="shared" ref="H4:J6" si="0">E4/E$16</f>
        <v>0.12365870198252824</v>
      </c>
      <c r="I4" s="8">
        <f t="shared" si="0"/>
        <v>3.8461538461538464E-2</v>
      </c>
      <c r="J4" s="8">
        <f t="shared" si="0"/>
        <v>0.18360000000000004</v>
      </c>
      <c r="K4" s="8">
        <f>AVERAGE(H4:J4)</f>
        <v>0.11524008014802224</v>
      </c>
      <c r="L4" s="8">
        <f t="shared" ref="L4:L15" si="1">K4/$K$16</f>
        <v>9.7202643468335001E-2</v>
      </c>
      <c r="M4" s="8">
        <f>173.1 + (3*(Q40-45.02))</f>
        <v>904.78210781953521</v>
      </c>
      <c r="N4" s="8">
        <f t="shared" ref="N4:N15" si="2">M4*L4</f>
        <v>87.947212642910912</v>
      </c>
      <c r="O4" s="8">
        <f t="shared" ref="O4:O15" si="3">N4/$N$16</f>
        <v>0.11763079217481295</v>
      </c>
      <c r="P4" s="15">
        <f t="shared" ref="P4:P15" si="4">L4/$N$16*1000</f>
        <v>0.13001007773937456</v>
      </c>
      <c r="Q4" s="8">
        <f>P4*'Macromolecular Composition'!$H$7</f>
        <v>1.4431118629070578E-2</v>
      </c>
      <c r="R4" s="8">
        <f>O4*'Macromolecular Composition'!$H$7</f>
        <v>1.3057017931404239E-2</v>
      </c>
      <c r="T4" s="8">
        <f>0.2-R16+Table8[[#This Row],[g M / g DW]]</f>
        <v>0.10205701793140423</v>
      </c>
    </row>
    <row r="5" spans="3:30">
      <c r="C5" s="8" t="s">
        <v>115</v>
      </c>
      <c r="E5" s="8">
        <f>31*0.2</f>
        <v>6.2</v>
      </c>
      <c r="F5" s="8">
        <f>10+4</f>
        <v>14</v>
      </c>
      <c r="G5" s="8">
        <f>AVERAGE(21.3*0.2,24.6*0.2)</f>
        <v>4.5900000000000007</v>
      </c>
      <c r="H5" s="8">
        <f t="shared" si="0"/>
        <v>6.1829350991264118E-2</v>
      </c>
      <c r="I5" s="8">
        <f t="shared" si="0"/>
        <v>0.26923076923076922</v>
      </c>
      <c r="J5" s="8">
        <f t="shared" si="0"/>
        <v>4.590000000000001E-2</v>
      </c>
      <c r="K5" s="8">
        <f t="shared" ref="K5:K14" si="5">AVERAGE(H5:J5)</f>
        <v>0.12565337340734445</v>
      </c>
      <c r="L5" s="8">
        <f t="shared" si="1"/>
        <v>0.10598604270510205</v>
      </c>
      <c r="M5" s="8">
        <f>146.1 + (2*(Q63-45.02))</f>
        <v>637.63952702121287</v>
      </c>
      <c r="N5" s="8">
        <f>M5*L5</f>
        <v>67.580890141331338</v>
      </c>
      <c r="O5" s="8">
        <f t="shared" si="3"/>
        <v>9.0390512721321578E-2</v>
      </c>
      <c r="P5" s="15">
        <f t="shared" si="4"/>
        <v>0.14175801356542078</v>
      </c>
      <c r="Q5" s="8">
        <f>P5*'Macromolecular Composition'!$H$7</f>
        <v>1.5735139505761709E-2</v>
      </c>
      <c r="R5" s="8">
        <f>O5*'Macromolecular Composition'!$H$7</f>
        <v>1.0033346912066697E-2</v>
      </c>
      <c r="T5" s="8">
        <f>T4+SUM(R5:R15)</f>
        <v>0.2</v>
      </c>
    </row>
    <row r="6" spans="3:30">
      <c r="C6" s="8" t="s">
        <v>116</v>
      </c>
      <c r="E6" s="8">
        <f>31*0.4</f>
        <v>12.4</v>
      </c>
      <c r="F6" s="8">
        <v>4</v>
      </c>
      <c r="G6" s="8">
        <f>AVERAGE(14,7.2)</f>
        <v>10.6</v>
      </c>
      <c r="H6" s="8">
        <f t="shared" si="0"/>
        <v>0.12365870198252824</v>
      </c>
      <c r="I6" s="8">
        <f t="shared" si="0"/>
        <v>7.6923076923076927E-2</v>
      </c>
      <c r="J6" s="8">
        <f t="shared" si="0"/>
        <v>0.106</v>
      </c>
      <c r="K6" s="8">
        <f t="shared" si="5"/>
        <v>0.1021939263018684</v>
      </c>
      <c r="L6" s="8">
        <f t="shared" si="1"/>
        <v>8.619848033939688E-2</v>
      </c>
      <c r="M6" s="8">
        <f>U86</f>
        <v>269.87728624022787</v>
      </c>
      <c r="N6" s="8">
        <f t="shared" si="2"/>
        <v>23.263011952028066</v>
      </c>
      <c r="O6" s="8">
        <f t="shared" si="3"/>
        <v>3.111464754886439E-2</v>
      </c>
      <c r="P6" s="15">
        <f t="shared" si="4"/>
        <v>0.11529183497557509</v>
      </c>
      <c r="Q6" s="8">
        <f>P6*'Macromolecular Composition'!$H$7</f>
        <v>1.2797393682288837E-2</v>
      </c>
      <c r="R6" s="8">
        <f>O6*'Macromolecular Composition'!$H$7</f>
        <v>3.4537258779239479E-3</v>
      </c>
    </row>
    <row r="7" spans="3:30">
      <c r="C7" s="8" t="s">
        <v>117</v>
      </c>
      <c r="E7" s="8">
        <f>8.8*0.69</f>
        <v>6.0720000000000001</v>
      </c>
      <c r="G7" s="8">
        <f>AVERAGE(14.3,14)</f>
        <v>14.15</v>
      </c>
      <c r="H7" s="8">
        <f t="shared" ref="H7:H15" si="6">E7/E$16</f>
        <v>6.0552874067573502E-2</v>
      </c>
      <c r="J7" s="8">
        <f>G7/G$16</f>
        <v>0.14150000000000001</v>
      </c>
      <c r="K7" s="8">
        <f t="shared" si="5"/>
        <v>0.10102643703378676</v>
      </c>
      <c r="L7" s="8">
        <f t="shared" si="1"/>
        <v>8.5213727092673344E-2</v>
      </c>
      <c r="M7" s="8">
        <f>372.3+(2*(Q99-45.02))</f>
        <v>810.19920337291603</v>
      </c>
      <c r="N7" s="8">
        <f t="shared" si="2"/>
        <v>69.040093806921021</v>
      </c>
      <c r="O7" s="8">
        <f t="shared" si="3"/>
        <v>9.2342220774021766E-2</v>
      </c>
      <c r="P7" s="15">
        <f t="shared" si="4"/>
        <v>0.11397471188516926</v>
      </c>
      <c r="Q7" s="8">
        <f>P7*'Macromolecular Composition'!$H$7</f>
        <v>1.2651193019253789E-2</v>
      </c>
      <c r="R7" s="8">
        <f>O7*'Macromolecular Composition'!$H$7</f>
        <v>1.0249986505916417E-2</v>
      </c>
    </row>
    <row r="8" spans="3:30">
      <c r="C8" s="8" t="s">
        <v>118</v>
      </c>
      <c r="E8" s="8">
        <f>14.1*0.69</f>
        <v>9.7289999999999992</v>
      </c>
      <c r="F8" s="8">
        <v>18</v>
      </c>
      <c r="G8" s="8">
        <f>AVERAGE(4.4,3.1)</f>
        <v>3.75</v>
      </c>
      <c r="H8" s="8">
        <f t="shared" si="6"/>
        <v>9.7022218676452984E-2</v>
      </c>
      <c r="I8" s="8">
        <f>F8/F$16</f>
        <v>0.34615384615384615</v>
      </c>
      <c r="J8" s="8">
        <f>G8/G$16</f>
        <v>3.7499999999999999E-2</v>
      </c>
      <c r="K8" s="8">
        <f t="shared" si="5"/>
        <v>0.16022535494343304</v>
      </c>
      <c r="L8" s="8">
        <f t="shared" si="1"/>
        <v>0.1351467998907083</v>
      </c>
      <c r="M8" s="8">
        <f>300.156+(2*(Q141-45.02))</f>
        <v>733.88713598448726</v>
      </c>
      <c r="N8" s="8">
        <f t="shared" si="2"/>
        <v>99.182497909260533</v>
      </c>
      <c r="O8" s="8">
        <f t="shared" si="3"/>
        <v>0.13265816446410678</v>
      </c>
      <c r="P8" s="15">
        <f t="shared" si="4"/>
        <v>0.18076098893074324</v>
      </c>
      <c r="Q8" s="8">
        <f>P8*'Macromolecular Composition'!$H$7</f>
        <v>2.0064469771312501E-2</v>
      </c>
      <c r="R8" s="8">
        <f>O8*'Macromolecular Composition'!$H$7</f>
        <v>1.4725056255515854E-2</v>
      </c>
    </row>
    <row r="9" spans="3:30">
      <c r="C9" s="8" t="s">
        <v>119</v>
      </c>
      <c r="E9" s="8">
        <f>4.5*0.69</f>
        <v>3.1049999999999995</v>
      </c>
      <c r="F9" s="8">
        <v>3</v>
      </c>
      <c r="G9" s="8">
        <f>AVERAGE(0.9,1.9)</f>
        <v>1.4</v>
      </c>
      <c r="H9" s="8">
        <f t="shared" si="6"/>
        <v>3.0964537875463716E-2</v>
      </c>
      <c r="I9" s="8">
        <f>F9/F$16</f>
        <v>5.7692307692307696E-2</v>
      </c>
      <c r="J9" s="8">
        <f>G9/G$16</f>
        <v>1.3999999999999999E-2</v>
      </c>
      <c r="K9" s="8">
        <f t="shared" si="5"/>
        <v>3.421894852259047E-2</v>
      </c>
      <c r="L9" s="8">
        <f t="shared" si="1"/>
        <v>2.8862981081150822E-2</v>
      </c>
      <c r="M9" s="8">
        <f>311.22+(2*(Q156-45.02))</f>
        <v>756.23155937881529</v>
      </c>
      <c r="N9" s="8">
        <f t="shared" si="2"/>
        <v>21.827097191319929</v>
      </c>
      <c r="O9" s="8">
        <f t="shared" si="3"/>
        <v>2.9194088775917081E-2</v>
      </c>
      <c r="P9" s="15">
        <f t="shared" si="4"/>
        <v>3.8604695101455075E-2</v>
      </c>
      <c r="Q9" s="8">
        <f>P9*'Macromolecular Composition'!$H$7</f>
        <v>4.2851211562615135E-3</v>
      </c>
      <c r="R9" s="8">
        <f>O9*'Macromolecular Composition'!$H$7</f>
        <v>3.2405438541267964E-3</v>
      </c>
    </row>
    <row r="10" spans="3:30">
      <c r="C10" s="8" t="s">
        <v>120</v>
      </c>
      <c r="E10" s="8">
        <f>4.2*0.69</f>
        <v>2.8979999999999997</v>
      </c>
      <c r="F10" s="8">
        <v>4</v>
      </c>
      <c r="G10" s="8">
        <f>AVERAGE(1.1,0.7)</f>
        <v>0.9</v>
      </c>
      <c r="H10" s="8">
        <f t="shared" si="6"/>
        <v>2.8900235350432804E-2</v>
      </c>
      <c r="I10" s="8">
        <f>F10/F$16</f>
        <v>7.6923076923076927E-2</v>
      </c>
      <c r="J10" s="8">
        <f>G10/G$16</f>
        <v>9.0000000000000011E-3</v>
      </c>
      <c r="K10" s="8">
        <f t="shared" si="5"/>
        <v>3.827443742450324E-2</v>
      </c>
      <c r="L10" s="8">
        <f t="shared" si="1"/>
        <v>3.2283702772042337E-2</v>
      </c>
      <c r="M10" s="8">
        <f>269.15+(2*(Q170-45.02))</f>
        <v>708.63378448872459</v>
      </c>
      <c r="N10" s="8">
        <f t="shared" si="2"/>
        <v>22.87732247266149</v>
      </c>
      <c r="O10" s="8">
        <f t="shared" si="3"/>
        <v>3.059878175132523E-2</v>
      </c>
      <c r="P10" s="15">
        <f t="shared" si="4"/>
        <v>4.3179964632087196E-2</v>
      </c>
      <c r="Q10" s="8">
        <f>P10*'Macromolecular Composition'!$H$7</f>
        <v>4.7929760741616794E-3</v>
      </c>
      <c r="R10" s="8">
        <f>O10*'Macromolecular Composition'!$H$7</f>
        <v>3.3964647743971008E-3</v>
      </c>
      <c r="AC10" s="8" t="s">
        <v>214</v>
      </c>
      <c r="AD10" s="8" t="s">
        <v>215</v>
      </c>
    </row>
    <row r="11" spans="3:30">
      <c r="C11" s="8" t="s">
        <v>121</v>
      </c>
      <c r="E11" s="8">
        <f>0.1*0.69</f>
        <v>6.8999999999999992E-2</v>
      </c>
      <c r="F11" s="8">
        <v>3</v>
      </c>
      <c r="H11" s="8">
        <f t="shared" si="6"/>
        <v>6.8810084167697147E-4</v>
      </c>
      <c r="I11" s="8">
        <f>F11/F$16</f>
        <v>5.7692307692307696E-2</v>
      </c>
      <c r="K11" s="8">
        <f t="shared" si="5"/>
        <v>2.9190204266992332E-2</v>
      </c>
      <c r="L11" s="8">
        <f t="shared" si="1"/>
        <v>2.4621338465643385E-2</v>
      </c>
      <c r="M11" s="8">
        <f>388.22+(2*(M184-45.02))</f>
        <v>837.12600991874547</v>
      </c>
      <c r="N11" s="8">
        <f>M11*L11</f>
        <v>20.611162828602975</v>
      </c>
      <c r="O11" s="8">
        <f t="shared" si="3"/>
        <v>2.7567757275227946E-2</v>
      </c>
      <c r="P11" s="15">
        <f t="shared" si="4"/>
        <v>3.2931430810403055E-2</v>
      </c>
      <c r="Q11" s="8">
        <f>P11*'Macromolecular Composition'!$H$7</f>
        <v>3.6553888199547394E-3</v>
      </c>
      <c r="R11" s="8">
        <f>O11*'Macromolecular Composition'!$H$7</f>
        <v>3.0600210575503026E-3</v>
      </c>
      <c r="U11" s="8" t="s">
        <v>434</v>
      </c>
      <c r="V11" s="9" t="s">
        <v>435</v>
      </c>
      <c r="W11" s="9">
        <v>1.3286262250593499E-3</v>
      </c>
      <c r="Y11" s="8" t="s">
        <v>435</v>
      </c>
      <c r="Z11" s="8">
        <f>W11+W12</f>
        <v>2.6572524501186998E-3</v>
      </c>
      <c r="AA11" s="8">
        <f t="shared" ref="AA11:AA22" si="7">Z11*$Q$4</f>
        <v>3.834712533505141E-5</v>
      </c>
      <c r="AB11" s="8">
        <f>AA11/$Z$23</f>
        <v>9.1461474147158444E-4</v>
      </c>
      <c r="AC11" s="15">
        <f>AB11*0.25*$U$12</f>
        <v>6.7698634525863304E-5</v>
      </c>
      <c r="AD11" s="15">
        <f>AB11*$U$12</f>
        <v>2.7079453810345322E-4</v>
      </c>
    </row>
    <row r="12" spans="3:30">
      <c r="C12" s="8" t="s">
        <v>122</v>
      </c>
      <c r="E12" s="8">
        <f>27.5*0.69</f>
        <v>18.974999999999998</v>
      </c>
      <c r="G12" s="8">
        <f>AVERAGE(22,24.3)</f>
        <v>23.15</v>
      </c>
      <c r="H12" s="8">
        <f t="shared" si="6"/>
        <v>0.18922773146116717</v>
      </c>
      <c r="J12" s="8">
        <f>G12/G$16</f>
        <v>0.23149999999999998</v>
      </c>
      <c r="K12" s="8">
        <f t="shared" si="5"/>
        <v>0.21036386573058358</v>
      </c>
      <c r="L12" s="8">
        <f t="shared" si="1"/>
        <v>0.17743760515409135</v>
      </c>
      <c r="M12" s="8">
        <f>308.24+(2*(T114-45.02))</f>
        <v>743.45025968750429</v>
      </c>
      <c r="N12" s="8">
        <f t="shared" si="2"/>
        <v>131.91603363013806</v>
      </c>
      <c r="O12" s="8">
        <f t="shared" si="3"/>
        <v>0.17643978780177072</v>
      </c>
      <c r="P12" s="15">
        <f t="shared" si="4"/>
        <v>0.23732561190567605</v>
      </c>
      <c r="Q12" s="8">
        <f>P12*'Macromolecular Composition'!$H$7</f>
        <v>2.6343142921530047E-2</v>
      </c>
      <c r="R12" s="8">
        <f>O12*'Macromolecular Composition'!$H$7</f>
        <v>1.9584816445996554E-2</v>
      </c>
      <c r="U12" s="8">
        <v>0.29607497651716602</v>
      </c>
      <c r="V12" s="9" t="s">
        <v>435</v>
      </c>
      <c r="W12" s="9">
        <v>1.3286262250593499E-3</v>
      </c>
      <c r="Y12" s="8" t="s">
        <v>126</v>
      </c>
      <c r="Z12" s="8">
        <f>W16+W17</f>
        <v>2.5767671276497599E-3</v>
      </c>
      <c r="AA12" s="8">
        <f t="shared" si="7"/>
        <v>3.7185632098603132E-5</v>
      </c>
      <c r="AB12" s="8">
        <f t="shared" ref="AB12:AB22" si="8">AA12/$Z$23</f>
        <v>8.8691204337118437E-4</v>
      </c>
      <c r="AC12" s="15">
        <f t="shared" ref="AC12:AC22" si="9">AB12*0.25*$U$12</f>
        <v>6.5648115603478781E-5</v>
      </c>
      <c r="AD12" s="15">
        <f t="shared" ref="AD12:AD22" si="10">AB12*$U$12</f>
        <v>2.6259246241391512E-4</v>
      </c>
    </row>
    <row r="13" spans="3:30">
      <c r="C13" s="8" t="s">
        <v>123</v>
      </c>
      <c r="E13" s="8">
        <f>24.8*0.69</f>
        <v>17.111999999999998</v>
      </c>
      <c r="G13" s="8">
        <f>AVERAGE(18.7,14.9)</f>
        <v>16.8</v>
      </c>
      <c r="H13" s="8">
        <f t="shared" si="6"/>
        <v>0.17064900873588892</v>
      </c>
      <c r="J13" s="8">
        <f>G13/G$16</f>
        <v>0.16800000000000001</v>
      </c>
      <c r="K13" s="8">
        <f t="shared" si="5"/>
        <v>0.16932450436794447</v>
      </c>
      <c r="L13" s="8">
        <f t="shared" si="1"/>
        <v>0.14282174576231677</v>
      </c>
      <c r="M13" s="8">
        <f>470.38+(2*(T128-45.02))</f>
        <v>906.4495413625425</v>
      </c>
      <c r="N13" s="8">
        <f t="shared" si="2"/>
        <v>129.46070594284967</v>
      </c>
      <c r="O13" s="8">
        <f t="shared" si="3"/>
        <v>0.17315574806674033</v>
      </c>
      <c r="P13" s="15">
        <f t="shared" si="4"/>
        <v>0.19102635079549912</v>
      </c>
      <c r="Q13" s="8">
        <f>P13*'Macromolecular Composition'!$H$7</f>
        <v>2.1203924938300405E-2</v>
      </c>
      <c r="R13" s="8">
        <f>O13*'Macromolecular Composition'!$H$7</f>
        <v>1.9220288035408178E-2</v>
      </c>
      <c r="U13" s="9"/>
      <c r="V13" s="9" t="s">
        <v>436</v>
      </c>
      <c r="W13" s="9">
        <v>1.2853623140147701E-3</v>
      </c>
      <c r="Y13" s="8" t="s">
        <v>436</v>
      </c>
      <c r="Z13" s="8">
        <f>W14</f>
        <v>1.2883835638248799E-3</v>
      </c>
      <c r="AA13" s="8">
        <f t="shared" si="7"/>
        <v>1.8592816049301566E-5</v>
      </c>
      <c r="AB13" s="8">
        <f t="shared" si="8"/>
        <v>4.4345602168559218E-4</v>
      </c>
      <c r="AC13" s="15">
        <f t="shared" si="9"/>
        <v>3.2824057801739391E-5</v>
      </c>
      <c r="AD13" s="15">
        <f t="shared" si="10"/>
        <v>1.3129623120695756E-4</v>
      </c>
    </row>
    <row r="14" spans="3:30">
      <c r="C14" s="8" t="s">
        <v>124</v>
      </c>
      <c r="E14" s="8">
        <f>13*0.69</f>
        <v>8.9699999999999989</v>
      </c>
      <c r="F14" s="8">
        <v>4</v>
      </c>
      <c r="G14" s="8">
        <f>AVERAGE(3.3,9.3)</f>
        <v>6.3000000000000007</v>
      </c>
      <c r="H14" s="8">
        <f t="shared" si="6"/>
        <v>8.9453109418006299E-2</v>
      </c>
      <c r="I14" s="8">
        <f>F14/F$16</f>
        <v>7.6923076923076927E-2</v>
      </c>
      <c r="J14" s="8">
        <f>G14/G$16</f>
        <v>6.3E-2</v>
      </c>
      <c r="K14" s="8">
        <f t="shared" si="5"/>
        <v>7.6458728780361071E-2</v>
      </c>
      <c r="L14" s="8">
        <f t="shared" si="1"/>
        <v>6.449136918451813E-2</v>
      </c>
      <c r="M14" s="8">
        <f>289.28+(2*(O198-45.02))</f>
        <v>726.03847122233083</v>
      </c>
      <c r="N14" s="8">
        <f t="shared" si="2"/>
        <v>46.823215089762478</v>
      </c>
      <c r="O14" s="8">
        <f t="shared" si="3"/>
        <v>6.2626793023489682E-2</v>
      </c>
      <c r="P14" s="15">
        <f t="shared" si="4"/>
        <v>8.6258229426952521E-2</v>
      </c>
      <c r="Q14" s="8">
        <f>P14*'Macromolecular Composition'!$H$7</f>
        <v>9.5746634663917314E-3</v>
      </c>
      <c r="R14" s="8">
        <f>O14*'Macromolecular Composition'!$H$7</f>
        <v>6.9515740256073559E-3</v>
      </c>
      <c r="U14" s="9"/>
      <c r="V14" s="9" t="s">
        <v>127</v>
      </c>
      <c r="W14" s="9">
        <v>1.2883835638248799E-3</v>
      </c>
      <c r="Y14" s="8" t="s">
        <v>437</v>
      </c>
      <c r="Z14" s="8">
        <f>W19</f>
        <v>1.2853623140147701E-3</v>
      </c>
      <c r="AA14" s="8">
        <f t="shared" si="7"/>
        <v>1.8549216034883814E-5</v>
      </c>
      <c r="AB14" s="8">
        <f t="shared" si="8"/>
        <v>4.4241612063521541E-4</v>
      </c>
      <c r="AC14" s="15">
        <f t="shared" si="9"/>
        <v>3.2747085631971772E-5</v>
      </c>
      <c r="AD14" s="15">
        <f t="shared" si="10"/>
        <v>1.3098834252788709E-4</v>
      </c>
    </row>
    <row r="15" spans="3:30">
      <c r="C15" s="8" t="s">
        <v>146</v>
      </c>
      <c r="E15" s="8">
        <f>3.4*0.69</f>
        <v>2.3459999999999996</v>
      </c>
      <c r="H15" s="8">
        <f t="shared" si="6"/>
        <v>2.3395428617017031E-2</v>
      </c>
      <c r="K15" s="8">
        <f>AVERAGE(H15:J15)</f>
        <v>2.3395428617017031E-2</v>
      </c>
      <c r="L15" s="8">
        <f t="shared" si="1"/>
        <v>1.9733564084021653E-2</v>
      </c>
      <c r="M15" s="8">
        <f>508.22+(4*(I211-45.02))</f>
        <v>1374.5838991999999</v>
      </c>
      <c r="N15" s="8">
        <f t="shared" si="2"/>
        <v>27.12543946372756</v>
      </c>
      <c r="O15" s="8">
        <f t="shared" si="3"/>
        <v>3.6280705622401592E-2</v>
      </c>
      <c r="P15" s="15">
        <f t="shared" si="4"/>
        <v>2.6393955031422063E-2</v>
      </c>
      <c r="Q15" s="8">
        <f>P15*'Macromolecular Composition'!$H$7</f>
        <v>2.9297290084878496E-3</v>
      </c>
      <c r="R15" s="8">
        <f>O15*'Macromolecular Composition'!$H$7</f>
        <v>4.0271583240865773E-3</v>
      </c>
      <c r="U15" s="9"/>
      <c r="V15" s="9" t="s">
        <v>127</v>
      </c>
      <c r="W15" s="9">
        <v>1.2883835638248799E-3</v>
      </c>
      <c r="Y15" s="8" t="s">
        <v>127</v>
      </c>
      <c r="Z15" s="8">
        <f>W16+W17+W18+W19</f>
        <v>5.1474917556793001E-3</v>
      </c>
      <c r="AA15" s="8">
        <f t="shared" si="7"/>
        <v>7.4284064168370767E-5</v>
      </c>
      <c r="AB15" s="8">
        <f t="shared" si="8"/>
        <v>1.7717442846416152E-3</v>
      </c>
      <c r="AC15" s="15">
        <f t="shared" si="9"/>
        <v>1.3114228686742234E-4</v>
      </c>
      <c r="AD15" s="15">
        <f t="shared" si="10"/>
        <v>5.2456914746968936E-4</v>
      </c>
    </row>
    <row r="16" spans="3:30">
      <c r="C16" s="8" t="s">
        <v>125</v>
      </c>
      <c r="E16" s="8">
        <f>SUM(E4:E15)</f>
        <v>100.276</v>
      </c>
      <c r="F16" s="8">
        <f>SUM(F4:F14)</f>
        <v>52</v>
      </c>
      <c r="G16" s="8">
        <f>SUM(G4:G14)</f>
        <v>100</v>
      </c>
      <c r="H16" s="8">
        <f>SUM(H4:H15)</f>
        <v>1</v>
      </c>
      <c r="I16" s="8">
        <f>SUM(I4:I14)</f>
        <v>1</v>
      </c>
      <c r="J16" s="8">
        <f>SUM(J4:J14)</f>
        <v>1.0000000000000002</v>
      </c>
      <c r="K16" s="8">
        <f>SUM(K4:K15)</f>
        <v>1.1855652895444471</v>
      </c>
      <c r="L16" s="8">
        <f t="shared" ref="L16:R16" si="11">SUM(L4:L15)</f>
        <v>0.99999999999999989</v>
      </c>
      <c r="M16" s="8">
        <f t="shared" si="11"/>
        <v>9408.8987856970416</v>
      </c>
      <c r="N16" s="8">
        <f t="shared" si="11"/>
        <v>747.654683071514</v>
      </c>
      <c r="O16" s="8">
        <f t="shared" si="11"/>
        <v>1</v>
      </c>
      <c r="P16" s="8">
        <f t="shared" si="11"/>
        <v>1.3375158647997778</v>
      </c>
      <c r="Q16" s="8">
        <f>SUM(Q4:Q15)</f>
        <v>0.14846426099277538</v>
      </c>
      <c r="R16" s="8">
        <f t="shared" si="11"/>
        <v>0.11100000000000002</v>
      </c>
      <c r="U16" s="9"/>
      <c r="V16" s="9" t="s">
        <v>127</v>
      </c>
      <c r="W16" s="9">
        <v>1.2883835638248799E-3</v>
      </c>
      <c r="Y16" s="8" t="s">
        <v>128</v>
      </c>
      <c r="Z16" s="8">
        <f>SUM(W20:W23)</f>
        <v>4.9906425264376799E-3</v>
      </c>
      <c r="AA16" s="8">
        <f t="shared" si="7"/>
        <v>7.2020554334306652E-5</v>
      </c>
      <c r="AB16" s="8">
        <f t="shared" si="8"/>
        <v>1.7177574618064595E-3</v>
      </c>
      <c r="AC16" s="15">
        <f t="shared" si="9"/>
        <v>1.2714625004163355E-4</v>
      </c>
      <c r="AD16" s="15">
        <f t="shared" si="10"/>
        <v>5.085850001665342E-4</v>
      </c>
    </row>
    <row r="17" spans="3:30">
      <c r="U17" s="9"/>
      <c r="V17" s="9" t="s">
        <v>127</v>
      </c>
      <c r="W17" s="9">
        <v>1.2883835638248799E-3</v>
      </c>
      <c r="Y17" s="8" t="s">
        <v>131</v>
      </c>
      <c r="Z17" s="8">
        <f>W24+W29+W30</f>
        <v>3.8651506914746401E-3</v>
      </c>
      <c r="AA17" s="8">
        <f t="shared" si="7"/>
        <v>5.5778448147904705E-5</v>
      </c>
      <c r="AB17" s="8">
        <f t="shared" si="8"/>
        <v>1.3303680650567768E-3</v>
      </c>
      <c r="AC17" s="15">
        <f t="shared" si="9"/>
        <v>9.8472173405218192E-5</v>
      </c>
      <c r="AD17" s="15">
        <f t="shared" si="10"/>
        <v>3.9388869362087277E-4</v>
      </c>
    </row>
    <row r="18" spans="3:30">
      <c r="C18" s="8" t="s">
        <v>114</v>
      </c>
      <c r="G18" s="8" t="s">
        <v>130</v>
      </c>
      <c r="H18" s="8" t="s">
        <v>147</v>
      </c>
      <c r="U18" s="9"/>
      <c r="V18" s="9" t="s">
        <v>126</v>
      </c>
      <c r="W18" s="9">
        <v>1.2853623140147701E-3</v>
      </c>
      <c r="Y18" s="8" t="s">
        <v>140</v>
      </c>
      <c r="Z18" s="8">
        <f>W25+W31</f>
        <v>2.49532126321884E-3</v>
      </c>
      <c r="AA18" s="8">
        <f t="shared" si="7"/>
        <v>3.6010277167153326E-5</v>
      </c>
      <c r="AB18" s="8">
        <f t="shared" si="8"/>
        <v>8.5887873090322974E-4</v>
      </c>
      <c r="AC18" s="15">
        <f t="shared" si="9"/>
        <v>6.3573125020816774E-5</v>
      </c>
      <c r="AD18" s="15">
        <f t="shared" si="10"/>
        <v>2.542925000832671E-4</v>
      </c>
    </row>
    <row r="19" spans="3:30">
      <c r="C19" s="8" t="s">
        <v>107</v>
      </c>
      <c r="D19" s="8" t="s">
        <v>108</v>
      </c>
      <c r="E19" s="8" t="s">
        <v>109</v>
      </c>
      <c r="F19" s="8" t="s">
        <v>110</v>
      </c>
      <c r="G19" s="8" t="s">
        <v>148</v>
      </c>
      <c r="H19" s="8" t="s">
        <v>149</v>
      </c>
      <c r="O19" s="8" t="s">
        <v>150</v>
      </c>
      <c r="P19" s="8" t="s">
        <v>151</v>
      </c>
      <c r="R19" s="8" t="s">
        <v>152</v>
      </c>
      <c r="S19" s="8" t="s">
        <v>138</v>
      </c>
      <c r="U19" s="9"/>
      <c r="V19" s="9" t="s">
        <v>141</v>
      </c>
      <c r="W19" s="9">
        <v>1.2853623140147701E-3</v>
      </c>
      <c r="Y19" s="8" t="s">
        <v>142</v>
      </c>
      <c r="Z19" s="8">
        <f>SUM(W26:W28,W32:W35)</f>
        <v>8.7535493397576693E-3</v>
      </c>
      <c r="AA19" s="8">
        <f t="shared" si="7"/>
        <v>1.2632350894746535E-4</v>
      </c>
      <c r="AB19" s="8">
        <f t="shared" si="8"/>
        <v>3.0129336284866661E-3</v>
      </c>
      <c r="AC19" s="15">
        <f t="shared" si="9"/>
        <v>2.2301356332549236E-4</v>
      </c>
      <c r="AD19" s="15">
        <f t="shared" si="10"/>
        <v>8.9205425330196944E-4</v>
      </c>
    </row>
    <row r="20" spans="3:30">
      <c r="C20" s="8" t="s">
        <v>153</v>
      </c>
      <c r="D20" s="8" t="s">
        <v>154</v>
      </c>
      <c r="E20" s="8" t="s">
        <v>155</v>
      </c>
      <c r="F20" s="8">
        <v>200.31780000000001</v>
      </c>
      <c r="G20" s="8">
        <v>2.39</v>
      </c>
      <c r="I20" s="8">
        <f>6.87+2.43+3.69</f>
        <v>12.99</v>
      </c>
      <c r="J20" s="8">
        <f>0.54+0.26+0.46</f>
        <v>1.26</v>
      </c>
      <c r="K20" s="8">
        <f>G20/G$40</f>
        <v>2.8240576627673406E-2</v>
      </c>
      <c r="M20" s="8">
        <f>I20/I$40</f>
        <v>0.12990000000000002</v>
      </c>
      <c r="N20" s="8">
        <f>J20/J$40</f>
        <v>1.4269535673839186E-2</v>
      </c>
      <c r="O20" s="8">
        <f>AVERAGE($K20:$N20)</f>
        <v>5.747003743383753E-2</v>
      </c>
      <c r="P20" s="15">
        <f>O20/$O$40</f>
        <v>4.0633443908900412E-2</v>
      </c>
      <c r="Q20" s="8">
        <f>P20*F20</f>
        <v>8.1396020902543302</v>
      </c>
      <c r="R20" s="8">
        <f>P20/$Q$40*1000</f>
        <v>0.14064198638435385</v>
      </c>
      <c r="S20" s="8">
        <f t="shared" ref="S20:S39" si="12">R20*$R$4</f>
        <v>1.836364938128819E-3</v>
      </c>
      <c r="U20" s="9"/>
      <c r="V20" s="9" t="s">
        <v>128</v>
      </c>
      <c r="W20" s="9">
        <v>1.24766063160942E-3</v>
      </c>
      <c r="Y20" s="8" t="s">
        <v>143</v>
      </c>
      <c r="Z20" s="8">
        <f>SUM(W36:W37)</f>
        <v>2.5889074796938399E-3</v>
      </c>
      <c r="AA20" s="8">
        <f t="shared" si="7"/>
        <v>3.7360830959149933E-5</v>
      </c>
      <c r="AB20" s="8">
        <f t="shared" si="8"/>
        <v>8.9109069976706968E-4</v>
      </c>
      <c r="AC20" s="15">
        <f t="shared" si="9"/>
        <v>6.5957414502050053E-5</v>
      </c>
      <c r="AD20" s="15">
        <f t="shared" si="10"/>
        <v>2.6382965800820021E-4</v>
      </c>
    </row>
    <row r="21" spans="3:30">
      <c r="C21" s="8" t="s">
        <v>156</v>
      </c>
      <c r="D21" s="8" t="s">
        <v>157</v>
      </c>
      <c r="E21" s="8" t="s">
        <v>158</v>
      </c>
      <c r="F21" s="8">
        <v>228.37090000000001</v>
      </c>
      <c r="G21" s="8">
        <f>4.23+0.17</f>
        <v>4.4000000000000004</v>
      </c>
      <c r="H21" s="8">
        <f>4.6+0.4+2.5</f>
        <v>7.5</v>
      </c>
      <c r="I21" s="8">
        <f>2.77+2.22</f>
        <v>4.99</v>
      </c>
      <c r="J21" s="8">
        <v>1.29</v>
      </c>
      <c r="K21" s="8">
        <f>G21/G$40</f>
        <v>5.1991019732955224E-2</v>
      </c>
      <c r="L21" s="8">
        <f>H21/H$40</f>
        <v>7.5075075075075076E-2</v>
      </c>
      <c r="M21" s="8">
        <f t="shared" ref="M21:M39" si="13">I21/I$40</f>
        <v>4.99E-2</v>
      </c>
      <c r="N21" s="8">
        <f t="shared" ref="N21:N39" si="14">J21/J$40</f>
        <v>1.460928652321631E-2</v>
      </c>
      <c r="O21" s="8">
        <f>AVERAGE($K21:$N21)</f>
        <v>4.7893845332811651E-2</v>
      </c>
      <c r="P21" s="15">
        <f>O21/$O$40</f>
        <v>3.3862721599107977E-2</v>
      </c>
      <c r="Q21" s="8">
        <f t="shared" ref="Q21:Q39" si="15">P21*F21</f>
        <v>7.733260208037728</v>
      </c>
      <c r="R21" s="8">
        <f t="shared" ref="R21:R39" si="16">P21/$Q$40*1000</f>
        <v>0.11720691066099174</v>
      </c>
      <c r="S21" s="8">
        <f t="shared" si="12"/>
        <v>1.530372734185064E-3</v>
      </c>
      <c r="U21" s="9"/>
      <c r="V21" s="9" t="s">
        <v>128</v>
      </c>
      <c r="W21" s="9">
        <v>1.24766063160942E-3</v>
      </c>
      <c r="Y21" s="8" t="s">
        <v>144</v>
      </c>
      <c r="Z21" s="8">
        <f>W38</f>
        <v>1.25335229498813E-3</v>
      </c>
      <c r="AA21" s="8">
        <f t="shared" si="7"/>
        <v>1.8087275652991564E-5</v>
      </c>
      <c r="AB21" s="8">
        <f t="shared" si="8"/>
        <v>4.3139841124322924E-4</v>
      </c>
      <c r="AC21" s="15">
        <f t="shared" si="9"/>
        <v>3.1931568619595457E-5</v>
      </c>
      <c r="AD21" s="15">
        <f t="shared" si="10"/>
        <v>1.2772627447838183E-4</v>
      </c>
    </row>
    <row r="22" spans="3:30">
      <c r="C22" s="8" t="s">
        <v>159</v>
      </c>
      <c r="E22" s="8" t="s">
        <v>160</v>
      </c>
      <c r="F22" s="8">
        <v>226.37090000000001</v>
      </c>
      <c r="J22" s="8">
        <v>6.42</v>
      </c>
      <c r="N22" s="8">
        <f t="shared" si="14"/>
        <v>7.2706681766704417E-2</v>
      </c>
      <c r="O22" s="8">
        <f t="shared" ref="O22:O39" si="17">AVERAGE($K22:$N22)</f>
        <v>7.2706681766704417E-2</v>
      </c>
      <c r="P22" s="15">
        <f t="shared" ref="P22:P39" si="18">O22/$O$40</f>
        <v>5.1406315486932211E-2</v>
      </c>
      <c r="Q22" s="8">
        <f t="shared" si="15"/>
        <v>11.636893902460782</v>
      </c>
      <c r="R22" s="8">
        <f t="shared" si="16"/>
        <v>0.17792944991303761</v>
      </c>
      <c r="S22" s="8">
        <f t="shared" si="12"/>
        <v>2.3232280180394247E-3</v>
      </c>
      <c r="U22" s="9"/>
      <c r="V22" s="9" t="s">
        <v>128</v>
      </c>
      <c r="W22" s="9">
        <v>1.24766063160942E-3</v>
      </c>
      <c r="Y22" s="8" t="s">
        <v>145</v>
      </c>
      <c r="Z22" s="8">
        <f>SUM(W39:W42)</f>
        <v>5.0248990840171199E-3</v>
      </c>
      <c r="AA22" s="8">
        <f t="shared" si="7"/>
        <v>7.2514914780559141E-5</v>
      </c>
      <c r="AB22" s="8">
        <f t="shared" si="8"/>
        <v>1.7295484200019542E-3</v>
      </c>
      <c r="AC22" s="15">
        <f t="shared" si="9"/>
        <v>1.2801900195934506E-4</v>
      </c>
      <c r="AD22" s="15">
        <f t="shared" si="10"/>
        <v>5.1207600783738025E-4</v>
      </c>
    </row>
    <row r="23" spans="3:30">
      <c r="C23" s="8" t="s">
        <v>161</v>
      </c>
      <c r="D23" s="8" t="s">
        <v>162</v>
      </c>
      <c r="E23" s="8" t="s">
        <v>163</v>
      </c>
      <c r="F23" s="8">
        <v>256.42410000000001</v>
      </c>
      <c r="G23" s="8">
        <v>0.4</v>
      </c>
      <c r="H23" s="8">
        <v>35.700000000000003</v>
      </c>
      <c r="I23" s="8">
        <f>9.82+2.22</f>
        <v>12.040000000000001</v>
      </c>
      <c r="J23" s="8">
        <v>12.16</v>
      </c>
      <c r="K23" s="8">
        <f>G23/G$40</f>
        <v>4.726456339359566E-3</v>
      </c>
      <c r="L23" s="8">
        <f t="shared" ref="L23:L29" si="19">H23/H$40</f>
        <v>0.35735735735735735</v>
      </c>
      <c r="M23" s="8">
        <f t="shared" si="13"/>
        <v>0.12040000000000001</v>
      </c>
      <c r="N23" s="8">
        <f t="shared" si="14"/>
        <v>0.13771234428086071</v>
      </c>
      <c r="O23" s="8">
        <f>AVERAGE($K23:$N23)</f>
        <v>0.15504903949439441</v>
      </c>
      <c r="P23" s="15">
        <f t="shared" si="18"/>
        <v>0.10962541057463983</v>
      </c>
      <c r="Q23" s="8">
        <f t="shared" si="15"/>
        <v>28.110597243732503</v>
      </c>
      <c r="R23" s="8">
        <f t="shared" si="16"/>
        <v>0.37943954580823824</v>
      </c>
      <c r="S23" s="8">
        <f t="shared" si="12"/>
        <v>4.9543489535020472E-3</v>
      </c>
      <c r="U23" s="9"/>
      <c r="V23" s="9" t="s">
        <v>128</v>
      </c>
      <c r="W23" s="9">
        <v>1.24766063160942E-3</v>
      </c>
      <c r="Z23" s="8">
        <f>SUM(Z11:Z22)</f>
        <v>4.1927079890875331E-2</v>
      </c>
      <c r="AA23" s="8">
        <f>SUM(AA11:AA22)</f>
        <v>6.0505466367574137E-4</v>
      </c>
      <c r="AB23" s="8">
        <f>SUM(AB11:AB22)</f>
        <v>1.4431118629070578E-2</v>
      </c>
      <c r="AC23" s="8">
        <f t="shared" ref="AC23" si="20">SUM(AC11:AC22)</f>
        <v>1.0681732773046271E-3</v>
      </c>
      <c r="AD23" s="8">
        <f>SUM(AD11:AD22)</f>
        <v>4.2726931092185085E-3</v>
      </c>
    </row>
    <row r="24" spans="3:30">
      <c r="C24" s="8" t="s">
        <v>164</v>
      </c>
      <c r="D24" s="8" t="s">
        <v>165</v>
      </c>
      <c r="E24" s="8" t="s">
        <v>166</v>
      </c>
      <c r="F24" s="8">
        <v>254.40819999999999</v>
      </c>
      <c r="G24" s="8">
        <v>3.15</v>
      </c>
      <c r="H24" s="8">
        <v>16.8</v>
      </c>
      <c r="I24" s="8">
        <v>14.73</v>
      </c>
      <c r="J24" s="8">
        <v>2.88</v>
      </c>
      <c r="K24" s="8">
        <f t="shared" ref="K24:K38" si="21">G24/G$40</f>
        <v>3.722084367245658E-2</v>
      </c>
      <c r="L24" s="8">
        <f t="shared" si="19"/>
        <v>0.16816816816816815</v>
      </c>
      <c r="M24" s="8">
        <f t="shared" si="13"/>
        <v>0.14730000000000001</v>
      </c>
      <c r="N24" s="8">
        <f>J24/J$40</f>
        <v>3.2616081540203852E-2</v>
      </c>
      <c r="O24" s="8">
        <f t="shared" si="17"/>
        <v>9.6326273345207145E-2</v>
      </c>
      <c r="P24" s="15">
        <f t="shared" si="18"/>
        <v>6.8106241090097774E-2</v>
      </c>
      <c r="Q24" s="8">
        <f t="shared" si="15"/>
        <v>17.326786204497811</v>
      </c>
      <c r="R24" s="8">
        <f t="shared" si="16"/>
        <v>0.2357318531394515</v>
      </c>
      <c r="S24" s="8">
        <f t="shared" si="12"/>
        <v>3.0779550334449689E-3</v>
      </c>
      <c r="U24" s="9"/>
      <c r="V24" s="9" t="s">
        <v>131</v>
      </c>
      <c r="W24" s="9">
        <v>1.2883835638248799E-3</v>
      </c>
    </row>
    <row r="25" spans="3:30">
      <c r="C25" s="8" t="s">
        <v>167</v>
      </c>
      <c r="D25" s="13" t="s">
        <v>168</v>
      </c>
      <c r="E25" s="13"/>
      <c r="F25" s="13">
        <v>250.37639999999999</v>
      </c>
      <c r="H25" s="8">
        <v>6.4</v>
      </c>
      <c r="L25" s="8">
        <f>H25/H$40</f>
        <v>6.4064064064064064E-2</v>
      </c>
      <c r="O25" s="8">
        <f t="shared" si="17"/>
        <v>6.4064064064064064E-2</v>
      </c>
      <c r="P25" s="15">
        <f t="shared" si="18"/>
        <v>4.5295664836136965E-2</v>
      </c>
      <c r="Q25" s="8">
        <f t="shared" si="15"/>
        <v>11.340965497278562</v>
      </c>
      <c r="R25" s="8">
        <f t="shared" si="16"/>
        <v>0.15677903875036381</v>
      </c>
      <c r="S25" s="8">
        <f t="shared" si="12"/>
        <v>2.0470667202318201E-3</v>
      </c>
      <c r="U25" s="9"/>
      <c r="V25" s="9" t="s">
        <v>140</v>
      </c>
      <c r="W25" s="9">
        <v>1.24766063160942E-3</v>
      </c>
    </row>
    <row r="26" spans="3:30">
      <c r="C26" s="8" t="s">
        <v>169</v>
      </c>
      <c r="D26" s="8" t="s">
        <v>170</v>
      </c>
      <c r="E26" s="8" t="s">
        <v>171</v>
      </c>
      <c r="F26" s="8">
        <v>284.47719999999998</v>
      </c>
      <c r="G26" s="8">
        <v>0.78</v>
      </c>
      <c r="I26" s="8">
        <f>3.07</f>
        <v>3.07</v>
      </c>
      <c r="J26" s="8">
        <v>3.64</v>
      </c>
      <c r="K26" s="8">
        <f t="shared" si="21"/>
        <v>9.2165898617511521E-3</v>
      </c>
      <c r="M26" s="8">
        <f t="shared" si="13"/>
        <v>3.0699999999999998E-2</v>
      </c>
      <c r="N26" s="8">
        <f t="shared" si="14"/>
        <v>4.122310305775765E-2</v>
      </c>
      <c r="O26" s="8">
        <f t="shared" si="17"/>
        <v>2.7046564306502933E-2</v>
      </c>
      <c r="P26" s="15">
        <f t="shared" si="18"/>
        <v>1.9122922182571649E-2</v>
      </c>
      <c r="Q26" s="8">
        <f t="shared" si="15"/>
        <v>5.4400353583158712</v>
      </c>
      <c r="R26" s="8">
        <f t="shared" si="16"/>
        <v>6.618896904874931E-2</v>
      </c>
      <c r="S26" s="8">
        <f t="shared" si="12"/>
        <v>8.6423055573067991E-4</v>
      </c>
      <c r="U26" s="9"/>
      <c r="V26" s="9" t="s">
        <v>142</v>
      </c>
      <c r="W26" s="9">
        <v>1.2505070485368101E-3</v>
      </c>
    </row>
    <row r="27" spans="3:30">
      <c r="C27" s="8" t="s">
        <v>172</v>
      </c>
      <c r="D27" s="8" t="s">
        <v>173</v>
      </c>
      <c r="E27" s="8" t="s">
        <v>174</v>
      </c>
      <c r="F27" s="8">
        <v>282.46140000000003</v>
      </c>
      <c r="G27" s="8">
        <v>10</v>
      </c>
      <c r="H27" s="8">
        <v>18.2</v>
      </c>
      <c r="I27" s="8">
        <v>8.01</v>
      </c>
      <c r="J27" s="8">
        <v>32.81</v>
      </c>
      <c r="K27" s="8">
        <f t="shared" si="21"/>
        <v>0.11816140848398914</v>
      </c>
      <c r="L27" s="8">
        <f t="shared" si="19"/>
        <v>0.18218218218218216</v>
      </c>
      <c r="M27" s="8">
        <f t="shared" si="13"/>
        <v>8.0100000000000005E-2</v>
      </c>
      <c r="N27" s="8">
        <f t="shared" si="14"/>
        <v>0.37157417893544736</v>
      </c>
      <c r="O27" s="8">
        <f t="shared" si="17"/>
        <v>0.18800444240040465</v>
      </c>
      <c r="P27" s="15">
        <f t="shared" si="18"/>
        <v>0.13292610038223238</v>
      </c>
      <c r="Q27" s="8">
        <f t="shared" si="15"/>
        <v>37.546492410505898</v>
      </c>
      <c r="R27" s="8">
        <f t="shared" si="16"/>
        <v>0.46008875944645689</v>
      </c>
      <c r="S27" s="8">
        <f t="shared" si="12"/>
        <v>6.0073871821299191E-3</v>
      </c>
      <c r="U27" s="9"/>
      <c r="V27" s="9" t="s">
        <v>142</v>
      </c>
      <c r="W27" s="9">
        <v>1.2505070485368101E-3</v>
      </c>
    </row>
    <row r="28" spans="3:30">
      <c r="C28" s="8" t="s">
        <v>175</v>
      </c>
      <c r="D28" s="8" t="s">
        <v>176</v>
      </c>
      <c r="E28" s="8" t="s">
        <v>177</v>
      </c>
      <c r="F28" s="8">
        <v>280.44549999999998</v>
      </c>
      <c r="G28" s="8">
        <v>0.21</v>
      </c>
      <c r="H28" s="8">
        <v>3.2</v>
      </c>
      <c r="I28" s="8">
        <v>4.8499999999999996</v>
      </c>
      <c r="J28" s="8">
        <v>12.14</v>
      </c>
      <c r="K28" s="8">
        <f t="shared" si="21"/>
        <v>2.4813895781637717E-3</v>
      </c>
      <c r="L28" s="8">
        <f t="shared" si="19"/>
        <v>3.2032032032032032E-2</v>
      </c>
      <c r="M28" s="8">
        <f t="shared" si="13"/>
        <v>4.8499999999999995E-2</v>
      </c>
      <c r="N28" s="8">
        <f t="shared" si="14"/>
        <v>0.13748584371460928</v>
      </c>
      <c r="O28" s="8">
        <f t="shared" si="17"/>
        <v>5.5124816331201268E-2</v>
      </c>
      <c r="P28" s="15">
        <f t="shared" si="18"/>
        <v>3.8975285773234537E-2</v>
      </c>
      <c r="Q28" s="8">
        <f t="shared" si="15"/>
        <v>10.930443506317646</v>
      </c>
      <c r="R28" s="8">
        <f t="shared" si="16"/>
        <v>0.13490270781219366</v>
      </c>
      <c r="S28" s="8">
        <f t="shared" si="12"/>
        <v>1.7614270748987993E-3</v>
      </c>
      <c r="U28" s="9"/>
      <c r="V28" s="9" t="s">
        <v>142</v>
      </c>
      <c r="W28" s="9">
        <v>1.2505070485368101E-3</v>
      </c>
    </row>
    <row r="29" spans="3:30">
      <c r="C29" s="8" t="s">
        <v>178</v>
      </c>
      <c r="D29" s="8" t="s">
        <v>179</v>
      </c>
      <c r="E29" s="8" t="s">
        <v>180</v>
      </c>
      <c r="F29" s="8">
        <v>278.42959999999999</v>
      </c>
      <c r="G29" s="8">
        <f>0.3/2</f>
        <v>0.15</v>
      </c>
      <c r="H29" s="8">
        <v>12.1</v>
      </c>
      <c r="I29" s="8">
        <f>12.85/2</f>
        <v>6.4249999999999998</v>
      </c>
      <c r="J29" s="8">
        <f>1.32/2</f>
        <v>0.66</v>
      </c>
      <c r="K29" s="8">
        <f t="shared" si="21"/>
        <v>1.7724211272598369E-3</v>
      </c>
      <c r="L29" s="8">
        <f t="shared" si="19"/>
        <v>0.12112112112112111</v>
      </c>
      <c r="M29" s="8">
        <f t="shared" si="13"/>
        <v>6.4250000000000002E-2</v>
      </c>
      <c r="N29" s="8">
        <f t="shared" si="14"/>
        <v>7.4745186862967159E-3</v>
      </c>
      <c r="O29" s="8">
        <f t="shared" si="17"/>
        <v>4.8654515233669419E-2</v>
      </c>
      <c r="P29" s="15">
        <f t="shared" si="18"/>
        <v>3.4400543377722206E-2</v>
      </c>
      <c r="Q29" s="8">
        <f t="shared" si="15"/>
        <v>9.5781295324418423</v>
      </c>
      <c r="R29" s="8">
        <f t="shared" si="16"/>
        <v>0.11906843939172536</v>
      </c>
      <c r="S29" s="8">
        <f t="shared" si="12"/>
        <v>1.5546787482020768E-3</v>
      </c>
      <c r="U29" s="9"/>
      <c r="V29" s="9" t="s">
        <v>131</v>
      </c>
      <c r="W29" s="9">
        <v>1.2883835638248799E-3</v>
      </c>
    </row>
    <row r="30" spans="3:30">
      <c r="C30" s="8" t="s">
        <v>181</v>
      </c>
      <c r="D30" s="8" t="s">
        <v>182</v>
      </c>
      <c r="E30" s="8" t="s">
        <v>180</v>
      </c>
      <c r="F30" s="8">
        <v>278.42959999999999</v>
      </c>
      <c r="G30" s="8">
        <f>0.3/2</f>
        <v>0.15</v>
      </c>
      <c r="I30" s="8">
        <f>12.85/2</f>
        <v>6.4249999999999998</v>
      </c>
      <c r="J30" s="8">
        <f>1.32/2</f>
        <v>0.66</v>
      </c>
      <c r="K30" s="8">
        <f t="shared" si="21"/>
        <v>1.7724211272598369E-3</v>
      </c>
      <c r="M30" s="8">
        <f t="shared" si="13"/>
        <v>6.4250000000000002E-2</v>
      </c>
      <c r="N30" s="8">
        <f t="shared" si="14"/>
        <v>7.4745186862967159E-3</v>
      </c>
      <c r="O30" s="8">
        <f t="shared" si="17"/>
        <v>2.4498979937852185E-2</v>
      </c>
      <c r="P30" s="15">
        <f t="shared" si="18"/>
        <v>1.7321685726689125E-2</v>
      </c>
      <c r="Q30" s="8">
        <f t="shared" si="15"/>
        <v>4.8228700282077623</v>
      </c>
      <c r="R30" s="8">
        <f t="shared" si="16"/>
        <v>5.9954462476498306E-2</v>
      </c>
      <c r="S30" s="8">
        <f t="shared" si="12"/>
        <v>7.8282649162334102E-4</v>
      </c>
      <c r="U30" s="9"/>
      <c r="V30" s="9" t="s">
        <v>131</v>
      </c>
      <c r="W30" s="9">
        <v>1.2883835638248799E-3</v>
      </c>
    </row>
    <row r="31" spans="3:30">
      <c r="C31" s="8" t="s">
        <v>183</v>
      </c>
      <c r="D31" s="8" t="s">
        <v>184</v>
      </c>
      <c r="E31" s="8" t="s">
        <v>185</v>
      </c>
      <c r="F31" s="8">
        <v>312.53039999999999</v>
      </c>
      <c r="G31" s="8">
        <v>0.2</v>
      </c>
      <c r="I31" s="8">
        <v>1.67</v>
      </c>
      <c r="J31" s="8">
        <v>0.26</v>
      </c>
      <c r="K31" s="8">
        <f t="shared" si="21"/>
        <v>2.363228169679783E-3</v>
      </c>
      <c r="M31" s="8">
        <f t="shared" si="13"/>
        <v>1.67E-2</v>
      </c>
      <c r="N31" s="8">
        <f t="shared" si="14"/>
        <v>2.9445073612684035E-3</v>
      </c>
      <c r="O31" s="8">
        <f t="shared" si="17"/>
        <v>7.3359118436493948E-3</v>
      </c>
      <c r="P31" s="15">
        <f t="shared" si="18"/>
        <v>5.1867612364570811E-3</v>
      </c>
      <c r="Q31" s="8">
        <f t="shared" si="15"/>
        <v>1.6210205639344262</v>
      </c>
      <c r="R31" s="8">
        <f t="shared" si="16"/>
        <v>1.7952610781211818E-2</v>
      </c>
      <c r="S31" s="8">
        <f t="shared" si="12"/>
        <v>2.3440756088580377E-4</v>
      </c>
      <c r="U31" s="9"/>
      <c r="V31" s="9" t="s">
        <v>140</v>
      </c>
      <c r="W31" s="9">
        <v>1.24766063160942E-3</v>
      </c>
    </row>
    <row r="32" spans="3:30">
      <c r="C32" s="8" t="s">
        <v>186</v>
      </c>
      <c r="D32" s="8" t="s">
        <v>187</v>
      </c>
      <c r="E32" s="8" t="s">
        <v>188</v>
      </c>
      <c r="F32" s="8">
        <v>310.5145</v>
      </c>
      <c r="G32" s="8">
        <v>0.2</v>
      </c>
      <c r="J32" s="8">
        <v>2.74</v>
      </c>
      <c r="K32" s="8">
        <f t="shared" si="21"/>
        <v>2.363228169679783E-3</v>
      </c>
      <c r="N32" s="8">
        <f t="shared" si="14"/>
        <v>3.1030577576443945E-2</v>
      </c>
      <c r="O32" s="8">
        <f t="shared" si="17"/>
        <v>1.6696902873061865E-2</v>
      </c>
      <c r="P32" s="15">
        <f t="shared" si="18"/>
        <v>1.180532842224067E-2</v>
      </c>
      <c r="Q32" s="8">
        <f t="shared" si="15"/>
        <v>3.6657256523678505</v>
      </c>
      <c r="R32" s="8">
        <f t="shared" si="16"/>
        <v>4.0861041533816873E-2</v>
      </c>
      <c r="S32" s="8">
        <f t="shared" si="12"/>
        <v>5.3352335200290029E-4</v>
      </c>
      <c r="U32" s="9"/>
      <c r="V32" s="9" t="s">
        <v>142</v>
      </c>
      <c r="W32" s="9">
        <v>1.2505070485368101E-3</v>
      </c>
    </row>
    <row r="33" spans="3:30">
      <c r="C33" s="8" t="s">
        <v>189</v>
      </c>
      <c r="D33" s="8" t="s">
        <v>190</v>
      </c>
      <c r="E33" s="8" t="s">
        <v>191</v>
      </c>
      <c r="F33" s="8">
        <v>308.49860000000001</v>
      </c>
      <c r="G33" s="8">
        <v>0.72</v>
      </c>
      <c r="K33" s="8">
        <f t="shared" si="21"/>
        <v>8.5076214108472173E-3</v>
      </c>
      <c r="O33" s="8">
        <f t="shared" si="17"/>
        <v>8.5076214108472173E-3</v>
      </c>
      <c r="P33" s="15">
        <f t="shared" si="18"/>
        <v>6.0152032751640593E-3</v>
      </c>
      <c r="Q33" s="8">
        <f t="shared" si="15"/>
        <v>1.8556817891035271</v>
      </c>
      <c r="R33" s="8">
        <f t="shared" si="16"/>
        <v>2.0820045158403064E-2</v>
      </c>
      <c r="S33" s="8">
        <f t="shared" si="12"/>
        <v>2.7184770296591484E-4</v>
      </c>
      <c r="U33" s="9"/>
      <c r="V33" s="9" t="s">
        <v>142</v>
      </c>
      <c r="W33" s="9">
        <v>1.2505070485368101E-3</v>
      </c>
    </row>
    <row r="34" spans="3:30">
      <c r="C34" s="8" t="s">
        <v>192</v>
      </c>
      <c r="D34" s="8" t="s">
        <v>193</v>
      </c>
      <c r="E34" s="8" t="s">
        <v>194</v>
      </c>
      <c r="F34" s="8">
        <v>306.4828</v>
      </c>
      <c r="G34" s="8">
        <v>3</v>
      </c>
      <c r="K34" s="8">
        <f t="shared" si="21"/>
        <v>3.5448422545196742E-2</v>
      </c>
      <c r="O34" s="8">
        <f t="shared" si="17"/>
        <v>3.5448422545196742E-2</v>
      </c>
      <c r="P34" s="15">
        <f t="shared" si="18"/>
        <v>2.5063346979850246E-2</v>
      </c>
      <c r="Q34" s="8">
        <f t="shared" si="15"/>
        <v>7.6814847597560467</v>
      </c>
      <c r="R34" s="8">
        <f t="shared" si="16"/>
        <v>8.6750188160012759E-2</v>
      </c>
      <c r="S34" s="8">
        <f t="shared" si="12"/>
        <v>1.1326987623579783E-3</v>
      </c>
      <c r="U34" s="9"/>
      <c r="V34" s="9" t="s">
        <v>142</v>
      </c>
      <c r="W34" s="9">
        <v>1.2505070485368101E-3</v>
      </c>
    </row>
    <row r="35" spans="3:30">
      <c r="C35" s="8" t="s">
        <v>195</v>
      </c>
      <c r="D35" s="8" t="s">
        <v>196</v>
      </c>
      <c r="E35" s="8" t="s">
        <v>197</v>
      </c>
      <c r="F35" s="8">
        <v>304.46690000000001</v>
      </c>
      <c r="G35" s="8">
        <v>0.04</v>
      </c>
      <c r="J35" s="8">
        <v>4.12</v>
      </c>
      <c r="K35" s="8">
        <f t="shared" si="21"/>
        <v>4.7264563393595657E-4</v>
      </c>
      <c r="N35" s="8">
        <f t="shared" si="14"/>
        <v>4.6659116647791619E-2</v>
      </c>
      <c r="O35" s="8">
        <f t="shared" si="17"/>
        <v>2.356588114086379E-2</v>
      </c>
      <c r="P35" s="15">
        <f t="shared" si="18"/>
        <v>1.6661950335485662E-2</v>
      </c>
      <c r="Q35" s="8">
        <f t="shared" si="15"/>
        <v>5.0730123665992792</v>
      </c>
      <c r="R35" s="8">
        <f t="shared" si="16"/>
        <v>5.7670961818396579E-2</v>
      </c>
      <c r="S35" s="8">
        <f t="shared" si="12"/>
        <v>7.5301078258413338E-4</v>
      </c>
      <c r="U35" s="9"/>
      <c r="V35" s="9" t="s">
        <v>142</v>
      </c>
      <c r="W35" s="9">
        <v>1.2505070485368101E-3</v>
      </c>
    </row>
    <row r="36" spans="3:30">
      <c r="C36" s="8" t="s">
        <v>198</v>
      </c>
      <c r="D36" s="8" t="s">
        <v>199</v>
      </c>
      <c r="E36" s="8" t="s">
        <v>200</v>
      </c>
      <c r="F36" s="8">
        <v>340.58359999999999</v>
      </c>
      <c r="G36" s="8">
        <v>58.04</v>
      </c>
      <c r="J36" s="8">
        <v>1.1399999999999999</v>
      </c>
      <c r="K36" s="8">
        <f t="shared" si="21"/>
        <v>0.68580881484107292</v>
      </c>
      <c r="N36" s="8">
        <f t="shared" si="14"/>
        <v>1.291053227633069E-2</v>
      </c>
      <c r="O36" s="8">
        <f t="shared" si="17"/>
        <v>0.34935967355870179</v>
      </c>
      <c r="P36" s="15">
        <f t="shared" si="18"/>
        <v>0.24701022190775626</v>
      </c>
      <c r="Q36" s="8">
        <f t="shared" si="15"/>
        <v>84.12763061414249</v>
      </c>
      <c r="R36" s="8">
        <f t="shared" si="16"/>
        <v>0.85496096132617938</v>
      </c>
      <c r="S36" s="8">
        <f t="shared" si="12"/>
        <v>1.1163240602686531E-2</v>
      </c>
      <c r="U36" s="9"/>
      <c r="V36" s="9" t="s">
        <v>143</v>
      </c>
      <c r="W36" s="9">
        <v>1.2944537398469199E-3</v>
      </c>
    </row>
    <row r="37" spans="3:30">
      <c r="C37" s="8" t="s">
        <v>201</v>
      </c>
      <c r="E37" s="8" t="s">
        <v>202</v>
      </c>
      <c r="F37" s="8">
        <v>338.58359999999999</v>
      </c>
      <c r="I37" s="8">
        <v>9.44</v>
      </c>
      <c r="J37" s="8">
        <v>2.0299999999999998</v>
      </c>
      <c r="M37" s="8">
        <f t="shared" si="13"/>
        <v>9.4399999999999998E-2</v>
      </c>
      <c r="N37" s="8">
        <f t="shared" si="14"/>
        <v>2.2989807474518686E-2</v>
      </c>
      <c r="O37" s="8">
        <f t="shared" si="17"/>
        <v>5.8694903737259344E-2</v>
      </c>
      <c r="P37" s="15">
        <f t="shared" si="18"/>
        <v>4.1499469727889843E-2</v>
      </c>
      <c r="Q37" s="8">
        <f t="shared" si="15"/>
        <v>14.051039858559962</v>
      </c>
      <c r="R37" s="8">
        <f t="shared" si="16"/>
        <v>0.14363950713883097</v>
      </c>
      <c r="S37" s="8">
        <f t="shared" si="12"/>
        <v>1.8755036203697833E-3</v>
      </c>
      <c r="U37" s="9"/>
      <c r="V37" s="9" t="s">
        <v>143</v>
      </c>
      <c r="W37" s="9">
        <v>1.2944537398469199E-3</v>
      </c>
    </row>
    <row r="38" spans="3:30">
      <c r="C38" s="8" t="s">
        <v>203</v>
      </c>
      <c r="D38" s="8" t="s">
        <v>204</v>
      </c>
      <c r="E38" s="8" t="s">
        <v>205</v>
      </c>
      <c r="F38" s="8">
        <v>336.55180000000001</v>
      </c>
      <c r="G38" s="8">
        <v>0.2</v>
      </c>
      <c r="J38" s="8">
        <v>4.09</v>
      </c>
      <c r="K38" s="8">
        <f t="shared" si="21"/>
        <v>2.363228169679783E-3</v>
      </c>
      <c r="N38" s="8">
        <f t="shared" si="14"/>
        <v>4.6319365798414495E-2</v>
      </c>
      <c r="O38" s="8">
        <f t="shared" si="17"/>
        <v>2.4341296984047141E-2</v>
      </c>
      <c r="P38" s="15">
        <f t="shared" si="18"/>
        <v>1.7210198041193822E-2</v>
      </c>
      <c r="Q38" s="8">
        <f t="shared" si="15"/>
        <v>5.7921231291202551</v>
      </c>
      <c r="R38" s="8">
        <f t="shared" si="16"/>
        <v>5.9568577155514751E-2</v>
      </c>
      <c r="S38" s="8">
        <f t="shared" si="12"/>
        <v>7.7778798006779303E-4</v>
      </c>
      <c r="U38" s="9"/>
      <c r="V38" s="9" t="s">
        <v>144</v>
      </c>
      <c r="W38" s="9">
        <v>1.25335229498813E-3</v>
      </c>
    </row>
    <row r="39" spans="3:30">
      <c r="C39" s="8" t="s">
        <v>206</v>
      </c>
      <c r="D39" s="8" t="s">
        <v>207</v>
      </c>
      <c r="E39" s="8" t="s">
        <v>208</v>
      </c>
      <c r="F39" s="8">
        <v>328.48829999999998</v>
      </c>
      <c r="G39" s="8">
        <v>0.6</v>
      </c>
      <c r="I39" s="8">
        <v>15.36</v>
      </c>
      <c r="K39" s="8">
        <f>G39/G$40</f>
        <v>7.0896845090393477E-3</v>
      </c>
      <c r="M39" s="8">
        <f t="shared" si="13"/>
        <v>0.15359999999999999</v>
      </c>
      <c r="N39" s="8">
        <f t="shared" si="14"/>
        <v>0</v>
      </c>
      <c r="O39" s="8">
        <f t="shared" si="17"/>
        <v>5.3563228169679782E-2</v>
      </c>
      <c r="P39" s="15">
        <f t="shared" si="18"/>
        <v>3.7871185135697344E-2</v>
      </c>
      <c r="Q39" s="8">
        <f t="shared" si="15"/>
        <v>12.440241224210489</v>
      </c>
      <c r="R39" s="8">
        <f t="shared" si="16"/>
        <v>0.13108115364662493</v>
      </c>
      <c r="S39" s="8">
        <f t="shared" si="12"/>
        <v>1.7115289736331358E-3</v>
      </c>
      <c r="U39" s="9"/>
      <c r="V39" s="9" t="s">
        <v>145</v>
      </c>
      <c r="W39" s="9">
        <v>1.25622477100428E-3</v>
      </c>
    </row>
    <row r="40" spans="3:30">
      <c r="C40" s="8" t="s">
        <v>125</v>
      </c>
      <c r="D40" s="8" t="s">
        <v>13</v>
      </c>
      <c r="E40" s="8" t="s">
        <v>13</v>
      </c>
      <c r="F40" s="8">
        <f>SUM(F20:F39)</f>
        <v>5707.2120999999997</v>
      </c>
      <c r="G40" s="8">
        <f>SUM(G20:G39)</f>
        <v>84.63</v>
      </c>
      <c r="H40" s="8">
        <f>SUM(H20:H39)</f>
        <v>99.9</v>
      </c>
      <c r="I40" s="8">
        <f t="shared" ref="I40" si="22">SUM(I20:I39)</f>
        <v>100</v>
      </c>
      <c r="J40" s="8">
        <f t="shared" ref="J40:S40" si="23">SUM(J20:J39)</f>
        <v>88.3</v>
      </c>
      <c r="K40" s="8">
        <f t="shared" si="23"/>
        <v>1</v>
      </c>
      <c r="L40" s="8">
        <f t="shared" si="23"/>
        <v>1</v>
      </c>
      <c r="M40" s="8">
        <f t="shared" si="23"/>
        <v>1.0000000000000002</v>
      </c>
      <c r="N40" s="8">
        <f t="shared" si="23"/>
        <v>0.99999999999999989</v>
      </c>
      <c r="O40" s="8">
        <f t="shared" si="23"/>
        <v>1.4143531019099567</v>
      </c>
      <c r="P40" s="8">
        <f t="shared" si="23"/>
        <v>1.0000000000000002</v>
      </c>
      <c r="Q40" s="8">
        <f>SUM(Q20:Q39)</f>
        <v>288.91403593984506</v>
      </c>
      <c r="R40" s="8">
        <f t="shared" si="23"/>
        <v>3.4612371695510507</v>
      </c>
      <c r="S40" s="8">
        <f t="shared" si="23"/>
        <v>4.5193435787670933E-2</v>
      </c>
      <c r="U40" s="9"/>
      <c r="V40" s="9" t="s">
        <v>145</v>
      </c>
      <c r="W40" s="9">
        <v>1.25622477100428E-3</v>
      </c>
    </row>
    <row r="41" spans="3:30">
      <c r="V41" s="9" t="s">
        <v>145</v>
      </c>
      <c r="W41" s="9">
        <v>1.25622477100428E-3</v>
      </c>
    </row>
    <row r="42" spans="3:30">
      <c r="C42" s="8" t="s">
        <v>115</v>
      </c>
      <c r="G42" s="8" t="s">
        <v>130</v>
      </c>
      <c r="H42" s="8" t="s">
        <v>147</v>
      </c>
      <c r="I42" s="8" t="s">
        <v>209</v>
      </c>
      <c r="V42" s="9" t="s">
        <v>145</v>
      </c>
      <c r="W42" s="9">
        <v>1.25622477100428E-3</v>
      </c>
    </row>
    <row r="43" spans="3:30">
      <c r="C43" s="8" t="s">
        <v>107</v>
      </c>
      <c r="D43" s="8" t="s">
        <v>108</v>
      </c>
      <c r="E43" s="8" t="s">
        <v>109</v>
      </c>
      <c r="F43" s="8" t="s">
        <v>110</v>
      </c>
      <c r="G43" s="8" t="s">
        <v>148</v>
      </c>
      <c r="H43" s="8" t="s">
        <v>149</v>
      </c>
      <c r="O43" s="8" t="s">
        <v>150</v>
      </c>
      <c r="P43" s="8" t="s">
        <v>151</v>
      </c>
      <c r="Q43" s="8" t="s">
        <v>78</v>
      </c>
      <c r="R43" s="8" t="s">
        <v>210</v>
      </c>
    </row>
    <row r="44" spans="3:30">
      <c r="C44" s="8" t="s">
        <v>153</v>
      </c>
      <c r="D44" s="8" t="s">
        <v>154</v>
      </c>
      <c r="E44" s="8" t="s">
        <v>155</v>
      </c>
      <c r="F44" s="8">
        <v>200.31780000000001</v>
      </c>
      <c r="G44" s="8">
        <f>2.39+0.2</f>
        <v>2.5900000000000003</v>
      </c>
      <c r="K44" s="8">
        <f>G44/G$63</f>
        <v>2.8691702669768476E-2</v>
      </c>
      <c r="O44" s="8">
        <f>AVERAGE(K44:N44)</f>
        <v>2.8691702669768476E-2</v>
      </c>
      <c r="P44" s="15">
        <f>O44/$O$63</f>
        <v>1.6411633579115886E-2</v>
      </c>
      <c r="Q44" s="8">
        <f>P44*F44</f>
        <v>3.2875423329746201</v>
      </c>
      <c r="AA44" s="30" t="s">
        <v>211</v>
      </c>
      <c r="AB44" s="30"/>
      <c r="AC44" s="30" t="s">
        <v>212</v>
      </c>
      <c r="AD44" s="30"/>
    </row>
    <row r="45" spans="3:30">
      <c r="C45" s="8" t="s">
        <v>156</v>
      </c>
      <c r="D45" s="8" t="s">
        <v>157</v>
      </c>
      <c r="E45" s="8" t="s">
        <v>158</v>
      </c>
      <c r="F45" s="8">
        <v>228.37090000000001</v>
      </c>
      <c r="G45" s="8">
        <f>4.23+2.3</f>
        <v>6.53</v>
      </c>
      <c r="H45" s="8">
        <f>4.6+2.5</f>
        <v>7.1</v>
      </c>
      <c r="K45" s="8">
        <f t="shared" ref="K45:K62" si="24">G45/G$63</f>
        <v>7.2338539935748319E-2</v>
      </c>
      <c r="L45" s="8">
        <f t="shared" ref="L45:N54" si="25">H45/H$63</f>
        <v>7.1071071071071065E-2</v>
      </c>
      <c r="O45" s="8">
        <f>AVERAGE(K45:N45)</f>
        <v>7.1704805503409685E-2</v>
      </c>
      <c r="P45" s="15">
        <f t="shared" ref="P45:P61" si="26">O45/$O$63</f>
        <v>4.1015097895311763E-2</v>
      </c>
      <c r="Q45" s="8">
        <f t="shared" ref="Q45:Q61" si="27">P45*F45</f>
        <v>9.3666548199404538</v>
      </c>
      <c r="S45" s="8" t="s">
        <v>213</v>
      </c>
      <c r="U45" s="8" t="s">
        <v>211</v>
      </c>
      <c r="V45" s="8" t="s">
        <v>212</v>
      </c>
      <c r="W45" s="8" t="s">
        <v>211</v>
      </c>
      <c r="X45" s="8" t="s">
        <v>212</v>
      </c>
      <c r="Y45" s="8" t="s">
        <v>211</v>
      </c>
      <c r="Z45" s="8" t="s">
        <v>212</v>
      </c>
      <c r="AA45" s="8" t="s">
        <v>214</v>
      </c>
      <c r="AB45" s="8" t="s">
        <v>215</v>
      </c>
      <c r="AC45" s="8" t="s">
        <v>214</v>
      </c>
      <c r="AD45" s="8" t="s">
        <v>215</v>
      </c>
    </row>
    <row r="46" spans="3:30">
      <c r="C46" s="8" t="s">
        <v>159</v>
      </c>
      <c r="F46" s="8">
        <v>226.37090000000001</v>
      </c>
      <c r="G46" s="8">
        <v>0.17</v>
      </c>
      <c r="H46" s="8">
        <v>0.4</v>
      </c>
      <c r="J46" s="8">
        <f>SUM(S47,S48,S50,S52)</f>
        <v>71.5</v>
      </c>
      <c r="K46" s="8">
        <f t="shared" si="24"/>
        <v>1.8832391713747647E-3</v>
      </c>
      <c r="L46" s="8">
        <f t="shared" si="25"/>
        <v>4.004004004004004E-3</v>
      </c>
      <c r="N46" s="8">
        <f t="shared" si="25"/>
        <v>0.35483870967741937</v>
      </c>
      <c r="O46" s="8">
        <f t="shared" ref="O46:O61" si="28">AVERAGE(K46:N46)</f>
        <v>0.12024198428426604</v>
      </c>
      <c r="P46" s="15">
        <f t="shared" si="26"/>
        <v>6.8778329735671592E-2</v>
      </c>
      <c r="Q46" s="8">
        <f t="shared" si="27"/>
        <v>15.56941240276074</v>
      </c>
      <c r="S46" s="8">
        <f t="shared" ref="S46:S52" si="29">AVERAGE(U46:V46)</f>
        <v>10.5</v>
      </c>
      <c r="T46" s="8" t="s">
        <v>216</v>
      </c>
      <c r="U46" s="8">
        <v>10</v>
      </c>
      <c r="V46" s="8">
        <v>11</v>
      </c>
      <c r="W46" s="8">
        <f>U46/$U$53</f>
        <v>9.9009900990099015E-2</v>
      </c>
      <c r="X46" s="8">
        <f>V46/$V$53</f>
        <v>0.10945273631840796</v>
      </c>
      <c r="Y46" s="8">
        <f>W46*$U$56</f>
        <v>3.4825568446415198E-2</v>
      </c>
      <c r="Z46" s="8">
        <f>X46*$V$56</f>
        <v>7.095402333933605E-2</v>
      </c>
      <c r="AA46" s="15">
        <f>Y46*0.5*$AA$61</f>
        <v>6.3726273198030196E-3</v>
      </c>
      <c r="AB46" s="15">
        <f>Y46*$AA$61</f>
        <v>1.2745254639606039E-2</v>
      </c>
      <c r="AC46" s="15">
        <f>Z46*0.5*$AA$61</f>
        <v>1.2983665960195916E-2</v>
      </c>
      <c r="AD46" s="15">
        <f>Z46*$AA$61</f>
        <v>2.5967331920391832E-2</v>
      </c>
    </row>
    <row r="47" spans="3:30">
      <c r="C47" s="8" t="s">
        <v>161</v>
      </c>
      <c r="D47" s="8" t="s">
        <v>162</v>
      </c>
      <c r="E47" s="8" t="s">
        <v>163</v>
      </c>
      <c r="F47" s="8">
        <v>256.42410000000001</v>
      </c>
      <c r="G47" s="8">
        <f>0.4+1+0.2</f>
        <v>1.5999999999999999</v>
      </c>
      <c r="H47" s="8">
        <v>35.700000000000003</v>
      </c>
      <c r="I47" s="8">
        <v>33.200000000000003</v>
      </c>
      <c r="K47" s="8">
        <f t="shared" si="24"/>
        <v>1.7724603965880138E-2</v>
      </c>
      <c r="L47" s="8">
        <f t="shared" si="25"/>
        <v>0.35735735735735735</v>
      </c>
      <c r="M47" s="8">
        <f>I47/I$63</f>
        <v>0.33200000000000002</v>
      </c>
      <c r="O47" s="8">
        <f t="shared" si="28"/>
        <v>0.23569398710774583</v>
      </c>
      <c r="P47" s="15">
        <f t="shared" si="26"/>
        <v>0.13481679347280096</v>
      </c>
      <c r="Q47" s="8">
        <f t="shared" si="27"/>
        <v>34.570274931148859</v>
      </c>
      <c r="S47" s="8">
        <f t="shared" si="29"/>
        <v>7.75</v>
      </c>
      <c r="T47" s="8" t="s">
        <v>217</v>
      </c>
      <c r="U47" s="8">
        <v>7</v>
      </c>
      <c r="V47" s="8">
        <v>8.5</v>
      </c>
      <c r="W47" s="8">
        <f t="shared" ref="W47:W52" si="30">U47/$U$53</f>
        <v>6.9306930693069313E-2</v>
      </c>
      <c r="X47" s="8">
        <f t="shared" ref="X47:X52" si="31">V47/$V$53</f>
        <v>8.45771144278607E-2</v>
      </c>
      <c r="Y47" s="8">
        <f>W47*$U$56</f>
        <v>2.4377897912490641E-2</v>
      </c>
      <c r="Z47" s="8">
        <f t="shared" ref="Z47:Z52" si="32">X47*$V$56</f>
        <v>5.4828108944032401E-2</v>
      </c>
      <c r="AA47" s="15">
        <f t="shared" ref="AA47:AA52" si="33">Y47*0.5*$AA$61</f>
        <v>4.4608391238621144E-3</v>
      </c>
      <c r="AB47" s="15">
        <f t="shared" ref="AB47:AB52" si="34">Y47*$AA$61</f>
        <v>8.9216782477242289E-3</v>
      </c>
      <c r="AC47" s="15">
        <f t="shared" ref="AC47:AC52" si="35">Z47*0.5*$AA$61</f>
        <v>1.0032832787424117E-2</v>
      </c>
      <c r="AD47" s="15">
        <f>Z47*$AA$61</f>
        <v>2.0065665574848235E-2</v>
      </c>
    </row>
    <row r="48" spans="3:30">
      <c r="C48" s="8" t="s">
        <v>164</v>
      </c>
      <c r="D48" s="8" t="s">
        <v>165</v>
      </c>
      <c r="E48" s="8" t="s">
        <v>166</v>
      </c>
      <c r="F48" s="8">
        <v>254.40819999999999</v>
      </c>
      <c r="G48" s="8">
        <v>3.15</v>
      </c>
      <c r="H48" s="8">
        <v>16.8</v>
      </c>
      <c r="I48" s="8">
        <f>9.1+1.1</f>
        <v>10.199999999999999</v>
      </c>
      <c r="K48" s="8">
        <f t="shared" si="24"/>
        <v>3.4895314057826518E-2</v>
      </c>
      <c r="L48" s="8">
        <f t="shared" si="25"/>
        <v>0.16816816816816815</v>
      </c>
      <c r="M48" s="8">
        <f t="shared" si="25"/>
        <v>0.10199999999999999</v>
      </c>
      <c r="O48" s="8">
        <f t="shared" si="28"/>
        <v>0.10168782740866489</v>
      </c>
      <c r="P48" s="15">
        <f t="shared" si="26"/>
        <v>5.8165365161329828E-2</v>
      </c>
      <c r="Q48" s="8">
        <f t="shared" si="27"/>
        <v>14.797745853036631</v>
      </c>
      <c r="S48" s="8">
        <f t="shared" si="29"/>
        <v>12</v>
      </c>
      <c r="T48" s="8" t="s">
        <v>218</v>
      </c>
      <c r="U48" s="8">
        <v>13</v>
      </c>
      <c r="V48" s="8">
        <f>AVERAGE(14,8)</f>
        <v>11</v>
      </c>
      <c r="W48" s="8">
        <f t="shared" si="30"/>
        <v>0.12871287128712872</v>
      </c>
      <c r="X48" s="8">
        <f t="shared" si="31"/>
        <v>0.10945273631840796</v>
      </c>
      <c r="Y48" s="8">
        <f t="shared" ref="Y48:Y52" si="36">W48*$U$56</f>
        <v>4.5273238980339761E-2</v>
      </c>
      <c r="Z48" s="8">
        <f t="shared" si="32"/>
        <v>7.095402333933605E-2</v>
      </c>
      <c r="AA48" s="15">
        <f t="shared" si="33"/>
        <v>8.2844155157439266E-3</v>
      </c>
      <c r="AB48" s="15">
        <f t="shared" si="34"/>
        <v>1.6568831031487853E-2</v>
      </c>
      <c r="AC48" s="15">
        <f t="shared" si="35"/>
        <v>1.2983665960195916E-2</v>
      </c>
      <c r="AD48" s="15">
        <f t="shared" ref="AD48:AD52" si="37">Z48*$AA$61</f>
        <v>2.5967331920391832E-2</v>
      </c>
    </row>
    <row r="49" spans="3:33">
      <c r="C49" s="8" t="s">
        <v>167</v>
      </c>
      <c r="D49" s="13" t="s">
        <v>168</v>
      </c>
      <c r="E49" s="13"/>
      <c r="F49" s="13">
        <v>250.37639999999999</v>
      </c>
      <c r="H49" s="8">
        <v>6.4</v>
      </c>
      <c r="I49" s="8">
        <v>6.3</v>
      </c>
      <c r="L49" s="8">
        <f t="shared" si="25"/>
        <v>6.4064064064064064E-2</v>
      </c>
      <c r="M49" s="8">
        <f t="shared" si="25"/>
        <v>6.3E-2</v>
      </c>
      <c r="O49" s="8">
        <f t="shared" si="28"/>
        <v>6.3532032032032032E-2</v>
      </c>
      <c r="P49" s="15">
        <f t="shared" si="26"/>
        <v>3.6340277265768023E-2</v>
      </c>
      <c r="Q49" s="8">
        <f t="shared" si="27"/>
        <v>9.0987477968048402</v>
      </c>
      <c r="S49" s="8">
        <f t="shared" si="29"/>
        <v>12.5</v>
      </c>
      <c r="T49" s="8" t="s">
        <v>219</v>
      </c>
      <c r="U49" s="8">
        <v>11</v>
      </c>
      <c r="V49" s="8">
        <v>14</v>
      </c>
      <c r="W49" s="8">
        <f t="shared" si="30"/>
        <v>0.10891089108910891</v>
      </c>
      <c r="X49" s="8">
        <f t="shared" si="31"/>
        <v>0.13930348258706468</v>
      </c>
      <c r="Y49" s="8">
        <f t="shared" si="36"/>
        <v>3.8308125291056719E-2</v>
      </c>
      <c r="Z49" s="8">
        <f t="shared" si="32"/>
        <v>9.0305120613700426E-2</v>
      </c>
      <c r="AA49" s="15">
        <f t="shared" si="33"/>
        <v>7.0098900517833219E-3</v>
      </c>
      <c r="AB49" s="15">
        <f t="shared" si="34"/>
        <v>1.4019780103566644E-2</v>
      </c>
      <c r="AC49" s="15">
        <f t="shared" si="35"/>
        <v>1.6524665767522075E-2</v>
      </c>
      <c r="AD49" s="15">
        <f t="shared" si="37"/>
        <v>3.3049331535044149E-2</v>
      </c>
    </row>
    <row r="50" spans="3:33">
      <c r="C50" s="8" t="s">
        <v>169</v>
      </c>
      <c r="D50" s="8" t="s">
        <v>170</v>
      </c>
      <c r="E50" s="8" t="s">
        <v>171</v>
      </c>
      <c r="F50" s="8">
        <v>284.47719999999998</v>
      </c>
      <c r="G50" s="8">
        <f>0.78+0.14+1.6</f>
        <v>2.52</v>
      </c>
      <c r="I50" s="8">
        <v>1.7</v>
      </c>
      <c r="K50" s="8">
        <f t="shared" si="24"/>
        <v>2.7916251246261219E-2</v>
      </c>
      <c r="M50" s="8">
        <f>I50/I$63</f>
        <v>1.7000000000000001E-2</v>
      </c>
      <c r="O50" s="8">
        <f t="shared" si="28"/>
        <v>2.2458125623130612E-2</v>
      </c>
      <c r="P50" s="15">
        <f t="shared" si="26"/>
        <v>1.284603192925627E-2</v>
      </c>
      <c r="Q50" s="8">
        <f t="shared" si="27"/>
        <v>3.6544031943454214</v>
      </c>
      <c r="S50" s="8">
        <f>AVERAGE(U50:V50)</f>
        <v>28.25</v>
      </c>
      <c r="T50" s="8" t="s">
        <v>220</v>
      </c>
      <c r="U50" s="8">
        <v>27</v>
      </c>
      <c r="V50" s="8">
        <v>29.5</v>
      </c>
      <c r="W50" s="8">
        <f t="shared" si="30"/>
        <v>0.26732673267326734</v>
      </c>
      <c r="X50" s="8">
        <f t="shared" si="31"/>
        <v>0.29353233830845771</v>
      </c>
      <c r="Y50" s="8">
        <f t="shared" si="36"/>
        <v>9.4029034805321043E-2</v>
      </c>
      <c r="Z50" s="8">
        <f>X50*$V$56</f>
        <v>0.19028578986458303</v>
      </c>
      <c r="AA50" s="15">
        <f t="shared" si="33"/>
        <v>1.7206093763468155E-2</v>
      </c>
      <c r="AB50" s="15">
        <f t="shared" si="34"/>
        <v>3.4412187526936311E-2</v>
      </c>
      <c r="AC50" s="15">
        <f t="shared" si="35"/>
        <v>3.4819831438707226E-2</v>
      </c>
      <c r="AD50" s="15">
        <f t="shared" si="37"/>
        <v>6.9639662877414452E-2</v>
      </c>
    </row>
    <row r="51" spans="3:33">
      <c r="C51" s="8" t="s">
        <v>172</v>
      </c>
      <c r="D51" s="8" t="s">
        <v>173</v>
      </c>
      <c r="E51" s="8" t="s">
        <v>174</v>
      </c>
      <c r="F51" s="8">
        <v>282.46140000000003</v>
      </c>
      <c r="G51" s="8">
        <v>10</v>
      </c>
      <c r="H51" s="8">
        <v>18.2</v>
      </c>
      <c r="I51" s="8">
        <v>32.5</v>
      </c>
      <c r="J51" s="8">
        <f>SUM(S46,S49,S51*2,S52)</f>
        <v>59</v>
      </c>
      <c r="K51" s="8">
        <f t="shared" si="24"/>
        <v>0.11077877478675087</v>
      </c>
      <c r="L51" s="8">
        <f t="shared" si="25"/>
        <v>0.18218218218218216</v>
      </c>
      <c r="M51" s="8">
        <f t="shared" si="25"/>
        <v>0.32500000000000001</v>
      </c>
      <c r="N51" s="8">
        <f>J51/J$63</f>
        <v>0.29280397022332505</v>
      </c>
      <c r="O51" s="8">
        <f t="shared" si="28"/>
        <v>0.22769123179806453</v>
      </c>
      <c r="P51" s="15">
        <f t="shared" si="26"/>
        <v>0.13023922311117159</v>
      </c>
      <c r="Q51" s="8">
        <f t="shared" si="27"/>
        <v>36.787553294893883</v>
      </c>
      <c r="S51" s="8">
        <f t="shared" si="29"/>
        <v>6.25</v>
      </c>
      <c r="T51" s="8" t="s">
        <v>221</v>
      </c>
      <c r="U51" s="8">
        <v>5</v>
      </c>
      <c r="V51" s="8">
        <v>7.5</v>
      </c>
      <c r="W51" s="8">
        <f t="shared" si="30"/>
        <v>4.9504950495049507E-2</v>
      </c>
      <c r="X51" s="8">
        <f t="shared" si="31"/>
        <v>7.4626865671641784E-2</v>
      </c>
      <c r="Y51" s="8">
        <f t="shared" si="36"/>
        <v>1.7412784223207599E-2</v>
      </c>
      <c r="Z51" s="8">
        <f t="shared" si="32"/>
        <v>4.837774318591094E-2</v>
      </c>
      <c r="AA51" s="15">
        <f t="shared" si="33"/>
        <v>3.1863136599015098E-3</v>
      </c>
      <c r="AB51" s="15">
        <f t="shared" si="34"/>
        <v>6.3726273198030196E-3</v>
      </c>
      <c r="AC51" s="15">
        <f t="shared" si="35"/>
        <v>8.8524995183153973E-3</v>
      </c>
      <c r="AD51" s="15">
        <f t="shared" si="37"/>
        <v>1.7704999036630795E-2</v>
      </c>
    </row>
    <row r="52" spans="3:33">
      <c r="C52" s="8" t="s">
        <v>175</v>
      </c>
      <c r="D52" s="8" t="s">
        <v>176</v>
      </c>
      <c r="E52" s="8" t="s">
        <v>177</v>
      </c>
      <c r="F52" s="8">
        <v>280.44549999999998</v>
      </c>
      <c r="G52" s="8">
        <v>0.21</v>
      </c>
      <c r="H52" s="8">
        <v>3.2</v>
      </c>
      <c r="I52" s="8">
        <v>9</v>
      </c>
      <c r="J52" s="8">
        <f>SUM(S49,S50)</f>
        <v>40.75</v>
      </c>
      <c r="K52" s="8">
        <f>G52/G$63</f>
        <v>2.3263542705217678E-3</v>
      </c>
      <c r="L52" s="8">
        <f t="shared" si="25"/>
        <v>3.2032032032032032E-2</v>
      </c>
      <c r="M52" s="8">
        <f t="shared" si="25"/>
        <v>0.09</v>
      </c>
      <c r="N52" s="8">
        <f t="shared" si="25"/>
        <v>0.20223325062034739</v>
      </c>
      <c r="O52" s="8">
        <f t="shared" si="28"/>
        <v>8.1647909230725291E-2</v>
      </c>
      <c r="P52" s="15">
        <f t="shared" si="26"/>
        <v>4.670254617574391E-2</v>
      </c>
      <c r="Q52" s="8">
        <f t="shared" si="27"/>
        <v>13.097518913529587</v>
      </c>
      <c r="S52" s="8">
        <f t="shared" si="29"/>
        <v>23.5</v>
      </c>
      <c r="T52" s="8" t="s">
        <v>222</v>
      </c>
      <c r="U52" s="8">
        <v>28</v>
      </c>
      <c r="V52" s="8">
        <v>19</v>
      </c>
      <c r="W52" s="8">
        <f t="shared" si="30"/>
        <v>0.27722772277227725</v>
      </c>
      <c r="X52" s="8">
        <f t="shared" si="31"/>
        <v>0.1890547263681592</v>
      </c>
      <c r="Y52" s="8">
        <f t="shared" si="36"/>
        <v>9.7511591649962565E-2</v>
      </c>
      <c r="Z52" s="8">
        <f t="shared" si="32"/>
        <v>0.12255694940430772</v>
      </c>
      <c r="AA52" s="15">
        <f t="shared" si="33"/>
        <v>1.7843356495448458E-2</v>
      </c>
      <c r="AB52" s="15">
        <f t="shared" si="34"/>
        <v>3.5686712990896916E-2</v>
      </c>
      <c r="AC52" s="15">
        <f t="shared" si="35"/>
        <v>2.2426332113065675E-2</v>
      </c>
      <c r="AD52" s="15">
        <f t="shared" si="37"/>
        <v>4.485266422613135E-2</v>
      </c>
    </row>
    <row r="53" spans="3:33">
      <c r="C53" s="8" t="s">
        <v>178</v>
      </c>
      <c r="D53" s="8" t="s">
        <v>179</v>
      </c>
      <c r="E53" s="8" t="s">
        <v>180</v>
      </c>
      <c r="F53" s="8">
        <v>278.42959999999999</v>
      </c>
      <c r="G53" s="8">
        <f>0.3/2</f>
        <v>0.15</v>
      </c>
      <c r="H53" s="8">
        <f>12.1/2</f>
        <v>6.05</v>
      </c>
      <c r="J53" s="8">
        <f>S47</f>
        <v>7.75</v>
      </c>
      <c r="K53" s="8">
        <f t="shared" si="24"/>
        <v>1.661681621801263E-3</v>
      </c>
      <c r="L53" s="8">
        <f t="shared" si="25"/>
        <v>6.0560560560560556E-2</v>
      </c>
      <c r="N53" s="8">
        <f t="shared" si="25"/>
        <v>3.8461538461538464E-2</v>
      </c>
      <c r="O53" s="8">
        <f t="shared" si="28"/>
        <v>3.3561260214633425E-2</v>
      </c>
      <c r="P53" s="15">
        <f t="shared" si="26"/>
        <v>1.9197017041316235E-2</v>
      </c>
      <c r="Q53" s="8">
        <f t="shared" si="27"/>
        <v>5.3450177760068627</v>
      </c>
      <c r="S53" s="8">
        <f>SUM(S46:S52)</f>
        <v>100.75</v>
      </c>
      <c r="U53" s="8">
        <f>SUM(U46:U52)</f>
        <v>101</v>
      </c>
      <c r="V53" s="8">
        <f>SUM(V46:V52)</f>
        <v>100.5</v>
      </c>
      <c r="W53" s="8">
        <f t="shared" ref="W53" si="38">SUM(W46:W52)</f>
        <v>1</v>
      </c>
      <c r="X53" s="8">
        <f>SUM(X46:X52)</f>
        <v>1</v>
      </c>
      <c r="Y53" s="8">
        <f>SUM(Y46:Y52)</f>
        <v>0.3517382413087935</v>
      </c>
      <c r="Z53" s="8">
        <f t="shared" ref="Z53" si="39">SUM(Z46:Z52)</f>
        <v>0.64826175869120661</v>
      </c>
      <c r="AA53" s="8">
        <f>SUM(AA46:AA52)</f>
        <v>6.4363535930010513E-2</v>
      </c>
      <c r="AB53" s="8">
        <f>SUM(AB46:AB52)</f>
        <v>0.12872707186002103</v>
      </c>
      <c r="AC53" s="8">
        <f>SUM(AC46:AC52)</f>
        <v>0.11862349354542633</v>
      </c>
      <c r="AD53" s="8">
        <f>SUM(AD46:AD52)</f>
        <v>0.23724698709085265</v>
      </c>
    </row>
    <row r="54" spans="3:33">
      <c r="C54" s="8" t="s">
        <v>181</v>
      </c>
      <c r="D54" s="8" t="s">
        <v>182</v>
      </c>
      <c r="E54" s="8" t="s">
        <v>180</v>
      </c>
      <c r="F54" s="8">
        <v>278.42959999999999</v>
      </c>
      <c r="G54" s="8">
        <f>0.15</f>
        <v>0.15</v>
      </c>
      <c r="H54" s="8">
        <f>12.1/2</f>
        <v>6.05</v>
      </c>
      <c r="I54" s="8">
        <v>7.1</v>
      </c>
      <c r="J54" s="8">
        <f>SUM(S46,S48)</f>
        <v>22.5</v>
      </c>
      <c r="K54" s="8">
        <f t="shared" si="24"/>
        <v>1.661681621801263E-3</v>
      </c>
      <c r="L54" s="8">
        <f t="shared" si="25"/>
        <v>6.0560560560560556E-2</v>
      </c>
      <c r="M54" s="8">
        <f t="shared" si="25"/>
        <v>7.0999999999999994E-2</v>
      </c>
      <c r="N54" s="8">
        <f t="shared" si="25"/>
        <v>0.11166253101736973</v>
      </c>
      <c r="O54" s="8">
        <f t="shared" si="28"/>
        <v>6.1221193299932884E-2</v>
      </c>
      <c r="P54" s="15">
        <f t="shared" si="26"/>
        <v>3.5018479149840936E-2</v>
      </c>
      <c r="Q54" s="8">
        <f t="shared" si="27"/>
        <v>9.7501811422985512</v>
      </c>
    </row>
    <row r="55" spans="3:33">
      <c r="C55" s="8" t="s">
        <v>183</v>
      </c>
      <c r="D55" s="8" t="s">
        <v>184</v>
      </c>
      <c r="E55" s="8" t="s">
        <v>185</v>
      </c>
      <c r="F55" s="8">
        <v>312.53039999999999</v>
      </c>
      <c r="G55" s="8">
        <v>0.2</v>
      </c>
      <c r="K55" s="8">
        <f t="shared" si="24"/>
        <v>2.2155754957350173E-3</v>
      </c>
      <c r="O55" s="8">
        <f t="shared" si="28"/>
        <v>2.2155754957350173E-3</v>
      </c>
      <c r="P55" s="15">
        <f t="shared" si="26"/>
        <v>1.2673076122869408E-3</v>
      </c>
      <c r="Q55" s="8">
        <f t="shared" si="27"/>
        <v>0.3960721549910825</v>
      </c>
      <c r="U55" s="8">
        <v>3.44</v>
      </c>
      <c r="V55" s="8">
        <f>5.3+1.04</f>
        <v>6.34</v>
      </c>
      <c r="W55" s="8">
        <f>V55+U55</f>
        <v>9.7799999999999994</v>
      </c>
    </row>
    <row r="56" spans="3:33">
      <c r="C56" s="8" t="s">
        <v>186</v>
      </c>
      <c r="D56" s="8" t="s">
        <v>187</v>
      </c>
      <c r="E56" s="8" t="s">
        <v>188</v>
      </c>
      <c r="F56" s="8">
        <v>310.5145</v>
      </c>
      <c r="G56" s="8">
        <v>0.2</v>
      </c>
      <c r="K56" s="8">
        <f t="shared" si="24"/>
        <v>2.2155754957350173E-3</v>
      </c>
      <c r="O56" s="8">
        <f t="shared" si="28"/>
        <v>2.2155754957350173E-3</v>
      </c>
      <c r="P56" s="15">
        <f t="shared" si="26"/>
        <v>1.2673076122869408E-3</v>
      </c>
      <c r="Q56" s="8">
        <f t="shared" si="27"/>
        <v>0.39351738957547328</v>
      </c>
      <c r="U56" s="8">
        <f>U55/$W$55</f>
        <v>0.3517382413087935</v>
      </c>
      <c r="V56" s="8">
        <f>V55/$W$55</f>
        <v>0.64826175869120661</v>
      </c>
      <c r="Z56" s="8" t="s">
        <v>223</v>
      </c>
      <c r="AA56" s="8">
        <f>P47</f>
        <v>0.13481679347280096</v>
      </c>
      <c r="AB56" s="8">
        <f>SUM(AA47:AA48,AA50,AA52)</f>
        <v>4.7794704898522652E-2</v>
      </c>
      <c r="AC56" s="8">
        <f>SUM(AC47:AC48,AC50,AC52)</f>
        <v>8.026266229939294E-2</v>
      </c>
      <c r="AD56" s="8">
        <f>SUM(AB47:AB48,AB50,AB52)</f>
        <v>9.5589409797045305E-2</v>
      </c>
      <c r="AE56" s="8">
        <f>SUM(AD47:AD48,AD50,AD52)</f>
        <v>0.16052532459878588</v>
      </c>
      <c r="AF56" s="8">
        <f>AB56+AC56</f>
        <v>0.12805736719791561</v>
      </c>
      <c r="AG56" s="8">
        <f>AE56+AD56</f>
        <v>0.25611473439583121</v>
      </c>
    </row>
    <row r="57" spans="3:33">
      <c r="C57" s="8" t="s">
        <v>189</v>
      </c>
      <c r="D57" s="8" t="s">
        <v>190</v>
      </c>
      <c r="E57" s="8" t="s">
        <v>191</v>
      </c>
      <c r="F57" s="8">
        <v>308.49860000000001</v>
      </c>
      <c r="G57" s="8">
        <v>0.72</v>
      </c>
      <c r="K57" s="8">
        <f t="shared" si="24"/>
        <v>7.9760717846460612E-3</v>
      </c>
      <c r="O57" s="8">
        <f t="shared" si="28"/>
        <v>7.9760717846460612E-3</v>
      </c>
      <c r="P57" s="15">
        <f t="shared" si="26"/>
        <v>4.5623074042329863E-3</v>
      </c>
      <c r="Q57" s="8">
        <f t="shared" si="27"/>
        <v>1.4074654469755103</v>
      </c>
      <c r="Z57" s="8" t="s">
        <v>224</v>
      </c>
      <c r="AA57" s="8">
        <f>P51</f>
        <v>0.13023922311117159</v>
      </c>
      <c r="AB57" s="8">
        <f>SUM(AA46,AA49,AA51*2,AA52)</f>
        <v>3.7598501186837816E-2</v>
      </c>
      <c r="AC57" s="8">
        <f>SUM(AC46,AC49,AC51*2,AC52)</f>
        <v>6.9639662877414465E-2</v>
      </c>
      <c r="AD57" s="8">
        <f>SUM(AB46,AB49,AB51*2,AB52)</f>
        <v>7.5197002373675631E-2</v>
      </c>
      <c r="AE57" s="8">
        <f>SUM(AD46,AD49,AD51*2,AD52)</f>
        <v>0.13927932575482893</v>
      </c>
      <c r="AF57" s="8">
        <f t="shared" ref="AF57:AF60" si="40">AB57+AC57</f>
        <v>0.10723816406425228</v>
      </c>
      <c r="AG57" s="8">
        <f t="shared" ref="AG57:AG59" si="41">AE57+AD57</f>
        <v>0.21447632812850456</v>
      </c>
    </row>
    <row r="58" spans="3:33">
      <c r="C58" s="8" t="s">
        <v>192</v>
      </c>
      <c r="D58" s="8" t="s">
        <v>193</v>
      </c>
      <c r="E58" s="8" t="s">
        <v>194</v>
      </c>
      <c r="F58" s="8">
        <v>306.4828</v>
      </c>
      <c r="G58" s="8">
        <v>3</v>
      </c>
      <c r="K58" s="8">
        <f t="shared" si="24"/>
        <v>3.3233632436025257E-2</v>
      </c>
      <c r="O58" s="8">
        <f t="shared" si="28"/>
        <v>3.3233632436025257E-2</v>
      </c>
      <c r="P58" s="15">
        <f t="shared" si="26"/>
        <v>1.9009614184304111E-2</v>
      </c>
      <c r="Q58" s="8">
        <f t="shared" si="27"/>
        <v>5.8261197821252404</v>
      </c>
      <c r="Z58" s="8" t="s">
        <v>225</v>
      </c>
      <c r="AA58" s="8">
        <f>P52</f>
        <v>4.670254617574391E-2</v>
      </c>
      <c r="AB58" s="8">
        <f>SUM(AA49,AA50)</f>
        <v>2.4215983815251477E-2</v>
      </c>
      <c r="AC58" s="8">
        <f>SUM(AC49,AC50)</f>
        <v>5.13444972062293E-2</v>
      </c>
      <c r="AD58" s="8">
        <f>SUM(AB49,AB50)</f>
        <v>4.8431967630502955E-2</v>
      </c>
      <c r="AE58" s="8">
        <f>SUM(AD49,AD50)</f>
        <v>0.1026889944124586</v>
      </c>
      <c r="AF58" s="8">
        <f>AB58+AC58</f>
        <v>7.5560481021480774E-2</v>
      </c>
      <c r="AG58" s="8">
        <f t="shared" si="41"/>
        <v>0.15112096204296155</v>
      </c>
    </row>
    <row r="59" spans="3:33">
      <c r="C59" s="8" t="s">
        <v>195</v>
      </c>
      <c r="D59" s="8" t="s">
        <v>196</v>
      </c>
      <c r="E59" s="8" t="s">
        <v>197</v>
      </c>
      <c r="F59" s="8">
        <v>304.46690000000001</v>
      </c>
      <c r="G59" s="8">
        <v>0.04</v>
      </c>
      <c r="K59" s="8">
        <f t="shared" si="24"/>
        <v>4.4311509914700349E-4</v>
      </c>
      <c r="O59" s="8">
        <f t="shared" si="28"/>
        <v>4.4311509914700349E-4</v>
      </c>
      <c r="P59" s="15">
        <f>O59/$O$63</f>
        <v>2.5346152245738819E-4</v>
      </c>
      <c r="Q59" s="8">
        <f t="shared" si="27"/>
        <v>7.7170644011881367E-2</v>
      </c>
      <c r="Z59" s="8" t="s">
        <v>226</v>
      </c>
      <c r="AA59" s="8">
        <f>P54</f>
        <v>3.5018479149840936E-2</v>
      </c>
      <c r="AB59" s="8">
        <f>SUM(AA46,AA48)</f>
        <v>1.4657042835546946E-2</v>
      </c>
      <c r="AC59" s="8">
        <f>SUM(AC46,AC48)</f>
        <v>2.5967331920391832E-2</v>
      </c>
      <c r="AD59" s="8">
        <f>SUM(AB46,AB48)</f>
        <v>2.9314085671093892E-2</v>
      </c>
      <c r="AE59" s="8">
        <f>SUM(AD46,AD48)</f>
        <v>5.1934663840783664E-2</v>
      </c>
      <c r="AF59" s="8">
        <f t="shared" si="40"/>
        <v>4.0624374755938775E-2</v>
      </c>
      <c r="AG59" s="8">
        <f t="shared" si="41"/>
        <v>8.1248749511877549E-2</v>
      </c>
    </row>
    <row r="60" spans="3:33">
      <c r="C60" s="8" t="s">
        <v>198</v>
      </c>
      <c r="D60" s="8" t="s">
        <v>199</v>
      </c>
      <c r="E60" s="8" t="s">
        <v>200</v>
      </c>
      <c r="F60" s="8">
        <v>340.58359999999999</v>
      </c>
      <c r="G60" s="8">
        <f>58.04+0.2</f>
        <v>58.24</v>
      </c>
      <c r="K60" s="8">
        <f t="shared" si="24"/>
        <v>0.64517558435803701</v>
      </c>
      <c r="O60" s="8">
        <f t="shared" si="28"/>
        <v>0.64517558435803701</v>
      </c>
      <c r="P60" s="15">
        <f t="shared" si="26"/>
        <v>0.36903997669795718</v>
      </c>
      <c r="Q60" s="8">
        <f t="shared" si="27"/>
        <v>125.68896380770637</v>
      </c>
      <c r="Z60" s="8" t="s">
        <v>227</v>
      </c>
      <c r="AA60" s="8">
        <f>P53</f>
        <v>1.9197017041316235E-2</v>
      </c>
      <c r="AB60" s="8">
        <f>AA47</f>
        <v>4.4608391238621144E-3</v>
      </c>
      <c r="AC60" s="8">
        <f>AC47</f>
        <v>1.0032832787424117E-2</v>
      </c>
      <c r="AD60" s="8">
        <f>AB47</f>
        <v>8.9216782477242289E-3</v>
      </c>
      <c r="AE60" s="8">
        <f>AD47</f>
        <v>2.0065665574848235E-2</v>
      </c>
      <c r="AF60" s="8">
        <f t="shared" si="40"/>
        <v>1.4493671911286232E-2</v>
      </c>
      <c r="AG60" s="8">
        <f>AE60+AD60</f>
        <v>2.8987343822572464E-2</v>
      </c>
    </row>
    <row r="61" spans="3:33">
      <c r="C61" s="8" t="s">
        <v>203</v>
      </c>
      <c r="D61" s="8" t="s">
        <v>204</v>
      </c>
      <c r="E61" s="8" t="s">
        <v>205</v>
      </c>
      <c r="F61" s="8">
        <v>336.55180000000001</v>
      </c>
      <c r="G61" s="8">
        <v>0.2</v>
      </c>
      <c r="K61" s="8">
        <f t="shared" si="24"/>
        <v>2.2155754957350173E-3</v>
      </c>
      <c r="O61" s="8">
        <f t="shared" si="28"/>
        <v>2.2155754957350173E-3</v>
      </c>
      <c r="P61" s="15">
        <f t="shared" si="26"/>
        <v>1.2673076122869408E-3</v>
      </c>
      <c r="Q61" s="8">
        <f t="shared" si="27"/>
        <v>0.42651465806887207</v>
      </c>
      <c r="AA61" s="8">
        <f>SUM(AA56:AA60)</f>
        <v>0.36597405895087359</v>
      </c>
      <c r="AF61" s="8">
        <f>SUM(AF56:AF60)</f>
        <v>0.3659740589508737</v>
      </c>
      <c r="AG61" s="8">
        <f>SUM(AG56:AG60)</f>
        <v>0.73194811790174741</v>
      </c>
    </row>
    <row r="62" spans="3:33">
      <c r="C62" s="8" t="s">
        <v>206</v>
      </c>
      <c r="D62" s="8" t="s">
        <v>207</v>
      </c>
      <c r="E62" s="8" t="s">
        <v>208</v>
      </c>
      <c r="F62" s="8">
        <v>328.48829999999998</v>
      </c>
      <c r="G62" s="8">
        <v>0.6</v>
      </c>
      <c r="K62" s="8">
        <f t="shared" si="24"/>
        <v>6.6467264872050518E-3</v>
      </c>
      <c r="O62" s="8">
        <f>AVERAGE(K62:N62)</f>
        <v>6.6467264872050518E-3</v>
      </c>
      <c r="P62" s="15">
        <f>O62/$O$63</f>
        <v>3.8019228368608225E-3</v>
      </c>
      <c r="Q62" s="8">
        <f>P62*F62</f>
        <v>1.2488871694115888</v>
      </c>
    </row>
    <row r="63" spans="3:33">
      <c r="C63" s="8" t="s">
        <v>125</v>
      </c>
      <c r="D63" s="8" t="s">
        <v>13</v>
      </c>
      <c r="E63" s="8" t="s">
        <v>13</v>
      </c>
      <c r="F63" s="8">
        <f>SUM(F44:F62)</f>
        <v>5368.6284999999998</v>
      </c>
      <c r="G63" s="8">
        <f t="shared" ref="G63:Q63" si="42">SUM(G44:G62)</f>
        <v>90.27</v>
      </c>
      <c r="H63" s="8">
        <f t="shared" si="42"/>
        <v>99.9</v>
      </c>
      <c r="I63" s="8">
        <f t="shared" si="42"/>
        <v>100</v>
      </c>
      <c r="J63" s="8">
        <f t="shared" si="42"/>
        <v>201.5</v>
      </c>
      <c r="K63" s="8">
        <f t="shared" si="42"/>
        <v>1</v>
      </c>
      <c r="L63" s="8">
        <f t="shared" si="42"/>
        <v>1</v>
      </c>
      <c r="M63" s="8">
        <f t="shared" si="42"/>
        <v>0.99999999999999989</v>
      </c>
      <c r="N63" s="8">
        <f t="shared" si="42"/>
        <v>1</v>
      </c>
      <c r="O63" s="8">
        <f t="shared" si="42"/>
        <v>1.7482539158246386</v>
      </c>
      <c r="P63" s="8">
        <f t="shared" si="42"/>
        <v>1.0000000000000004</v>
      </c>
      <c r="Q63" s="8">
        <f t="shared" si="42"/>
        <v>290.78976351060646</v>
      </c>
    </row>
    <row r="65" spans="3:25">
      <c r="C65" s="8" t="s">
        <v>116</v>
      </c>
      <c r="G65" s="8" t="s">
        <v>130</v>
      </c>
      <c r="H65" s="8" t="s">
        <v>147</v>
      </c>
      <c r="I65" s="8" t="s">
        <v>209</v>
      </c>
    </row>
    <row r="66" spans="3:25">
      <c r="C66" s="8" t="s">
        <v>107</v>
      </c>
      <c r="D66" s="8" t="s">
        <v>108</v>
      </c>
      <c r="E66" s="8" t="s">
        <v>109</v>
      </c>
      <c r="F66" s="8" t="s">
        <v>110</v>
      </c>
      <c r="G66" s="8" t="s">
        <v>148</v>
      </c>
      <c r="H66" s="8" t="s">
        <v>149</v>
      </c>
      <c r="S66" s="8" t="s">
        <v>150</v>
      </c>
      <c r="T66" s="8" t="s">
        <v>151</v>
      </c>
      <c r="W66" s="8" t="s">
        <v>107</v>
      </c>
      <c r="X66" s="8" t="s">
        <v>108</v>
      </c>
    </row>
    <row r="67" spans="3:25">
      <c r="C67" s="8" t="s">
        <v>153</v>
      </c>
      <c r="D67" s="8" t="s">
        <v>154</v>
      </c>
      <c r="E67" s="8" t="s">
        <v>155</v>
      </c>
      <c r="F67" s="8">
        <v>200.31780000000001</v>
      </c>
      <c r="G67" s="8">
        <v>2.39</v>
      </c>
      <c r="J67" s="8">
        <v>6.87</v>
      </c>
      <c r="K67" s="8">
        <v>0.46</v>
      </c>
      <c r="M67" s="8">
        <f>G67/G$86</f>
        <v>2.8240576627673406E-2</v>
      </c>
      <c r="P67" s="8">
        <f t="shared" ref="N67:R82" si="43">J67/J$86</f>
        <v>7.6811270125223624E-2</v>
      </c>
      <c r="Q67" s="8">
        <f>K67/K$86</f>
        <v>5.2571428571428578E-3</v>
      </c>
      <c r="S67" s="8">
        <f>AVERAGE(M67:R67)</f>
        <v>3.6769663203346632E-2</v>
      </c>
      <c r="T67" s="15">
        <f>S67/$S$86</f>
        <v>2.7858545718356803E-2</v>
      </c>
      <c r="U67" s="8">
        <f>T67*F67</f>
        <v>5.580562589500655</v>
      </c>
      <c r="W67" s="8" t="s">
        <v>153</v>
      </c>
      <c r="X67" s="8" t="s">
        <v>154</v>
      </c>
      <c r="Y67" s="8" t="s">
        <v>154</v>
      </c>
    </row>
    <row r="68" spans="3:25">
      <c r="C68" s="8" t="s">
        <v>156</v>
      </c>
      <c r="D68" s="8" t="s">
        <v>157</v>
      </c>
      <c r="E68" s="8" t="s">
        <v>158</v>
      </c>
      <c r="F68" s="8">
        <v>228.37090000000001</v>
      </c>
      <c r="G68" s="8">
        <f>4.23+0.17</f>
        <v>4.4000000000000004</v>
      </c>
      <c r="H68" s="8">
        <f>4.6+2.5</f>
        <v>7.1</v>
      </c>
      <c r="J68" s="8">
        <v>2.77</v>
      </c>
      <c r="K68" s="8">
        <v>1.29</v>
      </c>
      <c r="L68" s="8">
        <f>AVERAGE(0,0)</f>
        <v>0</v>
      </c>
      <c r="M68" s="8">
        <f t="shared" ref="M68:M85" si="44">G68/G$86</f>
        <v>5.1991019732955224E-2</v>
      </c>
      <c r="N68" s="8">
        <f t="shared" si="43"/>
        <v>7.1071071071071065E-2</v>
      </c>
      <c r="P68" s="8">
        <f t="shared" si="43"/>
        <v>3.0970483005366731E-2</v>
      </c>
      <c r="Q68" s="8">
        <f t="shared" si="43"/>
        <v>1.4742857142857143E-2</v>
      </c>
      <c r="S68" s="8">
        <f>AVERAGE(M68:R68)</f>
        <v>4.2193857738062543E-2</v>
      </c>
      <c r="T68" s="15">
        <f t="shared" ref="T68:T85" si="45">S68/$S$86</f>
        <v>3.1968188240643784E-2</v>
      </c>
      <c r="U68" s="8">
        <f>T68*F68</f>
        <v>7.3006039198852379</v>
      </c>
      <c r="W68" s="8" t="s">
        <v>156</v>
      </c>
      <c r="X68" s="8" t="s">
        <v>157</v>
      </c>
      <c r="Y68" s="8" t="s">
        <v>157</v>
      </c>
    </row>
    <row r="69" spans="3:25">
      <c r="C69" s="8" t="s">
        <v>159</v>
      </c>
      <c r="F69" s="8">
        <v>226.37090000000001</v>
      </c>
      <c r="H69" s="8">
        <v>0.4</v>
      </c>
      <c r="K69" s="8">
        <v>6.42</v>
      </c>
      <c r="M69" s="8">
        <f t="shared" si="44"/>
        <v>0</v>
      </c>
      <c r="N69" s="8">
        <f t="shared" si="43"/>
        <v>4.004004004004004E-3</v>
      </c>
      <c r="Q69" s="8">
        <f t="shared" si="43"/>
        <v>7.3371428571428574E-2</v>
      </c>
      <c r="S69" s="8">
        <f t="shared" ref="S69:S85" si="46">AVERAGE(M69:R69)</f>
        <v>2.5791810858477527E-2</v>
      </c>
      <c r="T69" s="24">
        <f t="shared" si="45"/>
        <v>1.954117278655711E-2</v>
      </c>
      <c r="U69" s="9"/>
      <c r="W69" s="8" t="s">
        <v>159</v>
      </c>
      <c r="X69" s="8" t="s">
        <v>228</v>
      </c>
      <c r="Y69" s="8" t="s">
        <v>228</v>
      </c>
    </row>
    <row r="70" spans="3:25">
      <c r="C70" s="8" t="s">
        <v>161</v>
      </c>
      <c r="D70" s="8" t="s">
        <v>162</v>
      </c>
      <c r="E70" s="8" t="s">
        <v>163</v>
      </c>
      <c r="F70" s="8">
        <v>256.42410000000001</v>
      </c>
      <c r="G70" s="8">
        <v>0.4</v>
      </c>
      <c r="H70" s="8">
        <v>35.700000000000003</v>
      </c>
      <c r="I70" s="8">
        <v>33.200000000000003</v>
      </c>
      <c r="J70" s="8">
        <v>9.82</v>
      </c>
      <c r="K70" s="8">
        <v>12.16</v>
      </c>
      <c r="L70" s="8">
        <f>AVERAGE(47.4,44.7)</f>
        <v>46.05</v>
      </c>
      <c r="M70" s="8">
        <f t="shared" si="44"/>
        <v>4.726456339359566E-3</v>
      </c>
      <c r="N70" s="8">
        <f t="shared" si="43"/>
        <v>0.35735735735735735</v>
      </c>
      <c r="O70" s="8">
        <f t="shared" si="43"/>
        <v>0.33200000000000002</v>
      </c>
      <c r="P70" s="8">
        <f t="shared" si="43"/>
        <v>0.10979427549194994</v>
      </c>
      <c r="Q70" s="8">
        <f t="shared" si="43"/>
        <v>0.13897142857142858</v>
      </c>
      <c r="R70" s="8">
        <f t="shared" si="43"/>
        <v>0.4878177966101695</v>
      </c>
      <c r="S70" s="8">
        <f t="shared" si="46"/>
        <v>0.23844455239504417</v>
      </c>
      <c r="T70" s="15">
        <f t="shared" si="45"/>
        <v>0.18065758251454062</v>
      </c>
      <c r="U70" s="8">
        <f t="shared" ref="U70:U76" si="47">T70*F70</f>
        <v>46.324958004466815</v>
      </c>
      <c r="W70" s="8" t="s">
        <v>161</v>
      </c>
      <c r="X70" s="8" t="s">
        <v>162</v>
      </c>
    </row>
    <row r="71" spans="3:25">
      <c r="C71" s="8" t="s">
        <v>164</v>
      </c>
      <c r="D71" s="8" t="s">
        <v>165</v>
      </c>
      <c r="E71" s="8" t="s">
        <v>166</v>
      </c>
      <c r="F71" s="8">
        <v>254.40819999999999</v>
      </c>
      <c r="G71" s="8">
        <v>3.15</v>
      </c>
      <c r="H71" s="8">
        <v>16.8</v>
      </c>
      <c r="I71" s="8">
        <f>9.1+1.1</f>
        <v>10.199999999999999</v>
      </c>
      <c r="J71" s="8">
        <v>14.73</v>
      </c>
      <c r="K71" s="8">
        <v>2.88</v>
      </c>
      <c r="L71" s="8">
        <f>AVERAGE(3.9,5)</f>
        <v>4.45</v>
      </c>
      <c r="M71" s="8">
        <f t="shared" si="44"/>
        <v>3.722084367245658E-2</v>
      </c>
      <c r="N71" s="8">
        <f t="shared" si="43"/>
        <v>0.16816816816816815</v>
      </c>
      <c r="O71" s="8">
        <f t="shared" si="43"/>
        <v>0.10199999999999999</v>
      </c>
      <c r="P71" s="8">
        <f t="shared" si="43"/>
        <v>0.16469141323792491</v>
      </c>
      <c r="Q71" s="8">
        <f t="shared" si="43"/>
        <v>3.2914285714285715E-2</v>
      </c>
      <c r="R71" s="8">
        <f t="shared" si="43"/>
        <v>4.7139830508474583E-2</v>
      </c>
      <c r="S71" s="8">
        <f t="shared" si="46"/>
        <v>9.2022423550218321E-2</v>
      </c>
      <c r="T71" s="15">
        <f t="shared" si="45"/>
        <v>6.9720815211449114E-2</v>
      </c>
      <c r="U71" s="8">
        <f t="shared" si="47"/>
        <v>17.737547100477389</v>
      </c>
      <c r="W71" s="8" t="s">
        <v>164</v>
      </c>
      <c r="X71" s="8" t="s">
        <v>165</v>
      </c>
      <c r="Y71" s="8" t="s">
        <v>165</v>
      </c>
    </row>
    <row r="72" spans="3:25">
      <c r="C72" s="13" t="s">
        <v>167</v>
      </c>
      <c r="D72" s="13" t="s">
        <v>168</v>
      </c>
      <c r="E72" s="13"/>
      <c r="F72" s="13">
        <v>250.37639999999999</v>
      </c>
      <c r="H72" s="8">
        <v>6.4</v>
      </c>
      <c r="I72" s="8">
        <v>6.3</v>
      </c>
      <c r="L72" s="8">
        <f>AVERAGE(2.7,1.6)</f>
        <v>2.1500000000000004</v>
      </c>
      <c r="M72" s="8">
        <f t="shared" si="44"/>
        <v>0</v>
      </c>
      <c r="N72" s="8">
        <f t="shared" si="43"/>
        <v>6.4064064064064064E-2</v>
      </c>
      <c r="O72" s="8">
        <f t="shared" si="43"/>
        <v>6.3E-2</v>
      </c>
      <c r="R72" s="8">
        <f t="shared" si="43"/>
        <v>2.2775423728813565E-2</v>
      </c>
      <c r="S72" s="8">
        <f t="shared" si="46"/>
        <v>3.7459871948219405E-2</v>
      </c>
      <c r="T72" s="15">
        <f t="shared" si="45"/>
        <v>2.838148256898582E-2</v>
      </c>
      <c r="U72" s="8">
        <f t="shared" si="47"/>
        <v>7.106053432285421</v>
      </c>
      <c r="W72" s="8" t="s">
        <v>167</v>
      </c>
      <c r="X72" s="9" t="s">
        <v>168</v>
      </c>
      <c r="Y72" s="8" t="s">
        <v>229</v>
      </c>
    </row>
    <row r="73" spans="3:25">
      <c r="C73" s="8" t="s">
        <v>169</v>
      </c>
      <c r="D73" s="8" t="s">
        <v>170</v>
      </c>
      <c r="E73" s="8" t="s">
        <v>171</v>
      </c>
      <c r="F73" s="8">
        <v>284.47719999999998</v>
      </c>
      <c r="G73" s="8">
        <v>0.78</v>
      </c>
      <c r="I73" s="8">
        <v>1.7</v>
      </c>
      <c r="J73" s="8">
        <v>3.07</v>
      </c>
      <c r="K73" s="8">
        <v>3.64</v>
      </c>
      <c r="L73" s="8">
        <f>AVERAGE(14.9,15.3)</f>
        <v>15.100000000000001</v>
      </c>
      <c r="M73" s="8">
        <f t="shared" si="44"/>
        <v>9.2165898617511521E-3</v>
      </c>
      <c r="O73" s="8">
        <f t="shared" si="43"/>
        <v>1.7000000000000001E-2</v>
      </c>
      <c r="P73" s="8">
        <f t="shared" si="43"/>
        <v>3.4324686940966014E-2</v>
      </c>
      <c r="Q73" s="8">
        <f t="shared" si="43"/>
        <v>4.1599999999999998E-2</v>
      </c>
      <c r="R73" s="8">
        <f t="shared" si="43"/>
        <v>0.15995762711864409</v>
      </c>
      <c r="S73" s="8">
        <f t="shared" si="46"/>
        <v>5.241978078427225E-2</v>
      </c>
      <c r="T73" s="15">
        <f t="shared" si="45"/>
        <v>3.9715861726793721E-2</v>
      </c>
      <c r="U73" s="8">
        <f t="shared" si="47"/>
        <v>11.298257139625441</v>
      </c>
      <c r="W73" s="8" t="s">
        <v>169</v>
      </c>
      <c r="X73" s="8" t="s">
        <v>170</v>
      </c>
      <c r="Y73" s="8" t="s">
        <v>170</v>
      </c>
    </row>
    <row r="74" spans="3:25">
      <c r="C74" s="8" t="s">
        <v>172</v>
      </c>
      <c r="D74" s="8" t="s">
        <v>173</v>
      </c>
      <c r="E74" s="8" t="s">
        <v>174</v>
      </c>
      <c r="F74" s="8">
        <v>282.46140000000003</v>
      </c>
      <c r="G74" s="8">
        <v>10</v>
      </c>
      <c r="H74" s="8">
        <v>18.2</v>
      </c>
      <c r="I74" s="8">
        <v>32.5</v>
      </c>
      <c r="J74" s="8">
        <v>8.01</v>
      </c>
      <c r="K74" s="8">
        <v>32.81</v>
      </c>
      <c r="L74" s="8">
        <f>AVERAGE(7,7.5)</f>
        <v>7.25</v>
      </c>
      <c r="M74" s="8">
        <f t="shared" si="44"/>
        <v>0.11816140848398914</v>
      </c>
      <c r="N74" s="8">
        <f t="shared" si="43"/>
        <v>0.18218218218218216</v>
      </c>
      <c r="O74" s="8">
        <f t="shared" si="43"/>
        <v>0.32500000000000001</v>
      </c>
      <c r="P74" s="8">
        <f t="shared" si="43"/>
        <v>8.9557245080500905E-2</v>
      </c>
      <c r="Q74" s="8">
        <f t="shared" si="43"/>
        <v>0.37497142857142862</v>
      </c>
      <c r="R74" s="8">
        <f t="shared" si="43"/>
        <v>7.6800847457627122E-2</v>
      </c>
      <c r="S74" s="8">
        <f t="shared" si="46"/>
        <v>0.19444551862928802</v>
      </c>
      <c r="T74" s="15">
        <f t="shared" si="45"/>
        <v>0.14732170214631143</v>
      </c>
      <c r="U74" s="8">
        <f t="shared" si="47"/>
        <v>41.612694238630134</v>
      </c>
      <c r="W74" s="8" t="s">
        <v>172</v>
      </c>
      <c r="X74" s="8" t="s">
        <v>173</v>
      </c>
      <c r="Y74" s="8" t="s">
        <v>173</v>
      </c>
    </row>
    <row r="75" spans="3:25">
      <c r="C75" s="8" t="s">
        <v>175</v>
      </c>
      <c r="D75" s="8" t="s">
        <v>176</v>
      </c>
      <c r="E75" s="8" t="s">
        <v>177</v>
      </c>
      <c r="F75" s="8">
        <v>280.44549999999998</v>
      </c>
      <c r="G75" s="8">
        <v>0.21</v>
      </c>
      <c r="H75" s="8">
        <v>3.2</v>
      </c>
      <c r="I75" s="8">
        <v>9</v>
      </c>
      <c r="J75" s="8">
        <v>4.8499999999999996</v>
      </c>
      <c r="K75" s="8">
        <v>12.14</v>
      </c>
      <c r="L75" s="8">
        <f>AVERAGE(5.9,5.3)</f>
        <v>5.6</v>
      </c>
      <c r="M75" s="8">
        <f t="shared" si="44"/>
        <v>2.4813895781637717E-3</v>
      </c>
      <c r="N75" s="8">
        <f t="shared" si="43"/>
        <v>3.2032032032032032E-2</v>
      </c>
      <c r="O75" s="8">
        <f t="shared" si="43"/>
        <v>0.09</v>
      </c>
      <c r="P75" s="8">
        <f t="shared" si="43"/>
        <v>5.4226296958855107E-2</v>
      </c>
      <c r="Q75" s="8">
        <f t="shared" si="43"/>
        <v>0.13874285714285714</v>
      </c>
      <c r="R75" s="8">
        <f t="shared" si="43"/>
        <v>5.9322033898305086E-2</v>
      </c>
      <c r="S75" s="8">
        <f t="shared" si="46"/>
        <v>6.2800768268368862E-2</v>
      </c>
      <c r="T75" s="15">
        <f t="shared" si="45"/>
        <v>4.7581019828135084E-2</v>
      </c>
      <c r="U75" s="8">
        <f t="shared" si="47"/>
        <v>13.343882896211257</v>
      </c>
      <c r="W75" s="8" t="s">
        <v>175</v>
      </c>
      <c r="X75" s="8" t="s">
        <v>176</v>
      </c>
      <c r="Y75" s="8" t="s">
        <v>176</v>
      </c>
    </row>
    <row r="76" spans="3:25">
      <c r="C76" s="8" t="s">
        <v>178</v>
      </c>
      <c r="D76" s="8" t="s">
        <v>179</v>
      </c>
      <c r="E76" s="8" t="s">
        <v>180</v>
      </c>
      <c r="F76" s="8">
        <v>278.42959999999999</v>
      </c>
      <c r="G76" s="8">
        <f>0.3/2</f>
        <v>0.15</v>
      </c>
      <c r="H76" s="8">
        <f>12.1/2</f>
        <v>6.05</v>
      </c>
      <c r="J76" s="8">
        <f>12.85/2</f>
        <v>6.4249999999999998</v>
      </c>
      <c r="K76" s="8">
        <f>1.32/2</f>
        <v>0.66</v>
      </c>
      <c r="L76" s="8">
        <f>AVERAGE(1.9,2)</f>
        <v>1.95</v>
      </c>
      <c r="M76" s="8">
        <f t="shared" si="44"/>
        <v>1.7724211272598369E-3</v>
      </c>
      <c r="N76" s="8">
        <f t="shared" si="43"/>
        <v>6.0560560560560556E-2</v>
      </c>
      <c r="P76" s="8">
        <f t="shared" si="43"/>
        <v>7.1835867620751351E-2</v>
      </c>
      <c r="Q76" s="8">
        <f t="shared" si="43"/>
        <v>7.5428571428571428E-3</v>
      </c>
      <c r="R76" s="8">
        <f t="shared" si="43"/>
        <v>2.065677966101695E-2</v>
      </c>
      <c r="S76" s="8">
        <f t="shared" si="46"/>
        <v>3.2473697222489169E-2</v>
      </c>
      <c r="T76" s="15">
        <f t="shared" si="45"/>
        <v>2.4603705878775937E-2</v>
      </c>
      <c r="U76" s="8">
        <f t="shared" si="47"/>
        <v>6.8503999863452325</v>
      </c>
      <c r="W76" s="8" t="s">
        <v>178</v>
      </c>
      <c r="X76" s="8" t="s">
        <v>179</v>
      </c>
      <c r="Y76" s="8" t="s">
        <v>179</v>
      </c>
    </row>
    <row r="77" spans="3:25">
      <c r="C77" s="8" t="s">
        <v>181</v>
      </c>
      <c r="D77" s="8" t="s">
        <v>182</v>
      </c>
      <c r="E77" s="8" t="s">
        <v>180</v>
      </c>
      <c r="F77" s="8">
        <v>278.42959999999999</v>
      </c>
      <c r="G77" s="8">
        <f>0.15</f>
        <v>0.15</v>
      </c>
      <c r="H77" s="8">
        <f>12.1/2</f>
        <v>6.05</v>
      </c>
      <c r="I77" s="8">
        <v>7.1</v>
      </c>
      <c r="J77" s="8">
        <f>12.85/2</f>
        <v>6.4249999999999998</v>
      </c>
      <c r="K77" s="8">
        <f>1.32/2</f>
        <v>0.66</v>
      </c>
      <c r="L77" s="8">
        <f>AVERAGE(9,14.7)</f>
        <v>11.85</v>
      </c>
      <c r="M77" s="8">
        <f t="shared" si="44"/>
        <v>1.7724211272598369E-3</v>
      </c>
      <c r="N77" s="8">
        <f t="shared" si="43"/>
        <v>6.0560560560560556E-2</v>
      </c>
      <c r="O77" s="8">
        <f t="shared" si="43"/>
        <v>7.0999999999999994E-2</v>
      </c>
      <c r="P77" s="8">
        <f t="shared" si="43"/>
        <v>7.1835867620751351E-2</v>
      </c>
      <c r="Q77" s="8">
        <f t="shared" si="43"/>
        <v>7.5428571428571428E-3</v>
      </c>
      <c r="R77" s="8">
        <f t="shared" si="43"/>
        <v>0.12552966101694915</v>
      </c>
      <c r="S77" s="8">
        <f t="shared" si="46"/>
        <v>5.6373561244729663E-2</v>
      </c>
      <c r="T77" s="15">
        <f t="shared" si="45"/>
        <v>4.2711444610130371E-2</v>
      </c>
      <c r="W77" s="8" t="s">
        <v>181</v>
      </c>
      <c r="X77" s="8" t="s">
        <v>182</v>
      </c>
      <c r="Y77" s="8" t="s">
        <v>182</v>
      </c>
    </row>
    <row r="78" spans="3:25">
      <c r="C78" s="8" t="s">
        <v>183</v>
      </c>
      <c r="D78" s="8" t="s">
        <v>184</v>
      </c>
      <c r="E78" s="8" t="s">
        <v>185</v>
      </c>
      <c r="F78" s="8">
        <v>312.53039999999999</v>
      </c>
      <c r="G78" s="8">
        <v>0.2</v>
      </c>
      <c r="J78" s="8">
        <v>1.67</v>
      </c>
      <c r="K78" s="8">
        <v>0.26</v>
      </c>
      <c r="M78" s="8">
        <f t="shared" si="44"/>
        <v>2.363228169679783E-3</v>
      </c>
      <c r="P78" s="8">
        <f t="shared" si="43"/>
        <v>1.8671735241502688E-2</v>
      </c>
      <c r="Q78" s="8">
        <f t="shared" si="43"/>
        <v>2.9714285714285715E-3</v>
      </c>
      <c r="S78" s="8">
        <f t="shared" si="46"/>
        <v>8.0021306608703477E-3</v>
      </c>
      <c r="T78" s="15">
        <f t="shared" si="45"/>
        <v>6.0628165568791855E-3</v>
      </c>
      <c r="U78" s="8">
        <f t="shared" ref="U78:U85" si="48">T78*F78</f>
        <v>1.8948144836480745</v>
      </c>
      <c r="W78" s="8" t="s">
        <v>183</v>
      </c>
      <c r="X78" s="8" t="s">
        <v>184</v>
      </c>
    </row>
    <row r="79" spans="3:25">
      <c r="C79" s="8" t="s">
        <v>186</v>
      </c>
      <c r="D79" s="8" t="s">
        <v>187</v>
      </c>
      <c r="E79" s="8" t="s">
        <v>188</v>
      </c>
      <c r="F79" s="8">
        <v>310.5145</v>
      </c>
      <c r="G79" s="8">
        <v>0.2</v>
      </c>
      <c r="K79" s="8">
        <v>2.74</v>
      </c>
      <c r="M79" s="8">
        <f t="shared" si="44"/>
        <v>2.363228169679783E-3</v>
      </c>
      <c r="Q79" s="8">
        <f t="shared" si="43"/>
        <v>3.1314285714285718E-2</v>
      </c>
      <c r="S79" s="8">
        <f t="shared" si="46"/>
        <v>1.6838756941982752E-2</v>
      </c>
      <c r="T79" s="15">
        <f t="shared" si="45"/>
        <v>1.2757888956291243E-2</v>
      </c>
      <c r="U79" s="8">
        <f t="shared" si="48"/>
        <v>3.9615095103182969</v>
      </c>
      <c r="W79" s="8" t="s">
        <v>186</v>
      </c>
      <c r="X79" s="8" t="s">
        <v>187</v>
      </c>
      <c r="Y79" s="8" t="s">
        <v>187</v>
      </c>
    </row>
    <row r="80" spans="3:25">
      <c r="C80" s="8" t="s">
        <v>189</v>
      </c>
      <c r="D80" s="8" t="s">
        <v>190</v>
      </c>
      <c r="E80" s="8" t="s">
        <v>191</v>
      </c>
      <c r="F80" s="8">
        <v>308.49860000000001</v>
      </c>
      <c r="G80" s="8">
        <v>0.72</v>
      </c>
      <c r="M80" s="8">
        <f t="shared" si="44"/>
        <v>8.5076214108472173E-3</v>
      </c>
      <c r="S80" s="8">
        <f t="shared" si="46"/>
        <v>8.5076214108472173E-3</v>
      </c>
      <c r="T80" s="15">
        <f t="shared" si="45"/>
        <v>6.4458017664678173E-3</v>
      </c>
      <c r="U80" s="8">
        <f t="shared" si="48"/>
        <v>1.9885208208328486</v>
      </c>
      <c r="W80" s="8" t="s">
        <v>189</v>
      </c>
      <c r="X80" s="8" t="s">
        <v>190</v>
      </c>
      <c r="Y80" s="8" t="s">
        <v>190</v>
      </c>
    </row>
    <row r="81" spans="3:29">
      <c r="C81" s="8" t="s">
        <v>192</v>
      </c>
      <c r="D81" s="8" t="s">
        <v>193</v>
      </c>
      <c r="E81" s="8" t="s">
        <v>194</v>
      </c>
      <c r="F81" s="8">
        <v>306.4828</v>
      </c>
      <c r="G81" s="8">
        <v>3</v>
      </c>
      <c r="M81" s="8">
        <f t="shared" si="44"/>
        <v>3.5448422545196742E-2</v>
      </c>
      <c r="S81" s="8">
        <f t="shared" si="46"/>
        <v>3.5448422545196742E-2</v>
      </c>
      <c r="T81" s="15">
        <f t="shared" si="45"/>
        <v>2.6857507360282574E-2</v>
      </c>
      <c r="U81" s="8">
        <f t="shared" si="48"/>
        <v>8.2313640568000128</v>
      </c>
      <c r="W81" s="8" t="s">
        <v>192</v>
      </c>
      <c r="X81" s="8" t="s">
        <v>193</v>
      </c>
      <c r="Y81" s="8" t="s">
        <v>193</v>
      </c>
    </row>
    <row r="82" spans="3:29">
      <c r="C82" s="8" t="s">
        <v>195</v>
      </c>
      <c r="D82" s="8" t="s">
        <v>196</v>
      </c>
      <c r="E82" s="8" t="s">
        <v>197</v>
      </c>
      <c r="F82" s="8">
        <v>304.46690000000001</v>
      </c>
      <c r="G82" s="8">
        <v>0.04</v>
      </c>
      <c r="K82" s="8">
        <v>4.12</v>
      </c>
      <c r="M82" s="8">
        <f t="shared" si="44"/>
        <v>4.7264563393595657E-4</v>
      </c>
      <c r="Q82" s="8">
        <f t="shared" si="43"/>
        <v>4.7085714285714286E-2</v>
      </c>
      <c r="S82" s="8">
        <f t="shared" si="46"/>
        <v>2.3779179959825123E-2</v>
      </c>
      <c r="T82" s="15">
        <f t="shared" si="45"/>
        <v>1.8016302417356061E-2</v>
      </c>
      <c r="U82" s="8">
        <f t="shared" si="48"/>
        <v>5.485367746474906</v>
      </c>
      <c r="W82" s="8" t="s">
        <v>195</v>
      </c>
      <c r="X82" s="8" t="s">
        <v>196</v>
      </c>
      <c r="Y82" s="8" t="s">
        <v>196</v>
      </c>
    </row>
    <row r="83" spans="3:29">
      <c r="C83" s="8" t="s">
        <v>198</v>
      </c>
      <c r="D83" s="8" t="s">
        <v>199</v>
      </c>
      <c r="E83" s="8" t="s">
        <v>200</v>
      </c>
      <c r="F83" s="8">
        <v>340.58359999999999</v>
      </c>
      <c r="G83" s="8">
        <v>58.04</v>
      </c>
      <c r="J83" s="8">
        <v>9.44</v>
      </c>
      <c r="K83" s="8">
        <v>1.1399999999999999</v>
      </c>
      <c r="M83" s="8">
        <f t="shared" si="44"/>
        <v>0.68580881484107292</v>
      </c>
      <c r="P83" s="8">
        <f t="shared" ref="P83:P85" si="49">J83/J$86</f>
        <v>0.10554561717352416</v>
      </c>
      <c r="Q83" s="8">
        <f t="shared" ref="Q83:Q85" si="50">K83/K$86</f>
        <v>1.3028571428571428E-2</v>
      </c>
      <c r="S83" s="8">
        <f t="shared" si="46"/>
        <v>0.26812766781438951</v>
      </c>
      <c r="T83" s="15">
        <f t="shared" si="45"/>
        <v>0.20314700330145255</v>
      </c>
      <c r="U83" s="8">
        <f t="shared" si="48"/>
        <v>69.18853771362059</v>
      </c>
      <c r="W83" s="8" t="s">
        <v>198</v>
      </c>
      <c r="X83" s="8" t="s">
        <v>199</v>
      </c>
      <c r="Y83" s="8" t="s">
        <v>199</v>
      </c>
    </row>
    <row r="84" spans="3:29">
      <c r="C84" s="8" t="s">
        <v>203</v>
      </c>
      <c r="D84" s="8" t="s">
        <v>204</v>
      </c>
      <c r="E84" s="8" t="s">
        <v>205</v>
      </c>
      <c r="F84" s="8">
        <v>336.55180000000001</v>
      </c>
      <c r="G84" s="8">
        <v>0.2</v>
      </c>
      <c r="K84" s="8">
        <v>2.0299999999999998</v>
      </c>
      <c r="M84" s="8">
        <f t="shared" si="44"/>
        <v>2.363228169679783E-3</v>
      </c>
      <c r="Q84" s="8">
        <f t="shared" si="50"/>
        <v>2.3199999999999998E-2</v>
      </c>
      <c r="S84" s="8">
        <f t="shared" si="46"/>
        <v>1.278161408483989E-2</v>
      </c>
      <c r="T84" s="15">
        <f t="shared" si="45"/>
        <v>9.6839935238921798E-3</v>
      </c>
      <c r="U84" s="8">
        <f t="shared" si="48"/>
        <v>3.2591654516542561</v>
      </c>
      <c r="W84" s="8" t="s">
        <v>203</v>
      </c>
      <c r="X84" s="8" t="s">
        <v>204</v>
      </c>
      <c r="Y84" s="8" t="s">
        <v>204</v>
      </c>
    </row>
    <row r="85" spans="3:29">
      <c r="C85" s="8" t="s">
        <v>206</v>
      </c>
      <c r="D85" s="8" t="s">
        <v>207</v>
      </c>
      <c r="E85" s="8" t="s">
        <v>208</v>
      </c>
      <c r="F85" s="8">
        <v>328.48829999999998</v>
      </c>
      <c r="G85" s="8">
        <v>0.6</v>
      </c>
      <c r="J85" s="8">
        <v>15.36</v>
      </c>
      <c r="K85" s="8">
        <v>4.09</v>
      </c>
      <c r="M85" s="8">
        <f t="shared" si="44"/>
        <v>7.0896845090393477E-3</v>
      </c>
      <c r="P85" s="8">
        <f t="shared" si="49"/>
        <v>0.17173524150268338</v>
      </c>
      <c r="Q85" s="8">
        <f t="shared" si="50"/>
        <v>4.6742857142857142E-2</v>
      </c>
      <c r="S85" s="8">
        <f t="shared" si="46"/>
        <v>7.5189261051526624E-2</v>
      </c>
      <c r="T85" s="15">
        <f t="shared" si="45"/>
        <v>5.6967164886698521E-2</v>
      </c>
      <c r="U85" s="8">
        <f t="shared" si="48"/>
        <v>18.713047149451288</v>
      </c>
      <c r="W85" s="8" t="s">
        <v>206</v>
      </c>
      <c r="X85" s="8" t="s">
        <v>207</v>
      </c>
      <c r="Y85" s="8" t="s">
        <v>207</v>
      </c>
    </row>
    <row r="86" spans="3:29">
      <c r="C86" s="8" t="s">
        <v>125</v>
      </c>
      <c r="D86" s="8" t="s">
        <v>13</v>
      </c>
      <c r="E86" s="8" t="s">
        <v>13</v>
      </c>
      <c r="F86" s="8">
        <f>SUM(F67:F85)</f>
        <v>5368.6284999999998</v>
      </c>
      <c r="G86" s="8">
        <f>SUM(G67:G85)</f>
        <v>84.63</v>
      </c>
      <c r="H86" s="8">
        <f>SUM(H67:H85)</f>
        <v>99.9</v>
      </c>
      <c r="I86" s="8">
        <f t="shared" ref="I86:J86" si="51">SUM(I67:I85)</f>
        <v>100</v>
      </c>
      <c r="J86" s="8">
        <f t="shared" si="51"/>
        <v>89.439999999999984</v>
      </c>
      <c r="K86" s="8">
        <f>SUM(K67:K85)</f>
        <v>87.5</v>
      </c>
      <c r="L86" s="8">
        <f>SUM(L67:L85)</f>
        <v>94.399999999999991</v>
      </c>
      <c r="M86" s="8">
        <f t="shared" ref="M86" si="52">SUM(M67:M85)</f>
        <v>1</v>
      </c>
      <c r="N86" s="8">
        <f t="shared" ref="N86" si="53">SUM(N67:N85)</f>
        <v>1</v>
      </c>
      <c r="O86" s="8">
        <f t="shared" ref="O86" si="54">SUM(O67:O85)</f>
        <v>0.99999999999999989</v>
      </c>
      <c r="P86" s="8">
        <f t="shared" ref="P86" si="55">SUM(P67:P85)</f>
        <v>1</v>
      </c>
      <c r="Q86" s="8">
        <f t="shared" ref="Q86" si="56">SUM(Q67:Q85)</f>
        <v>1.0000000000000002</v>
      </c>
      <c r="R86" s="8">
        <f t="shared" ref="R86" si="57">SUM(R67:R85)</f>
        <v>1</v>
      </c>
      <c r="S86" s="8">
        <f t="shared" ref="S86" si="58">SUM(S67:S85)</f>
        <v>1.3198701603119949</v>
      </c>
      <c r="T86" s="8">
        <f t="shared" ref="T86" si="59">SUM(T67:T85)</f>
        <v>0.99999999999999989</v>
      </c>
      <c r="U86" s="8">
        <f>SUM(U67:U85)</f>
        <v>269.87728624022787</v>
      </c>
    </row>
    <row r="88" spans="3:29">
      <c r="C88" s="8" t="s">
        <v>117</v>
      </c>
      <c r="G88" s="8" t="s">
        <v>147</v>
      </c>
      <c r="H88" s="12" t="s">
        <v>230</v>
      </c>
    </row>
    <row r="89" spans="3:29">
      <c r="C89" s="8" t="s">
        <v>107</v>
      </c>
      <c r="D89" s="8" t="s">
        <v>108</v>
      </c>
      <c r="E89" s="8" t="s">
        <v>109</v>
      </c>
      <c r="F89" s="8" t="s">
        <v>110</v>
      </c>
      <c r="G89" s="8" t="s">
        <v>149</v>
      </c>
      <c r="H89" s="8" t="s">
        <v>231</v>
      </c>
      <c r="O89" s="8" t="s">
        <v>232</v>
      </c>
      <c r="P89" s="8" t="s">
        <v>151</v>
      </c>
      <c r="Q89" s="8" t="s">
        <v>78</v>
      </c>
      <c r="R89" s="8" t="s">
        <v>210</v>
      </c>
    </row>
    <row r="90" spans="3:29">
      <c r="C90" s="8" t="s">
        <v>156</v>
      </c>
      <c r="D90" s="8" t="s">
        <v>157</v>
      </c>
      <c r="E90" s="8" t="s">
        <v>158</v>
      </c>
      <c r="F90" s="8">
        <v>228.37090000000001</v>
      </c>
      <c r="G90" s="8">
        <f>0.5+2.1</f>
        <v>2.6</v>
      </c>
      <c r="H90" s="8">
        <v>286</v>
      </c>
      <c r="I90" s="8">
        <f>AVERAGE(0.6,0.5)</f>
        <v>0.55000000000000004</v>
      </c>
      <c r="K90" s="8">
        <f>G90/$G$99</f>
        <v>2.5974025974025976E-2</v>
      </c>
      <c r="L90" s="8">
        <f>H90/$H$99</f>
        <v>5.00787953073017E-2</v>
      </c>
      <c r="M90" s="8">
        <f>I90/$I$99</f>
        <v>5.5471507816439742E-3</v>
      </c>
      <c r="O90" s="8">
        <f>AVERAGE(Lipid!$K90:$N90)</f>
        <v>2.7199990687657216E-2</v>
      </c>
      <c r="P90" s="15">
        <f t="shared" ref="P90:P98" si="60">O90/$O$99</f>
        <v>2.4455667811495784E-2</v>
      </c>
      <c r="Q90" s="8">
        <f>P90*F90</f>
        <v>5.5849628682123225</v>
      </c>
      <c r="S90" s="8" t="s">
        <v>218</v>
      </c>
      <c r="T90" s="8">
        <f>SUM(P91,P96:P98)</f>
        <v>0.79541482934485297</v>
      </c>
      <c r="U90" s="8">
        <v>0.17599999999999999</v>
      </c>
      <c r="V90" s="8">
        <f>U90/$U$94</f>
        <v>0.11867835468644637</v>
      </c>
      <c r="W90" s="8">
        <f>V90*$T$90</f>
        <v>9.4398523239847668E-2</v>
      </c>
      <c r="X90" s="15">
        <f>W90*0.5</f>
        <v>4.7199261619923834E-2</v>
      </c>
      <c r="Y90" s="15">
        <f>W90</f>
        <v>9.4398523239847668E-2</v>
      </c>
      <c r="AA90" s="8">
        <v>0.19</v>
      </c>
      <c r="AB90" s="8">
        <f>AA90/$AA$94</f>
        <v>0.11085180863477247</v>
      </c>
      <c r="AC90" s="8">
        <f>AB90*$T$90</f>
        <v>8.8173172447795836E-2</v>
      </c>
    </row>
    <row r="91" spans="3:29">
      <c r="C91" s="8" t="s">
        <v>161</v>
      </c>
      <c r="D91" s="8" t="s">
        <v>162</v>
      </c>
      <c r="E91" s="8" t="s">
        <v>163</v>
      </c>
      <c r="F91" s="8">
        <v>256.42410000000001</v>
      </c>
      <c r="G91" s="8">
        <v>26.6</v>
      </c>
      <c r="H91" s="8">
        <v>2449</v>
      </c>
      <c r="I91" s="8">
        <f>AVERAGE(75.8,76.7)</f>
        <v>76.25</v>
      </c>
      <c r="J91" s="8">
        <f>U90+U91+U92+U93*2</f>
        <v>2.5680000000000001</v>
      </c>
      <c r="K91" s="8">
        <f>G91/$G$99</f>
        <v>0.26573426573426578</v>
      </c>
      <c r="L91" s="8">
        <f>H91/$H$99</f>
        <v>0.42882157240413238</v>
      </c>
      <c r="M91" s="8">
        <f t="shared" ref="M91:M98" si="61">I91/$I$99</f>
        <v>0.76903681290973269</v>
      </c>
      <c r="N91" s="8">
        <f>J91/$J$99</f>
        <v>0.86581254214430203</v>
      </c>
      <c r="O91" s="8">
        <f>AVERAGE(Lipid!$K91:$N91)</f>
        <v>0.58235129829810817</v>
      </c>
      <c r="P91" s="15">
        <f t="shared" si="60"/>
        <v>0.52359539620116302</v>
      </c>
      <c r="Q91" s="8">
        <f t="shared" ref="Q91:Q98" si="62">P91*F91</f>
        <v>134.26247823502666</v>
      </c>
      <c r="S91" s="8" t="s">
        <v>220</v>
      </c>
      <c r="U91" s="8">
        <v>0.09</v>
      </c>
      <c r="V91" s="8">
        <f>U91/$U$94</f>
        <v>6.0687795010114627E-2</v>
      </c>
      <c r="W91" s="8">
        <f>V91*$T$90</f>
        <v>4.8271972111285748E-2</v>
      </c>
      <c r="X91" s="15">
        <f t="shared" ref="X91:X93" si="63">W91*0.5</f>
        <v>2.4135986055642874E-2</v>
      </c>
      <c r="Y91" s="15">
        <f>W91</f>
        <v>4.8271972111285748E-2</v>
      </c>
      <c r="AA91" s="8">
        <v>9.5000000000000001E-2</v>
      </c>
      <c r="AB91" s="8">
        <f>AA91/$AA$94</f>
        <v>5.5425904317386233E-2</v>
      </c>
      <c r="AC91" s="8">
        <f>AB91*$T$90</f>
        <v>4.4086586223897918E-2</v>
      </c>
    </row>
    <row r="92" spans="3:29">
      <c r="C92" s="8" t="s">
        <v>164</v>
      </c>
      <c r="D92" s="8" t="s">
        <v>165</v>
      </c>
      <c r="E92" s="8" t="s">
        <v>166</v>
      </c>
      <c r="F92" s="8">
        <v>254.40819999999999</v>
      </c>
      <c r="H92" s="8">
        <v>372</v>
      </c>
      <c r="I92" s="8">
        <f>AVERAGE(0,0.3)</f>
        <v>0.15</v>
      </c>
      <c r="L92" s="8">
        <f>H92/$H$99</f>
        <v>6.5137454036070741E-2</v>
      </c>
      <c r="M92" s="8">
        <f t="shared" si="61"/>
        <v>1.5128593040847199E-3</v>
      </c>
      <c r="O92" s="8">
        <f>AVERAGE(Lipid!$K92:$N92)</f>
        <v>3.3325156670077731E-2</v>
      </c>
      <c r="P92" s="15">
        <f t="shared" si="60"/>
        <v>2.9962839717415746E-2</v>
      </c>
      <c r="Q92" s="8">
        <f t="shared" si="62"/>
        <v>7.6227921193962489</v>
      </c>
      <c r="S92" s="8" t="s">
        <v>222</v>
      </c>
      <c r="U92" s="8">
        <v>0.13200000000000001</v>
      </c>
      <c r="V92" s="8">
        <f>U92/$U$94</f>
        <v>8.9008766014834789E-2</v>
      </c>
      <c r="W92" s="8">
        <f>V92*$T$90</f>
        <v>7.0798892429885768E-2</v>
      </c>
      <c r="X92" s="15">
        <f t="shared" si="63"/>
        <v>3.5399446214942884E-2</v>
      </c>
      <c r="Y92" s="15">
        <f>W92</f>
        <v>7.0798892429885768E-2</v>
      </c>
      <c r="AA92" s="8">
        <v>0.151</v>
      </c>
      <c r="AB92" s="8">
        <f>AA92/$AA$94</f>
        <v>8.8098016336056004E-2</v>
      </c>
      <c r="AC92" s="8">
        <f>AB92*$T$90</f>
        <v>7.0074468629564055E-2</v>
      </c>
    </row>
    <row r="93" spans="3:29">
      <c r="C93" s="13" t="s">
        <v>233</v>
      </c>
      <c r="D93" s="13" t="s">
        <v>234</v>
      </c>
      <c r="E93" s="13" t="s">
        <v>235</v>
      </c>
      <c r="F93" s="13">
        <v>252.39230000000001</v>
      </c>
      <c r="G93" s="13">
        <v>2.1</v>
      </c>
      <c r="H93" s="13"/>
      <c r="K93" s="8">
        <f>G93/$G$99</f>
        <v>2.097902097902098E-2</v>
      </c>
      <c r="O93" s="8">
        <f>AVERAGE(Lipid!$K93:$N93)</f>
        <v>2.097902097902098E-2</v>
      </c>
      <c r="P93" s="15">
        <f t="shared" si="60"/>
        <v>1.8862358225223665E-2</v>
      </c>
      <c r="Q93" s="13">
        <f t="shared" si="62"/>
        <v>4.7607139758881187</v>
      </c>
      <c r="S93" s="8" t="s">
        <v>236</v>
      </c>
      <c r="U93" s="8">
        <v>1.085</v>
      </c>
      <c r="V93" s="8">
        <f>U93/$U$94</f>
        <v>0.73162508428860407</v>
      </c>
      <c r="W93" s="8">
        <f>V93*$T$90</f>
        <v>0.58194544156383365</v>
      </c>
      <c r="X93" s="15">
        <f t="shared" si="63"/>
        <v>0.29097272078191683</v>
      </c>
      <c r="Y93" s="15">
        <f>W93</f>
        <v>0.58194544156383365</v>
      </c>
      <c r="AA93" s="8">
        <v>1.278</v>
      </c>
      <c r="AB93" s="8">
        <f>AA93/$AA$94</f>
        <v>0.74562427071178528</v>
      </c>
      <c r="AC93" s="8">
        <f>AB93*$T$90</f>
        <v>0.59308060204359514</v>
      </c>
    </row>
    <row r="94" spans="3:29">
      <c r="C94" s="13" t="s">
        <v>167</v>
      </c>
      <c r="D94" s="13" t="s">
        <v>168</v>
      </c>
      <c r="E94" s="13"/>
      <c r="F94" s="13">
        <v>250.37639999999999</v>
      </c>
      <c r="G94" s="13">
        <v>10.5</v>
      </c>
      <c r="H94" s="9"/>
      <c r="I94" s="8">
        <f>AVERAGE(0.6,1.3)</f>
        <v>0.95</v>
      </c>
      <c r="K94" s="8">
        <f>G94/$G$99</f>
        <v>0.1048951048951049</v>
      </c>
      <c r="M94" s="8">
        <f t="shared" si="61"/>
        <v>9.5814422592032256E-3</v>
      </c>
      <c r="O94" s="8">
        <f>AVERAGE(Lipid!$K94:$N94)</f>
        <v>5.723827357715406E-2</v>
      </c>
      <c r="P94" s="15">
        <f t="shared" si="60"/>
        <v>5.1463260439335232E-2</v>
      </c>
      <c r="Q94" s="9">
        <f t="shared" si="62"/>
        <v>12.885185881063173</v>
      </c>
      <c r="U94" s="8">
        <f>SUM(U90:U93)</f>
        <v>1.4830000000000001</v>
      </c>
      <c r="V94" s="8">
        <f>SUM(V90:V93)</f>
        <v>0.99999999999999989</v>
      </c>
      <c r="W94" s="8">
        <f>SUM(W90:W93)</f>
        <v>0.79541482934485286</v>
      </c>
      <c r="X94" s="8">
        <f>SUM(X90:X93)</f>
        <v>0.39770741467242643</v>
      </c>
      <c r="Y94" s="8">
        <f>SUM(Y90:Y93)</f>
        <v>0.79541482934485286</v>
      </c>
      <c r="AA94" s="8">
        <f>SUM(AA90:AA93)</f>
        <v>1.714</v>
      </c>
      <c r="AB94" s="8">
        <f>SUM(AB90:AB93)</f>
        <v>1</v>
      </c>
      <c r="AC94" s="8">
        <f>SUM(AC90:AC93)</f>
        <v>0.79541482934485297</v>
      </c>
    </row>
    <row r="95" spans="3:29">
      <c r="C95" s="8" t="s">
        <v>169</v>
      </c>
      <c r="D95" s="8" t="s">
        <v>170</v>
      </c>
      <c r="E95" s="8" t="s">
        <v>171</v>
      </c>
      <c r="F95" s="8">
        <v>284.47719999999998</v>
      </c>
      <c r="H95" s="8">
        <v>925</v>
      </c>
      <c r="I95" s="8">
        <f>AVERAGE(2.3,0.8)</f>
        <v>1.5499999999999998</v>
      </c>
      <c r="L95" s="8">
        <f>H95/$H$99</f>
        <v>0.16196813167571353</v>
      </c>
      <c r="M95" s="8">
        <f t="shared" si="61"/>
        <v>1.5632879475542105E-2</v>
      </c>
      <c r="O95" s="8">
        <f>AVERAGE(Lipid!$K95:$N95)</f>
        <v>8.8800505575627811E-2</v>
      </c>
      <c r="P95" s="15">
        <f t="shared" si="60"/>
        <v>7.9841044461676738E-2</v>
      </c>
      <c r="Q95" s="8">
        <f t="shared" si="62"/>
        <v>22.712956773533303</v>
      </c>
    </row>
    <row r="96" spans="3:29">
      <c r="C96" s="8" t="s">
        <v>172</v>
      </c>
      <c r="D96" s="8" t="s">
        <v>173</v>
      </c>
      <c r="E96" s="8" t="s">
        <v>174</v>
      </c>
      <c r="F96" s="8">
        <v>282.46140000000003</v>
      </c>
      <c r="G96" s="8">
        <v>3.4</v>
      </c>
      <c r="H96" s="8">
        <v>1352</v>
      </c>
      <c r="I96" s="8">
        <f>AVERAGE(2.6,3.2)</f>
        <v>2.9000000000000004</v>
      </c>
      <c r="J96" s="8">
        <f>U92</f>
        <v>0.13200000000000001</v>
      </c>
      <c r="K96" s="8">
        <f>G96/$G$99</f>
        <v>3.3966033966033968E-2</v>
      </c>
      <c r="L96" s="8">
        <f>H96/$H$99</f>
        <v>0.23673612327088076</v>
      </c>
      <c r="M96" s="8">
        <f t="shared" si="61"/>
        <v>2.924861321230459E-2</v>
      </c>
      <c r="N96" s="8">
        <f>J96/$J$99</f>
        <v>4.4504383007417395E-2</v>
      </c>
      <c r="O96" s="8">
        <f>AVERAGE(Lipid!$K96:$N96)</f>
        <v>8.6113788364159172E-2</v>
      </c>
      <c r="P96" s="15">
        <f t="shared" si="60"/>
        <v>7.7425401589529694E-2</v>
      </c>
      <c r="Q96" s="8">
        <f t="shared" si="62"/>
        <v>21.869687328540785</v>
      </c>
    </row>
    <row r="97" spans="3:32">
      <c r="C97" s="8" t="s">
        <v>175</v>
      </c>
      <c r="D97" s="8" t="s">
        <v>176</v>
      </c>
      <c r="E97" s="8" t="s">
        <v>177</v>
      </c>
      <c r="F97" s="8">
        <v>280.44549999999998</v>
      </c>
      <c r="G97" s="8">
        <v>16.100000000000001</v>
      </c>
      <c r="H97" s="8">
        <v>299</v>
      </c>
      <c r="I97" s="8">
        <f>AVERAGE(8,7.5)</f>
        <v>7.75</v>
      </c>
      <c r="J97" s="8">
        <f>U91</f>
        <v>0.09</v>
      </c>
      <c r="K97" s="8">
        <f>G97/$G$99</f>
        <v>0.16083916083916086</v>
      </c>
      <c r="L97" s="8">
        <f>H97/$H$99</f>
        <v>5.2355104184906319E-2</v>
      </c>
      <c r="M97" s="8">
        <f t="shared" si="61"/>
        <v>7.816439737771054E-2</v>
      </c>
      <c r="N97" s="8">
        <f>J97/$J$99</f>
        <v>3.0343897505057314E-2</v>
      </c>
      <c r="O97" s="8">
        <f>AVERAGE(Lipid!$K97:$N97)</f>
        <v>8.0425639976708763E-2</v>
      </c>
      <c r="P97" s="15">
        <f t="shared" si="60"/>
        <v>7.2311154712632539E-2</v>
      </c>
      <c r="Q97" s="8">
        <f t="shared" si="62"/>
        <v>20.279337938961586</v>
      </c>
    </row>
    <row r="98" spans="3:32">
      <c r="C98" s="8" t="s">
        <v>237</v>
      </c>
      <c r="D98" s="8" t="s">
        <v>182</v>
      </c>
      <c r="E98" s="8" t="s">
        <v>180</v>
      </c>
      <c r="F98" s="8">
        <v>278.42959999999999</v>
      </c>
      <c r="G98" s="8">
        <v>38.799999999999997</v>
      </c>
      <c r="H98" s="8">
        <v>28</v>
      </c>
      <c r="I98" s="8">
        <f>AVERAGE(8.5,9.6)</f>
        <v>9.0500000000000007</v>
      </c>
      <c r="J98" s="8">
        <f>U90</f>
        <v>0.17599999999999999</v>
      </c>
      <c r="K98" s="8">
        <f>G98/$G$99</f>
        <v>0.38761238761238759</v>
      </c>
      <c r="L98" s="8">
        <f>H98/$H$99</f>
        <v>4.9028191209945721E-3</v>
      </c>
      <c r="M98" s="8">
        <f t="shared" si="61"/>
        <v>9.1275844679778118E-2</v>
      </c>
      <c r="N98" s="8">
        <f>J98/$J$99</f>
        <v>5.9339177343223186E-2</v>
      </c>
      <c r="O98" s="8">
        <f>AVERAGE(Lipid!$K98:$N98)</f>
        <v>0.13578255718909585</v>
      </c>
      <c r="P98" s="15">
        <f t="shared" si="60"/>
        <v>0.12208287684152773</v>
      </c>
      <c r="Q98" s="8">
        <f t="shared" si="62"/>
        <v>33.991486565835828</v>
      </c>
    </row>
    <row r="99" spans="3:32">
      <c r="C99" s="8" t="s">
        <v>125</v>
      </c>
      <c r="D99" s="8" t="s">
        <v>13</v>
      </c>
      <c r="E99" s="8" t="s">
        <v>13</v>
      </c>
      <c r="F99" s="8">
        <f t="shared" ref="F99:Q99" si="64">SUM(F90:F98)</f>
        <v>2367.7855999999997</v>
      </c>
      <c r="G99" s="8">
        <f t="shared" si="64"/>
        <v>100.1</v>
      </c>
      <c r="H99" s="8">
        <f t="shared" si="64"/>
        <v>5711</v>
      </c>
      <c r="I99" s="8">
        <f t="shared" si="64"/>
        <v>99.15</v>
      </c>
      <c r="J99" s="8">
        <f t="shared" si="64"/>
        <v>2.9660000000000002</v>
      </c>
      <c r="K99" s="8">
        <f t="shared" si="64"/>
        <v>1</v>
      </c>
      <c r="L99" s="8">
        <f t="shared" si="64"/>
        <v>1</v>
      </c>
      <c r="M99" s="8">
        <f t="shared" si="64"/>
        <v>1</v>
      </c>
      <c r="N99" s="8">
        <f t="shared" si="64"/>
        <v>0.99999999999999989</v>
      </c>
      <c r="O99" s="8">
        <f t="shared" si="64"/>
        <v>1.1122162313176096</v>
      </c>
      <c r="P99" s="8">
        <f t="shared" si="64"/>
        <v>1</v>
      </c>
      <c r="Q99" s="8">
        <f t="shared" si="64"/>
        <v>263.96960168645802</v>
      </c>
    </row>
    <row r="102" spans="3:32">
      <c r="AE102" s="8" t="s">
        <v>214</v>
      </c>
      <c r="AF102" s="8" t="s">
        <v>215</v>
      </c>
    </row>
    <row r="103" spans="3:32">
      <c r="C103" s="8" t="s">
        <v>122</v>
      </c>
      <c r="G103" s="8" t="s">
        <v>147</v>
      </c>
      <c r="H103" s="12" t="s">
        <v>230</v>
      </c>
      <c r="U103" s="8">
        <f>R113+R109+R112+R108+R107+R111</f>
        <v>0.76718027665098143</v>
      </c>
      <c r="V103" s="8" t="s">
        <v>238</v>
      </c>
      <c r="W103" s="8">
        <v>95.2</v>
      </c>
      <c r="X103" s="8">
        <v>92.5</v>
      </c>
      <c r="Y103" s="8">
        <f>AVERAGE(W103:X103)</f>
        <v>93.85</v>
      </c>
      <c r="Z103" s="8">
        <f>Y103/$Y$110</f>
        <v>0.94274234053239558</v>
      </c>
      <c r="AA103" s="8">
        <f>AVERAGE(51,45,27,34)</f>
        <v>39.25</v>
      </c>
      <c r="AB103" s="8">
        <f>AA103/$AA$110</f>
        <v>0.40992167101827676</v>
      </c>
      <c r="AC103" s="8">
        <f>AVERAGE(Z103,AB103)</f>
        <v>0.67633200577533614</v>
      </c>
      <c r="AD103" s="8">
        <f>AC103/$AC$110</f>
        <v>0.66590014964512545</v>
      </c>
      <c r="AE103" s="15">
        <f>AD103*0.5*$U$103</f>
        <v>0.25543273051333865</v>
      </c>
      <c r="AF103" s="15">
        <f>AD103*$U$103</f>
        <v>0.51086546102667729</v>
      </c>
    </row>
    <row r="104" spans="3:32">
      <c r="C104" s="8" t="s">
        <v>107</v>
      </c>
      <c r="D104" s="8" t="s">
        <v>108</v>
      </c>
      <c r="E104" s="8" t="s">
        <v>109</v>
      </c>
      <c r="F104" s="8" t="s">
        <v>110</v>
      </c>
      <c r="G104" s="8" t="s">
        <v>149</v>
      </c>
      <c r="H104" s="8" t="s">
        <v>231</v>
      </c>
      <c r="Q104" s="8" t="s">
        <v>239</v>
      </c>
      <c r="R104" s="8" t="s">
        <v>240</v>
      </c>
      <c r="S104" s="8" t="s">
        <v>152</v>
      </c>
      <c r="T104" s="8" t="s">
        <v>78</v>
      </c>
      <c r="V104" s="8" t="s">
        <v>241</v>
      </c>
      <c r="W104" s="8">
        <v>3</v>
      </c>
      <c r="X104" s="8">
        <v>4.8</v>
      </c>
      <c r="Y104" s="8">
        <f t="shared" ref="Y104:Y107" si="65">AVERAGE(W104:X104)</f>
        <v>3.9</v>
      </c>
      <c r="Z104" s="8">
        <f>Y104/$Y$110</f>
        <v>3.9176293319939721E-2</v>
      </c>
      <c r="AA104" s="8">
        <f>AVERAGE(17,19,19,20)</f>
        <v>18.75</v>
      </c>
      <c r="AB104" s="8">
        <f t="shared" ref="AB104:AB108" si="66">AA104/$AA$110</f>
        <v>0.195822454308094</v>
      </c>
      <c r="AC104" s="8">
        <f t="shared" ref="AC104:AC109" si="67">AVERAGE(Z104,AB104)</f>
        <v>0.11749937381401686</v>
      </c>
      <c r="AD104" s="8">
        <f t="shared" ref="AD104:AD109" si="68">AC104/$AC$110</f>
        <v>0.11568704414079296</v>
      </c>
      <c r="AE104" s="15">
        <f t="shared" ref="AE104:AE109" si="69">AD104*0.5*$U$103</f>
        <v>4.4376409264433925E-2</v>
      </c>
      <c r="AF104" s="15">
        <f>AD104*$U$103</f>
        <v>8.875281852886785E-2</v>
      </c>
    </row>
    <row r="105" spans="3:32">
      <c r="C105" s="8" t="s">
        <v>156</v>
      </c>
      <c r="D105" s="8" t="s">
        <v>157</v>
      </c>
      <c r="E105" s="8" t="s">
        <v>158</v>
      </c>
      <c r="F105" s="8">
        <v>228.37090000000001</v>
      </c>
      <c r="G105" s="8">
        <f>2.2+1.7</f>
        <v>3.9000000000000004</v>
      </c>
      <c r="H105" s="8">
        <v>459</v>
      </c>
      <c r="I105" s="8">
        <f>AVERAGE(0.6,0.1)</f>
        <v>0.35</v>
      </c>
      <c r="L105" s="8">
        <f t="shared" ref="L105:N107" si="70">G105/G$114</f>
        <v>3.884462151394423E-2</v>
      </c>
      <c r="M105" s="8">
        <f t="shared" si="70"/>
        <v>3.59548801503995E-2</v>
      </c>
      <c r="N105" s="8">
        <f t="shared" si="70"/>
        <v>3.4912718204488775E-3</v>
      </c>
      <c r="Q105" s="8">
        <f>AVERAGE(L105:P105)</f>
        <v>2.6096924494930871E-2</v>
      </c>
      <c r="R105" s="15">
        <f>Lipid!$Q105/$Q$114</f>
        <v>2.2853043594206698E-2</v>
      </c>
      <c r="S105" s="8">
        <f>R105/F105*1000</f>
        <v>0.10006985826218094</v>
      </c>
      <c r="T105" s="8">
        <f>R105*F105</f>
        <v>5.2189701333482184</v>
      </c>
      <c r="V105" s="8" t="s">
        <v>242</v>
      </c>
      <c r="W105" s="8">
        <v>0.3</v>
      </c>
      <c r="X105" s="8">
        <v>0.5</v>
      </c>
      <c r="Y105" s="8">
        <f t="shared" si="65"/>
        <v>0.4</v>
      </c>
      <c r="Z105" s="8">
        <f>Y105/$Y$110</f>
        <v>4.018081366147664E-3</v>
      </c>
      <c r="AA105" s="8">
        <f>AVERAGE(6,8,10,9)</f>
        <v>8.25</v>
      </c>
      <c r="AB105" s="8">
        <f t="shared" si="66"/>
        <v>8.6161879895561358E-2</v>
      </c>
      <c r="AC105" s="8">
        <f t="shared" si="67"/>
        <v>4.5089980630854509E-2</v>
      </c>
      <c r="AD105" s="8">
        <f t="shared" si="68"/>
        <v>4.4394505351201236E-2</v>
      </c>
      <c r="AE105" s="15">
        <f t="shared" si="69"/>
        <v>1.702929444855902E-2</v>
      </c>
      <c r="AF105" s="15">
        <f t="shared" ref="AF105:AF109" si="71">AD105*$U$103</f>
        <v>3.405858889711804E-2</v>
      </c>
    </row>
    <row r="106" spans="3:32">
      <c r="C106" s="8" t="s">
        <v>161</v>
      </c>
      <c r="D106" s="8" t="s">
        <v>162</v>
      </c>
      <c r="E106" s="8" t="s">
        <v>163</v>
      </c>
      <c r="F106" s="8">
        <v>256.42410000000001</v>
      </c>
      <c r="G106" s="8">
        <v>21.2</v>
      </c>
      <c r="H106" s="8">
        <v>4743</v>
      </c>
      <c r="I106" s="8">
        <f>AVERAGE(4.3,3.2)</f>
        <v>3.75</v>
      </c>
      <c r="L106" s="8">
        <f t="shared" si="70"/>
        <v>0.21115537848605578</v>
      </c>
      <c r="M106" s="8">
        <f t="shared" si="70"/>
        <v>0.37153376155412815</v>
      </c>
      <c r="N106" s="8">
        <f t="shared" si="70"/>
        <v>3.7406483790523692E-2</v>
      </c>
      <c r="Q106" s="8">
        <f t="shared" ref="Q106:Q113" si="72">AVERAGE(L106:P106)</f>
        <v>0.20669854127690254</v>
      </c>
      <c r="R106" s="15">
        <f>Lipid!$Q106/$Q$114</f>
        <v>0.18100564974916977</v>
      </c>
      <c r="S106" s="8">
        <f t="shared" ref="S106:S113" si="73">R106/F106*1000</f>
        <v>0.70588392334874051</v>
      </c>
      <c r="T106" s="8">
        <f t="shared" ref="T106:T113" si="74">R106*F106</f>
        <v>46.414210831846084</v>
      </c>
      <c r="V106" s="8" t="s">
        <v>243</v>
      </c>
      <c r="W106" s="8">
        <v>1.1000000000000001</v>
      </c>
      <c r="X106" s="8">
        <v>1.3</v>
      </c>
      <c r="Y106" s="8">
        <f t="shared" si="65"/>
        <v>1.2000000000000002</v>
      </c>
      <c r="Z106" s="8">
        <f>Y106/$Y$110</f>
        <v>1.2054244098442994E-2</v>
      </c>
      <c r="AA106" s="8">
        <f>AVERAGE(6,5,10,8)</f>
        <v>7.25</v>
      </c>
      <c r="AB106" s="8">
        <f t="shared" si="66"/>
        <v>7.5718015665796348E-2</v>
      </c>
      <c r="AC106" s="8">
        <f t="shared" si="67"/>
        <v>4.3886129882119672E-2</v>
      </c>
      <c r="AD106" s="8">
        <f t="shared" si="68"/>
        <v>4.3209222994477728E-2</v>
      </c>
      <c r="AE106" s="15">
        <f t="shared" si="69"/>
        <v>1.6574631825388687E-2</v>
      </c>
      <c r="AF106" s="15">
        <f t="shared" si="71"/>
        <v>3.3149263650777375E-2</v>
      </c>
    </row>
    <row r="107" spans="3:32">
      <c r="C107" s="8" t="s">
        <v>164</v>
      </c>
      <c r="D107" s="8" t="s">
        <v>165</v>
      </c>
      <c r="E107" s="8" t="s">
        <v>166</v>
      </c>
      <c r="F107" s="8">
        <v>254.40819999999999</v>
      </c>
      <c r="G107" s="8">
        <v>4.9000000000000004</v>
      </c>
      <c r="H107" s="8">
        <v>1284</v>
      </c>
      <c r="I107" s="8">
        <f>AVERAGE(1.1,0.7)</f>
        <v>0.9</v>
      </c>
      <c r="K107" s="8">
        <f>SUM(AB108)</f>
        <v>1.5665796344647518E-2</v>
      </c>
      <c r="L107" s="8">
        <f t="shared" si="70"/>
        <v>4.8804780876494029E-2</v>
      </c>
      <c r="M107" s="8">
        <f t="shared" si="70"/>
        <v>0.10057966473445089</v>
      </c>
      <c r="N107" s="8">
        <f t="shared" si="70"/>
        <v>8.9775561097256863E-3</v>
      </c>
      <c r="P107" s="8">
        <f t="shared" ref="P107:P113" si="75">K107/K$114</f>
        <v>7.5093867334167699E-3</v>
      </c>
      <c r="Q107" s="8">
        <f t="shared" si="72"/>
        <v>4.1467847113521847E-2</v>
      </c>
      <c r="R107" s="15">
        <f>Lipid!$Q107/$Q$114</f>
        <v>3.6313340984961279E-2</v>
      </c>
      <c r="S107" s="8">
        <f t="shared" si="73"/>
        <v>0.14273651943986584</v>
      </c>
      <c r="T107" s="8">
        <f t="shared" si="74"/>
        <v>9.2384117159702264</v>
      </c>
      <c r="V107" s="8" t="s">
        <v>244</v>
      </c>
      <c r="W107" s="8">
        <v>0.2</v>
      </c>
      <c r="X107" s="8">
        <v>0.2</v>
      </c>
      <c r="Y107" s="8">
        <f t="shared" si="65"/>
        <v>0.2</v>
      </c>
      <c r="Z107" s="8">
        <f>Y107/$Y$110</f>
        <v>2.009040683073832E-3</v>
      </c>
      <c r="AA107" s="8">
        <f>AVERAGE(13,17,26,21)</f>
        <v>19.25</v>
      </c>
      <c r="AB107" s="8">
        <f t="shared" si="66"/>
        <v>0.20104438642297651</v>
      </c>
      <c r="AC107" s="8">
        <f t="shared" si="67"/>
        <v>0.10152671355302517</v>
      </c>
      <c r="AD107" s="8">
        <f t="shared" si="68"/>
        <v>9.9960748819559506E-2</v>
      </c>
      <c r="AE107" s="15">
        <f t="shared" si="69"/>
        <v>3.834395746681446E-2</v>
      </c>
      <c r="AF107" s="15">
        <f t="shared" si="71"/>
        <v>7.668791493362892E-2</v>
      </c>
    </row>
    <row r="108" spans="3:32">
      <c r="C108" s="8" t="s">
        <v>233</v>
      </c>
      <c r="D108" s="13" t="s">
        <v>234</v>
      </c>
      <c r="E108" s="13" t="s">
        <v>235</v>
      </c>
      <c r="F108" s="13">
        <v>252.39230000000001</v>
      </c>
      <c r="I108" s="8">
        <f>AVERAGE(0.9,0.5)</f>
        <v>0.7</v>
      </c>
      <c r="J108" s="8">
        <f>SUM(Y105,Y107)</f>
        <v>0.60000000000000009</v>
      </c>
      <c r="K108" s="8">
        <f>SUM(AB105,AB107,AB109)</f>
        <v>0.30287206266318539</v>
      </c>
      <c r="N108" s="8">
        <f>I108/I$114</f>
        <v>6.9825436408977549E-3</v>
      </c>
      <c r="O108" s="8">
        <f>J108/J$114</f>
        <v>3.0135610246107489E-3</v>
      </c>
      <c r="P108" s="8">
        <f>K108/K$114</f>
        <v>0.14518147684605756</v>
      </c>
      <c r="Q108" s="8">
        <f t="shared" si="72"/>
        <v>5.1725860503855359E-2</v>
      </c>
      <c r="R108" s="15">
        <f>Lipid!$Q108/$Q$114</f>
        <v>4.5296270266332476E-2</v>
      </c>
      <c r="S108" s="8">
        <f t="shared" si="73"/>
        <v>0.17946771857276342</v>
      </c>
      <c r="T108" s="8">
        <f t="shared" si="74"/>
        <v>11.432429833941267</v>
      </c>
      <c r="V108" s="8" t="s">
        <v>245</v>
      </c>
      <c r="AA108" s="8">
        <f>AVERAGE(1,1,3,1)</f>
        <v>1.5</v>
      </c>
      <c r="AB108" s="8">
        <f t="shared" si="66"/>
        <v>1.5665796344647518E-2</v>
      </c>
      <c r="AC108" s="8">
        <f>AVERAGE(Z108,AB108)</f>
        <v>1.5665796344647518E-2</v>
      </c>
      <c r="AD108" s="8">
        <f t="shared" si="68"/>
        <v>1.5424164524421595E-2</v>
      </c>
      <c r="AE108" s="15">
        <f t="shared" si="69"/>
        <v>5.9165574034780065E-3</v>
      </c>
      <c r="AF108" s="15">
        <f t="shared" si="71"/>
        <v>1.1833114806956013E-2</v>
      </c>
    </row>
    <row r="109" spans="3:32">
      <c r="C109" s="13" t="s">
        <v>167</v>
      </c>
      <c r="D109" s="13" t="s">
        <v>168</v>
      </c>
      <c r="E109" s="13" t="s">
        <v>246</v>
      </c>
      <c r="F109" s="13">
        <v>247.36</v>
      </c>
      <c r="G109" s="13">
        <v>39.299999999999997</v>
      </c>
      <c r="H109" s="13">
        <v>1674</v>
      </c>
      <c r="I109" s="8">
        <f>AVERAGE(33.1,33.4)</f>
        <v>33.25</v>
      </c>
      <c r="J109" s="8">
        <f>SUM(Y103,Y106,Y104)</f>
        <v>98.95</v>
      </c>
      <c r="K109" s="8">
        <f>SUM(AB103,AB104,AB106)</f>
        <v>0.68146214099216718</v>
      </c>
      <c r="L109" s="8">
        <f>G109/G$114</f>
        <v>0.39143426294820716</v>
      </c>
      <c r="M109" s="8">
        <f>H109/H$114</f>
        <v>0.131129562901457</v>
      </c>
      <c r="N109" s="8">
        <f>I109/I$114</f>
        <v>0.33167082294264338</v>
      </c>
      <c r="O109" s="8">
        <f>J109/J$114</f>
        <v>0.4969864389753893</v>
      </c>
      <c r="P109" s="8">
        <f t="shared" si="75"/>
        <v>0.32665832290362956</v>
      </c>
      <c r="Q109" s="8">
        <f t="shared" si="72"/>
        <v>0.33557588213426526</v>
      </c>
      <c r="R109" s="15">
        <f>Lipid!$Q109/$Q$114</f>
        <v>0.29386337325183143</v>
      </c>
      <c r="S109" s="8">
        <f t="shared" si="73"/>
        <v>1.1879987599119963</v>
      </c>
      <c r="T109" s="8">
        <f t="shared" si="74"/>
        <v>72.690044007573022</v>
      </c>
      <c r="V109" s="8" t="s">
        <v>247</v>
      </c>
      <c r="AA109" s="8">
        <f>1.5</f>
        <v>1.5</v>
      </c>
      <c r="AB109" s="8">
        <f>AA109/$AA$110</f>
        <v>1.5665796344647518E-2</v>
      </c>
      <c r="AC109" s="8">
        <f t="shared" si="67"/>
        <v>1.5665796344647518E-2</v>
      </c>
      <c r="AD109" s="8">
        <f t="shared" si="68"/>
        <v>1.5424164524421595E-2</v>
      </c>
      <c r="AE109" s="15">
        <f t="shared" si="69"/>
        <v>5.9165574034780065E-3</v>
      </c>
      <c r="AF109" s="15">
        <f t="shared" si="71"/>
        <v>1.1833114806956013E-2</v>
      </c>
    </row>
    <row r="110" spans="3:32">
      <c r="C110" s="8" t="s">
        <v>169</v>
      </c>
      <c r="D110" s="8" t="s">
        <v>170</v>
      </c>
      <c r="E110" s="8" t="s">
        <v>171</v>
      </c>
      <c r="F110" s="8">
        <v>284.47719999999998</v>
      </c>
      <c r="H110" s="8">
        <v>456</v>
      </c>
      <c r="I110" s="8">
        <f>AVERAGE(3.6,2.5)</f>
        <v>3.05</v>
      </c>
      <c r="M110" s="8">
        <f t="shared" ref="M110:N113" si="76">H110/H$114</f>
        <v>3.5719880933730221E-2</v>
      </c>
      <c r="N110" s="8">
        <f t="shared" si="76"/>
        <v>3.0423940149625933E-2</v>
      </c>
      <c r="Q110" s="8">
        <f t="shared" si="72"/>
        <v>3.3071910541678073E-2</v>
      </c>
      <c r="R110" s="15">
        <f>Lipid!$Q110/$Q$114</f>
        <v>2.8961030005642246E-2</v>
      </c>
      <c r="S110" s="8">
        <f t="shared" si="73"/>
        <v>0.10180439770091328</v>
      </c>
      <c r="T110" s="8">
        <f t="shared" si="74"/>
        <v>8.2387527251210901</v>
      </c>
      <c r="Y110" s="8">
        <f>SUM(Y103:Y107)</f>
        <v>99.550000000000011</v>
      </c>
      <c r="Z110" s="8">
        <f>SUM(Z103:Z107)</f>
        <v>0.99999999999999989</v>
      </c>
      <c r="AA110" s="8">
        <f>SUM(AA103:AA109)</f>
        <v>95.75</v>
      </c>
      <c r="AB110" s="8">
        <f>SUM(AB103:AB109)</f>
        <v>1</v>
      </c>
      <c r="AC110" s="8">
        <f>SUM(AC103:AC109)</f>
        <v>1.0156657963446474</v>
      </c>
      <c r="AD110" s="8">
        <f>SUM(AD103:AD109)</f>
        <v>1.0000000000000002</v>
      </c>
      <c r="AE110" s="8">
        <f t="shared" ref="AE110:AF110" si="77">SUM(AE103:AE109)</f>
        <v>0.38359013832549077</v>
      </c>
      <c r="AF110" s="8">
        <f t="shared" si="77"/>
        <v>0.76718027665098154</v>
      </c>
    </row>
    <row r="111" spans="3:32">
      <c r="C111" s="8" t="s">
        <v>172</v>
      </c>
      <c r="D111" s="8" t="s">
        <v>173</v>
      </c>
      <c r="E111" s="8" t="s">
        <v>174</v>
      </c>
      <c r="F111" s="8">
        <v>282.46140000000003</v>
      </c>
      <c r="G111" s="8">
        <v>1.8</v>
      </c>
      <c r="H111" s="8">
        <v>2124</v>
      </c>
      <c r="I111" s="8">
        <f>AVERAGE(1.2,5.1)</f>
        <v>3.15</v>
      </c>
      <c r="J111" s="8">
        <f>Y106</f>
        <v>1.2000000000000002</v>
      </c>
      <c r="K111" s="8">
        <f>SUM(AB106,AB109)</f>
        <v>9.1383812010443863E-2</v>
      </c>
      <c r="L111" s="8">
        <f>G111/G$114</f>
        <v>1.7928286852589643E-2</v>
      </c>
      <c r="M111" s="8">
        <f t="shared" si="76"/>
        <v>0.16637944540184865</v>
      </c>
      <c r="N111" s="8">
        <f t="shared" si="76"/>
        <v>3.1421446384039903E-2</v>
      </c>
      <c r="O111" s="8">
        <f>J111/J$114</f>
        <v>6.0271220492214977E-3</v>
      </c>
      <c r="P111" s="8">
        <f t="shared" si="75"/>
        <v>4.3804755944931162E-2</v>
      </c>
      <c r="Q111" s="8">
        <f t="shared" si="72"/>
        <v>5.3112211326526174E-2</v>
      </c>
      <c r="R111" s="15">
        <f>Lipid!$Q111/$Q$114</f>
        <v>4.6510295918800244E-2</v>
      </c>
      <c r="S111" s="8">
        <f t="shared" si="73"/>
        <v>0.16466071441549268</v>
      </c>
      <c r="T111" s="8">
        <f t="shared" si="74"/>
        <v>13.137363299638604</v>
      </c>
    </row>
    <row r="112" spans="3:32">
      <c r="C112" s="8" t="s">
        <v>175</v>
      </c>
      <c r="D112" s="8" t="s">
        <v>176</v>
      </c>
      <c r="E112" s="8" t="s">
        <v>177</v>
      </c>
      <c r="F112" s="8">
        <v>280.44549999999998</v>
      </c>
      <c r="G112" s="8">
        <v>1</v>
      </c>
      <c r="H112" s="8">
        <v>708</v>
      </c>
      <c r="I112" s="8">
        <f>AVERAGE(9,6.4)</f>
        <v>7.7</v>
      </c>
      <c r="J112" s="8">
        <f>SUM(Y104,Y107)</f>
        <v>4.0999999999999996</v>
      </c>
      <c r="K112" s="8">
        <f>SUM(AB104,AB105,AB107,AB108)</f>
        <v>0.49869451697127942</v>
      </c>
      <c r="L112" s="8">
        <f>G112/G$114</f>
        <v>9.9601593625498024E-3</v>
      </c>
      <c r="M112" s="8">
        <f t="shared" si="76"/>
        <v>5.5459815133949555E-2</v>
      </c>
      <c r="N112" s="8">
        <f t="shared" si="76"/>
        <v>7.680798004987531E-2</v>
      </c>
      <c r="O112" s="8">
        <f>J112/J$114</f>
        <v>2.0592667001506779E-2</v>
      </c>
      <c r="P112" s="8">
        <f t="shared" si="75"/>
        <v>0.23904881101376721</v>
      </c>
      <c r="Q112" s="8">
        <f t="shared" si="72"/>
        <v>8.0373886512329726E-2</v>
      </c>
      <c r="R112" s="15">
        <f>Lipid!$Q112/$Q$114</f>
        <v>7.0383310211855607E-2</v>
      </c>
      <c r="S112" s="8">
        <f t="shared" si="73"/>
        <v>0.25096965439579388</v>
      </c>
      <c r="T112" s="8">
        <f t="shared" si="74"/>
        <v>19.738682624018949</v>
      </c>
    </row>
    <row r="113" spans="3:38">
      <c r="C113" s="8" t="s">
        <v>181</v>
      </c>
      <c r="D113" s="8" t="s">
        <v>182</v>
      </c>
      <c r="E113" s="8" t="s">
        <v>180</v>
      </c>
      <c r="F113" s="8">
        <v>278.42959999999999</v>
      </c>
      <c r="G113" s="8">
        <v>28.3</v>
      </c>
      <c r="H113" s="8">
        <v>1318</v>
      </c>
      <c r="I113" s="8">
        <f>AVERAGE(46,48.8)</f>
        <v>47.4</v>
      </c>
      <c r="J113" s="8">
        <f>SUM(Y103,Y105)</f>
        <v>94.25</v>
      </c>
      <c r="K113" s="8">
        <f>SUM(AB103,AB105)</f>
        <v>0.4960835509138381</v>
      </c>
      <c r="L113" s="8">
        <f>G113/G$114</f>
        <v>0.28187250996015939</v>
      </c>
      <c r="M113" s="8">
        <f t="shared" si="76"/>
        <v>0.10324298919003604</v>
      </c>
      <c r="N113" s="8">
        <f t="shared" si="76"/>
        <v>0.47281795511221941</v>
      </c>
      <c r="O113" s="8">
        <f>J113/J$114</f>
        <v>0.47338021094927174</v>
      </c>
      <c r="P113" s="8">
        <f t="shared" si="75"/>
        <v>0.23779724655819773</v>
      </c>
      <c r="Q113" s="8">
        <f t="shared" si="72"/>
        <v>0.31382218235397685</v>
      </c>
      <c r="R113" s="15">
        <f>Lipid!$Q113/$Q$114</f>
        <v>0.27481368601720035</v>
      </c>
      <c r="S113" s="8">
        <f t="shared" si="73"/>
        <v>0.98701318400486293</v>
      </c>
      <c r="T113" s="8">
        <f t="shared" si="74"/>
        <v>76.516264672294682</v>
      </c>
    </row>
    <row r="114" spans="3:38">
      <c r="C114" s="8" t="s">
        <v>125</v>
      </c>
      <c r="D114" s="8" t="s">
        <v>13</v>
      </c>
      <c r="E114" s="8" t="s">
        <v>13</v>
      </c>
      <c r="F114" s="8">
        <f>SUM(F105:F113)</f>
        <v>2364.7691999999997</v>
      </c>
      <c r="G114" s="8">
        <f>SUM(G105:G113)</f>
        <v>100.39999999999999</v>
      </c>
      <c r="H114" s="8">
        <f>SUM(H105:H113)</f>
        <v>12766</v>
      </c>
      <c r="I114" s="8">
        <f>SUM(I105:I113)</f>
        <v>100.25</v>
      </c>
      <c r="J114" s="8">
        <f t="shared" ref="J114:K114" si="78">SUM(J105:J113)</f>
        <v>199.1</v>
      </c>
      <c r="K114" s="8">
        <f t="shared" si="78"/>
        <v>2.0861618798955615</v>
      </c>
      <c r="L114" s="8">
        <f>SUM(L105:L113)</f>
        <v>1</v>
      </c>
      <c r="M114" s="8">
        <f>SUM(M105:M113)</f>
        <v>1</v>
      </c>
      <c r="N114" s="8">
        <f>SUM(N105:N113)</f>
        <v>1</v>
      </c>
      <c r="O114" s="8">
        <f>SUM(O105:O113)</f>
        <v>1</v>
      </c>
      <c r="Q114" s="8">
        <f>SUM(Q105:Q113)</f>
        <v>1.1419452462579867</v>
      </c>
      <c r="R114" s="8">
        <f>SUM(R105:R113)</f>
        <v>1</v>
      </c>
      <c r="S114" s="8">
        <f>SUM(S105:S113)</f>
        <v>3.8206047300526098</v>
      </c>
      <c r="T114" s="8">
        <f>SUM(T105:T113)</f>
        <v>262.62512984375212</v>
      </c>
    </row>
    <row r="117" spans="3:38">
      <c r="C117" s="8" t="s">
        <v>123</v>
      </c>
      <c r="G117" s="8" t="s">
        <v>147</v>
      </c>
      <c r="H117" s="12" t="s">
        <v>230</v>
      </c>
    </row>
    <row r="118" spans="3:38">
      <c r="C118" s="8" t="s">
        <v>107</v>
      </c>
      <c r="D118" s="8" t="s">
        <v>108</v>
      </c>
      <c r="E118" s="8" t="s">
        <v>109</v>
      </c>
      <c r="F118" s="8" t="s">
        <v>110</v>
      </c>
      <c r="G118" s="8" t="s">
        <v>149</v>
      </c>
      <c r="H118" s="8" t="s">
        <v>231</v>
      </c>
      <c r="Q118" s="8" t="s">
        <v>248</v>
      </c>
      <c r="R118" s="8" t="s">
        <v>240</v>
      </c>
      <c r="S118" s="8" t="s">
        <v>249</v>
      </c>
    </row>
    <row r="119" spans="3:38">
      <c r="C119" s="8" t="s">
        <v>156</v>
      </c>
      <c r="D119" s="8" t="s">
        <v>157</v>
      </c>
      <c r="E119" s="8" t="s">
        <v>158</v>
      </c>
      <c r="F119" s="8">
        <v>228.37090000000001</v>
      </c>
      <c r="G119" s="8">
        <f>6.8+6.8+9.9</f>
        <v>23.5</v>
      </c>
      <c r="H119" s="8">
        <v>156</v>
      </c>
      <c r="I119" s="8">
        <f>AVERAGE(0.9,0.3)</f>
        <v>0.6</v>
      </c>
      <c r="L119" s="8">
        <f>G119/$G$128</f>
        <v>0.23547094188376755</v>
      </c>
      <c r="M119" s="8">
        <f>H119/$H$128</f>
        <v>8.3956729993003611E-3</v>
      </c>
      <c r="N119" s="8">
        <f>I119/$I$128</f>
        <v>6.1412487205731838E-3</v>
      </c>
      <c r="Q119" s="8">
        <f>AVERAGE(L119:P119)</f>
        <v>8.3335954534547022E-2</v>
      </c>
      <c r="R119" s="15">
        <f t="shared" ref="R119:R127" si="79">Q119/$Q$128</f>
        <v>7.4159960104486833E-2</v>
      </c>
      <c r="S119" s="8">
        <f>R119/F119*1000</f>
        <v>0.32473471928554309</v>
      </c>
      <c r="T119" s="8">
        <f>R119*F119</f>
        <v>16.935976833025752</v>
      </c>
      <c r="U119" s="8">
        <f>R127+R123+R122+R126+R120+R121+R125</f>
        <v>0.87533644632924468</v>
      </c>
      <c r="V119" s="8" t="s">
        <v>238</v>
      </c>
      <c r="W119" s="8">
        <v>2.6</v>
      </c>
      <c r="X119" s="8">
        <v>3.8</v>
      </c>
      <c r="Y119" s="8">
        <f>AVERAGE(W119:X119)</f>
        <v>3.2</v>
      </c>
      <c r="Z119" s="8">
        <f t="shared" ref="Z119:Z125" si="80">Y119/$Y$128</f>
        <v>4.7093451066961015E-2</v>
      </c>
      <c r="AA119" s="8">
        <f>AVERAGE(1,1,0,1)</f>
        <v>0.75</v>
      </c>
      <c r="AB119" s="8">
        <f t="shared" ref="AB119:AB124" si="81">AA119/$AA$128</f>
        <v>7.9155672823219003E-3</v>
      </c>
      <c r="AC119" s="8">
        <f>AVERAGE(AB119,Z119)</f>
        <v>2.7504509174641457E-2</v>
      </c>
      <c r="AD119" s="8">
        <f>AC119/$AC$128</f>
        <v>2.5367966685797324E-2</v>
      </c>
      <c r="AE119" s="15">
        <f>AD119*$U$119*0.5</f>
        <v>1.1102752904672247E-2</v>
      </c>
      <c r="AF119" s="15">
        <f>AD119*$U$119</f>
        <v>2.2205505809344495E-2</v>
      </c>
      <c r="AL119" s="14"/>
    </row>
    <row r="120" spans="3:38">
      <c r="C120" s="8" t="s">
        <v>161</v>
      </c>
      <c r="D120" s="8" t="s">
        <v>162</v>
      </c>
      <c r="E120" s="8" t="s">
        <v>163</v>
      </c>
      <c r="F120" s="8">
        <v>256.42410000000001</v>
      </c>
      <c r="G120" s="8">
        <v>28</v>
      </c>
      <c r="H120" s="8">
        <v>11823</v>
      </c>
      <c r="I120" s="8">
        <f>AVERAGE(45.4,37.5)</f>
        <v>41.45</v>
      </c>
      <c r="J120" s="8">
        <f>SUM(Z122:Z124)</f>
        <v>0.61589403973509949</v>
      </c>
      <c r="K120" s="8">
        <f>SUM(AB122:AB124)</f>
        <v>0.48812664907651715</v>
      </c>
      <c r="L120" s="8">
        <f t="shared" ref="L120:L127" si="82">G120/$G$128</f>
        <v>0.28056112224448898</v>
      </c>
      <c r="M120" s="8">
        <f t="shared" ref="M120:M127" si="83">H120/$H$128</f>
        <v>0.63629514019697542</v>
      </c>
      <c r="N120" s="8">
        <f t="shared" ref="N120:N127" si="84">I120/$I$128</f>
        <v>0.42425793244626414</v>
      </c>
      <c r="O120" s="8">
        <f>J120/$J$128</f>
        <v>0.3205668326311758</v>
      </c>
      <c r="P120" s="8">
        <f>K120/$K$128</f>
        <v>0.24406332453825857</v>
      </c>
      <c r="Q120" s="8">
        <f t="shared" ref="Q120:Q126" si="85">AVERAGE(L120:P120)</f>
        <v>0.38114887041143258</v>
      </c>
      <c r="R120" s="15">
        <f t="shared" si="79"/>
        <v>0.33918115153843187</v>
      </c>
      <c r="S120" s="8">
        <f t="shared" ref="S120:S127" si="86">R120/F120*1000</f>
        <v>1.3227350765331021</v>
      </c>
      <c r="T120" s="8">
        <f t="shared" ref="T120:T127" si="87">R120*F120</f>
        <v>86.974221520206015</v>
      </c>
      <c r="V120" s="8" t="s">
        <v>242</v>
      </c>
      <c r="W120" s="8">
        <v>11.6</v>
      </c>
      <c r="X120" s="8">
        <v>16.7</v>
      </c>
      <c r="Y120" s="8">
        <f t="shared" ref="Y120:Y125" si="88">AVERAGE(W120:X120)</f>
        <v>14.149999999999999</v>
      </c>
      <c r="Z120" s="8">
        <f t="shared" si="80"/>
        <v>0.20824135393671819</v>
      </c>
      <c r="AA120" s="8">
        <f>AVERAGE(17,14,12,14)</f>
        <v>14.25</v>
      </c>
      <c r="AB120" s="8">
        <f t="shared" si="81"/>
        <v>0.15039577836411611</v>
      </c>
      <c r="AC120" s="8">
        <f t="shared" ref="AC120:AC127" si="89">AVERAGE(AB120,Z120)</f>
        <v>0.17931856615041714</v>
      </c>
      <c r="AD120" s="8">
        <f t="shared" ref="AD120:AD127" si="90">AC120/$AC$128</f>
        <v>0.16538915067943671</v>
      </c>
      <c r="AE120" s="15">
        <f t="shared" ref="AE120:AE127" si="91">AD120*$U$119*0.5</f>
        <v>7.2385575708575053E-2</v>
      </c>
      <c r="AF120" s="15">
        <f t="shared" ref="AF120:AF127" si="92">AD120*$U$119</f>
        <v>0.14477115141715011</v>
      </c>
      <c r="AL120" s="14"/>
    </row>
    <row r="121" spans="3:38">
      <c r="C121" s="8" t="s">
        <v>164</v>
      </c>
      <c r="D121" s="8" t="s">
        <v>165</v>
      </c>
      <c r="E121" s="8" t="s">
        <v>166</v>
      </c>
      <c r="F121" s="8">
        <v>254.40819999999999</v>
      </c>
      <c r="H121" s="8">
        <v>1076</v>
      </c>
      <c r="I121" s="8">
        <f>AVERAGE(0.7,2.1)</f>
        <v>1.4</v>
      </c>
      <c r="K121" s="8">
        <f>SUM(AB126)</f>
        <v>4.4854881266490766E-2</v>
      </c>
      <c r="M121" s="8">
        <f t="shared" si="83"/>
        <v>5.7908616328507613E-2</v>
      </c>
      <c r="N121" s="8">
        <f t="shared" si="84"/>
        <v>1.4329580348004096E-2</v>
      </c>
      <c r="P121" s="8">
        <f t="shared" ref="P121:P127" si="93">K121/$K$128</f>
        <v>2.2427440633245383E-2</v>
      </c>
      <c r="Q121" s="8">
        <f t="shared" si="85"/>
        <v>3.1555212436585697E-2</v>
      </c>
      <c r="R121" s="15">
        <f t="shared" si="79"/>
        <v>2.8080716282138426E-2</v>
      </c>
      <c r="S121" s="8">
        <f t="shared" si="86"/>
        <v>0.11037661632816248</v>
      </c>
      <c r="T121" s="8">
        <f t="shared" si="87"/>
        <v>7.1439644840495289</v>
      </c>
      <c r="V121" s="8" t="s">
        <v>244</v>
      </c>
      <c r="W121" s="8">
        <v>2.5</v>
      </c>
      <c r="X121" s="8">
        <v>4.3</v>
      </c>
      <c r="Y121" s="8">
        <f t="shared" si="88"/>
        <v>3.4</v>
      </c>
      <c r="Z121" s="8">
        <f t="shared" si="80"/>
        <v>5.0036791758646074E-2</v>
      </c>
      <c r="AA121" s="8">
        <f>AVERAGE(22,25,27,26)</f>
        <v>25</v>
      </c>
      <c r="AB121" s="8">
        <f t="shared" si="81"/>
        <v>0.26385224274406333</v>
      </c>
      <c r="AC121" s="8">
        <f t="shared" si="89"/>
        <v>0.15694451725135469</v>
      </c>
      <c r="AD121" s="8">
        <f t="shared" si="90"/>
        <v>0.14475311156694398</v>
      </c>
      <c r="AE121" s="15">
        <f t="shared" si="91"/>
        <v>6.3353837137054711E-2</v>
      </c>
      <c r="AF121" s="15">
        <f t="shared" si="92"/>
        <v>0.12670767427410942</v>
      </c>
      <c r="AL121" s="14"/>
    </row>
    <row r="122" spans="3:38">
      <c r="C122" s="13" t="s">
        <v>233</v>
      </c>
      <c r="D122" s="13" t="s">
        <v>234</v>
      </c>
      <c r="E122" s="13" t="s">
        <v>235</v>
      </c>
      <c r="F122" s="13">
        <v>252.39230000000001</v>
      </c>
      <c r="G122" s="13">
        <v>11.5</v>
      </c>
      <c r="H122" s="13"/>
      <c r="I122" s="8">
        <f>AVERAGE(4.5,1.6)</f>
        <v>3.05</v>
      </c>
      <c r="J122" s="8">
        <f>SUM(Z120:Z121)</f>
        <v>0.25827814569536428</v>
      </c>
      <c r="K122" s="8">
        <f>SUM(AB120:AB121,AB127)</f>
        <v>0.45910290237467022</v>
      </c>
      <c r="L122" s="8">
        <f t="shared" si="82"/>
        <v>0.11523046092184369</v>
      </c>
      <c r="N122" s="8">
        <f t="shared" si="84"/>
        <v>3.1218014329580351E-2</v>
      </c>
      <c r="O122" s="8">
        <f t="shared" ref="O122:O127" si="94">J122/$J$128</f>
        <v>0.13443125239371886</v>
      </c>
      <c r="P122" s="8">
        <f t="shared" si="93"/>
        <v>0.22955145118733511</v>
      </c>
      <c r="Q122" s="8">
        <f t="shared" si="85"/>
        <v>0.1276077947081195</v>
      </c>
      <c r="R122" s="23">
        <f t="shared" si="79"/>
        <v>0.11355709570294331</v>
      </c>
      <c r="S122" s="8">
        <f t="shared" si="86"/>
        <v>0.44992297983315382</v>
      </c>
      <c r="T122" s="8">
        <f t="shared" si="87"/>
        <v>28.660936565785981</v>
      </c>
      <c r="U122" s="13"/>
      <c r="V122" s="8" t="s">
        <v>218</v>
      </c>
      <c r="W122" s="8">
        <v>33.200000000000003</v>
      </c>
      <c r="X122" s="8">
        <v>25.6</v>
      </c>
      <c r="Y122" s="8">
        <f t="shared" si="88"/>
        <v>29.400000000000002</v>
      </c>
      <c r="Z122" s="8">
        <f t="shared" si="80"/>
        <v>0.43267108167770429</v>
      </c>
      <c r="AA122" s="8">
        <f>AVERAGE(27,34,36,35)</f>
        <v>33</v>
      </c>
      <c r="AB122" s="8">
        <f t="shared" si="81"/>
        <v>0.34828496042216361</v>
      </c>
      <c r="AC122" s="8">
        <f t="shared" si="89"/>
        <v>0.39047802104993395</v>
      </c>
      <c r="AD122" s="8">
        <f t="shared" si="90"/>
        <v>0.36014579888099085</v>
      </c>
      <c r="AE122" s="15">
        <f t="shared" si="91"/>
        <v>0.15762437187644671</v>
      </c>
      <c r="AF122" s="15">
        <f t="shared" si="92"/>
        <v>0.31524874375289341</v>
      </c>
      <c r="AL122" s="14"/>
    </row>
    <row r="123" spans="3:38">
      <c r="C123" s="13" t="s">
        <v>167</v>
      </c>
      <c r="D123" s="13" t="s">
        <v>168</v>
      </c>
      <c r="E123" s="13" t="s">
        <v>246</v>
      </c>
      <c r="F123" s="13">
        <v>247.36</v>
      </c>
      <c r="G123" s="13">
        <v>15.8</v>
      </c>
      <c r="H123" s="9"/>
      <c r="I123" s="8">
        <f>AVERAGE(1.9,1.6)</f>
        <v>1.75</v>
      </c>
      <c r="J123" s="8">
        <f>SUM(Z119)</f>
        <v>4.7093451066961015E-2</v>
      </c>
      <c r="K123" s="8">
        <f>SUM(AB119)</f>
        <v>7.9155672823219003E-3</v>
      </c>
      <c r="L123" s="8">
        <f t="shared" si="82"/>
        <v>0.15831663326653309</v>
      </c>
      <c r="N123" s="8">
        <f t="shared" si="84"/>
        <v>1.7911975435005119E-2</v>
      </c>
      <c r="O123" s="8">
        <f t="shared" si="94"/>
        <v>2.4511681348142477E-2</v>
      </c>
      <c r="P123" s="8">
        <f t="shared" si="93"/>
        <v>3.9577836411609502E-3</v>
      </c>
      <c r="Q123" s="8">
        <f t="shared" si="85"/>
        <v>5.1174518422710404E-2</v>
      </c>
      <c r="R123" s="15">
        <f t="shared" si="79"/>
        <v>4.5539770508313628E-2</v>
      </c>
      <c r="S123" s="8">
        <f t="shared" si="86"/>
        <v>0.18410321195146193</v>
      </c>
      <c r="T123" s="8">
        <f t="shared" si="87"/>
        <v>11.26471763293646</v>
      </c>
      <c r="V123" s="8" t="s">
        <v>220</v>
      </c>
      <c r="W123" s="8">
        <v>16.899999999999999</v>
      </c>
      <c r="X123" s="8">
        <v>5.7</v>
      </c>
      <c r="Y123" s="8">
        <f t="shared" si="88"/>
        <v>11.299999999999999</v>
      </c>
      <c r="Z123" s="8">
        <f t="shared" si="80"/>
        <v>0.16629874908020606</v>
      </c>
      <c r="AA123" s="8">
        <f>AVERAGE(9,10,11,10)</f>
        <v>10</v>
      </c>
      <c r="AB123" s="8">
        <f t="shared" si="81"/>
        <v>0.10554089709762533</v>
      </c>
      <c r="AC123" s="8">
        <f t="shared" si="89"/>
        <v>0.1359198230889157</v>
      </c>
      <c r="AD123" s="8">
        <f t="shared" si="90"/>
        <v>0.12536160969700441</v>
      </c>
      <c r="AE123" s="15">
        <f t="shared" si="91"/>
        <v>5.4866792969144811E-2</v>
      </c>
      <c r="AF123" s="15">
        <f t="shared" si="92"/>
        <v>0.10973358593828962</v>
      </c>
      <c r="AL123" s="14"/>
    </row>
    <row r="124" spans="3:38">
      <c r="C124" s="8" t="s">
        <v>169</v>
      </c>
      <c r="D124" s="8" t="s">
        <v>170</v>
      </c>
      <c r="E124" s="8" t="s">
        <v>171</v>
      </c>
      <c r="F124" s="8">
        <v>284.47719999999998</v>
      </c>
      <c r="G124" s="8">
        <v>13.8</v>
      </c>
      <c r="H124" s="8">
        <v>347</v>
      </c>
      <c r="I124" s="8">
        <f>AVERAGE(1.2,1.4)</f>
        <v>1.2999999999999998</v>
      </c>
      <c r="L124" s="8">
        <f t="shared" si="82"/>
        <v>0.13827655310621242</v>
      </c>
      <c r="M124" s="8">
        <f t="shared" si="83"/>
        <v>1.8674990581777084E-2</v>
      </c>
      <c r="N124" s="8">
        <f t="shared" si="84"/>
        <v>1.3306038894575231E-2</v>
      </c>
      <c r="Q124" s="8">
        <f t="shared" si="85"/>
        <v>5.6752527527521579E-2</v>
      </c>
      <c r="R124" s="15">
        <f t="shared" si="79"/>
        <v>5.0503593566268476E-2</v>
      </c>
      <c r="S124" s="8">
        <f t="shared" si="86"/>
        <v>0.17753125229814018</v>
      </c>
      <c r="T124" s="8">
        <f t="shared" si="87"/>
        <v>14.367120887670069</v>
      </c>
      <c r="V124" s="8" t="s">
        <v>222</v>
      </c>
      <c r="W124" s="8">
        <v>1.9</v>
      </c>
      <c r="X124" s="8">
        <v>0.4</v>
      </c>
      <c r="Y124" s="8">
        <f t="shared" si="88"/>
        <v>1.1499999999999999</v>
      </c>
      <c r="Z124" s="8">
        <f t="shared" si="80"/>
        <v>1.692420897718911E-2</v>
      </c>
      <c r="AA124" s="8">
        <f>AVERAGE(4,3,4,2)</f>
        <v>3.25</v>
      </c>
      <c r="AB124" s="8">
        <f t="shared" si="81"/>
        <v>3.430079155672823E-2</v>
      </c>
      <c r="AC124" s="8">
        <f t="shared" si="89"/>
        <v>2.561250026695867E-2</v>
      </c>
      <c r="AD124" s="8">
        <f t="shared" si="90"/>
        <v>2.362292849462028E-2</v>
      </c>
      <c r="AE124" s="15">
        <f t="shared" si="91"/>
        <v>1.0339005140185384E-2</v>
      </c>
      <c r="AF124" s="15">
        <f t="shared" si="92"/>
        <v>2.0678010280370768E-2</v>
      </c>
      <c r="AL124" s="14"/>
    </row>
    <row r="125" spans="3:38">
      <c r="C125" s="8" t="s">
        <v>172</v>
      </c>
      <c r="D125" s="8" t="s">
        <v>173</v>
      </c>
      <c r="E125" s="8" t="s">
        <v>174</v>
      </c>
      <c r="F125" s="8">
        <v>282.46140000000003</v>
      </c>
      <c r="H125" s="8">
        <v>4654</v>
      </c>
      <c r="I125" s="8">
        <f>AVERAGE(5.5,11.6)</f>
        <v>8.5500000000000007</v>
      </c>
      <c r="J125" s="8">
        <f>SUM(Z124)</f>
        <v>1.692420897718911E-2</v>
      </c>
      <c r="K125" s="8">
        <f>SUM(AB127,AB124)</f>
        <v>7.9155672823219003E-2</v>
      </c>
      <c r="M125" s="8">
        <f t="shared" si="83"/>
        <v>0.25047091114579412</v>
      </c>
      <c r="N125" s="8">
        <f t="shared" si="84"/>
        <v>8.7512794268167882E-2</v>
      </c>
      <c r="O125" s="8">
        <f t="shared" si="94"/>
        <v>8.8088854844886998E-3</v>
      </c>
      <c r="P125" s="8">
        <f t="shared" si="93"/>
        <v>3.9577836411609502E-2</v>
      </c>
      <c r="Q125" s="8">
        <f t="shared" si="85"/>
        <v>9.6592606827515054E-2</v>
      </c>
      <c r="R125" s="15">
        <f t="shared" si="79"/>
        <v>8.5956942699292452E-2</v>
      </c>
      <c r="S125" s="8">
        <f t="shared" si="86"/>
        <v>0.30431394413287072</v>
      </c>
      <c r="T125" s="8">
        <f t="shared" si="87"/>
        <v>24.279518374561928</v>
      </c>
      <c r="V125" s="8" t="s">
        <v>250</v>
      </c>
      <c r="W125" s="8">
        <v>3.5</v>
      </c>
      <c r="X125" s="8">
        <v>7.2</v>
      </c>
      <c r="Y125" s="8">
        <f t="shared" si="88"/>
        <v>5.35</v>
      </c>
      <c r="Z125" s="8">
        <f t="shared" si="80"/>
        <v>7.8734363502575427E-2</v>
      </c>
      <c r="AC125" s="8">
        <f t="shared" si="89"/>
        <v>7.8734363502575427E-2</v>
      </c>
      <c r="AD125" s="8">
        <f t="shared" si="90"/>
        <v>7.2618300427708934E-2</v>
      </c>
      <c r="AE125" s="15">
        <f t="shared" si="91"/>
        <v>3.1782722517430105E-2</v>
      </c>
      <c r="AF125" s="15">
        <f t="shared" si="92"/>
        <v>6.356544503486021E-2</v>
      </c>
      <c r="AL125" s="14"/>
    </row>
    <row r="126" spans="3:38">
      <c r="C126" s="8" t="s">
        <v>175</v>
      </c>
      <c r="D126" s="8" t="s">
        <v>176</v>
      </c>
      <c r="E126" s="8" t="s">
        <v>177</v>
      </c>
      <c r="F126" s="8">
        <v>280.44549999999998</v>
      </c>
      <c r="G126" s="8">
        <v>3</v>
      </c>
      <c r="H126" s="8">
        <v>309</v>
      </c>
      <c r="I126" s="8">
        <f>AVERAGE(19.9,15)</f>
        <v>17.45</v>
      </c>
      <c r="J126" s="8">
        <f>SUM(Z121,Z123)</f>
        <v>0.21633554083885215</v>
      </c>
      <c r="K126" s="8">
        <f>SUM(AB121,AB123,AB126)</f>
        <v>0.41424802110817943</v>
      </c>
      <c r="L126" s="8">
        <f t="shared" si="82"/>
        <v>3.0060120240480964E-2</v>
      </c>
      <c r="M126" s="8">
        <f t="shared" si="83"/>
        <v>1.6629890748614175E-2</v>
      </c>
      <c r="N126" s="8">
        <f t="shared" si="84"/>
        <v>0.17860798362333677</v>
      </c>
      <c r="O126" s="8">
        <f t="shared" si="94"/>
        <v>0.1126005361930295</v>
      </c>
      <c r="P126" s="8">
        <f t="shared" si="93"/>
        <v>0.20712401055408972</v>
      </c>
      <c r="Q126" s="8">
        <f t="shared" si="85"/>
        <v>0.10900450827191022</v>
      </c>
      <c r="R126" s="15">
        <f t="shared" si="79"/>
        <v>9.7002188668792774E-2</v>
      </c>
      <c r="S126" s="8">
        <f t="shared" si="86"/>
        <v>0.34588605867732869</v>
      </c>
      <c r="T126" s="8">
        <f t="shared" si="87"/>
        <v>27.203827302313922</v>
      </c>
      <c r="V126" s="8" t="s">
        <v>245</v>
      </c>
      <c r="AA126" s="8">
        <f>AVERAGE(4,4,4,5)</f>
        <v>4.25</v>
      </c>
      <c r="AB126" s="8">
        <f>AA126/$AA$128</f>
        <v>4.4854881266490766E-2</v>
      </c>
      <c r="AC126" s="8">
        <f t="shared" si="89"/>
        <v>4.4854881266490766E-2</v>
      </c>
      <c r="AD126" s="8">
        <f t="shared" si="90"/>
        <v>4.1370566783748661E-2</v>
      </c>
      <c r="AE126" s="15">
        <f t="shared" si="91"/>
        <v>1.810658245555662E-2</v>
      </c>
      <c r="AF126" s="15">
        <f t="shared" si="92"/>
        <v>3.6213164911113239E-2</v>
      </c>
      <c r="AL126" s="14"/>
    </row>
    <row r="127" spans="3:38">
      <c r="C127" s="8" t="s">
        <v>237</v>
      </c>
      <c r="D127" s="8" t="s">
        <v>182</v>
      </c>
      <c r="E127" s="8" t="s">
        <v>180</v>
      </c>
      <c r="F127" s="8">
        <v>278.42959999999999</v>
      </c>
      <c r="G127" s="8">
        <v>4.2</v>
      </c>
      <c r="H127" s="8">
        <v>216</v>
      </c>
      <c r="I127" s="8">
        <f>AVERAGE(19.5,24.8)</f>
        <v>22.15</v>
      </c>
      <c r="J127" s="8">
        <f>SUM(Z119:Z120,Z122,Z125)</f>
        <v>0.76674025018395897</v>
      </c>
      <c r="K127" s="8">
        <f>SUM(AB119,AB120,AB122)</f>
        <v>0.50659630606860162</v>
      </c>
      <c r="L127" s="8">
        <f t="shared" si="82"/>
        <v>4.2084168336673347E-2</v>
      </c>
      <c r="M127" s="8">
        <f t="shared" si="83"/>
        <v>1.1624777999031269E-2</v>
      </c>
      <c r="N127" s="8">
        <f t="shared" si="84"/>
        <v>0.22671443193449337</v>
      </c>
      <c r="O127" s="8">
        <f t="shared" si="94"/>
        <v>0.39908081194944467</v>
      </c>
      <c r="P127" s="8">
        <f t="shared" si="93"/>
        <v>0.25329815303430081</v>
      </c>
      <c r="Q127" s="8">
        <f>AVERAGE(L127:P127)</f>
        <v>0.18656046865078868</v>
      </c>
      <c r="R127" s="15">
        <f t="shared" si="79"/>
        <v>0.16601858092933233</v>
      </c>
      <c r="S127" s="8">
        <f t="shared" si="86"/>
        <v>0.59626771338008722</v>
      </c>
      <c r="T127" s="8">
        <f t="shared" si="87"/>
        <v>46.22448708072163</v>
      </c>
      <c r="V127" s="8" t="s">
        <v>247</v>
      </c>
      <c r="AA127" s="8">
        <f>AA126</f>
        <v>4.25</v>
      </c>
      <c r="AB127" s="8">
        <f>AA127/$AA$128</f>
        <v>4.4854881266490766E-2</v>
      </c>
      <c r="AC127" s="8">
        <f t="shared" si="89"/>
        <v>4.4854881266490766E-2</v>
      </c>
      <c r="AD127" s="8">
        <f t="shared" si="90"/>
        <v>4.1370566783748661E-2</v>
      </c>
      <c r="AE127" s="15">
        <f t="shared" si="91"/>
        <v>1.810658245555662E-2</v>
      </c>
      <c r="AF127" s="15">
        <f t="shared" si="92"/>
        <v>3.6213164911113239E-2</v>
      </c>
    </row>
    <row r="128" spans="3:38">
      <c r="C128" s="8" t="s">
        <v>125</v>
      </c>
      <c r="D128" s="8" t="s">
        <v>13</v>
      </c>
      <c r="E128" s="8" t="s">
        <v>13</v>
      </c>
      <c r="F128" s="8">
        <f t="shared" ref="F128:P128" si="95">SUM(F119:F127)</f>
        <v>2364.7691999999997</v>
      </c>
      <c r="G128" s="8">
        <f t="shared" si="95"/>
        <v>99.8</v>
      </c>
      <c r="H128" s="8">
        <f t="shared" si="95"/>
        <v>18581</v>
      </c>
      <c r="I128" s="8">
        <f t="shared" si="95"/>
        <v>97.699999999999989</v>
      </c>
      <c r="J128" s="8">
        <f t="shared" si="95"/>
        <v>1.921265636497425</v>
      </c>
      <c r="K128" s="8">
        <f>SUM(K119:K127)</f>
        <v>2</v>
      </c>
      <c r="L128" s="8">
        <f t="shared" si="95"/>
        <v>1.0000000000000002</v>
      </c>
      <c r="M128" s="8">
        <f t="shared" si="95"/>
        <v>1</v>
      </c>
      <c r="N128" s="8">
        <f t="shared" si="95"/>
        <v>1.0000000000000002</v>
      </c>
      <c r="O128" s="8">
        <f t="shared" si="95"/>
        <v>1</v>
      </c>
      <c r="P128" s="8">
        <f t="shared" si="95"/>
        <v>1</v>
      </c>
      <c r="Q128" s="8">
        <f>SUM(Q119:Q127)</f>
        <v>1.1237324617911306</v>
      </c>
      <c r="R128" s="8">
        <f>SUM(R119:R127)</f>
        <v>1</v>
      </c>
      <c r="S128" s="8">
        <f>SUM(S119:S127)</f>
        <v>3.8158715724198502</v>
      </c>
      <c r="T128" s="8">
        <f>SUM(T119:T127)</f>
        <v>263.05477068127129</v>
      </c>
      <c r="W128" s="8">
        <f>SUM(W119:W125)</f>
        <v>72.200000000000017</v>
      </c>
      <c r="X128" s="8">
        <f>SUM(X119:X125)</f>
        <v>63.70000000000001</v>
      </c>
      <c r="Y128" s="8">
        <f>SUM(Y119:Y125)</f>
        <v>67.949999999999989</v>
      </c>
      <c r="Z128" s="8">
        <f>SUM(Z119:Z127)</f>
        <v>1.0000000000000002</v>
      </c>
      <c r="AA128" s="8">
        <f t="shared" ref="AA128:AF128" si="96">SUM(AA119:AA127)</f>
        <v>94.75</v>
      </c>
      <c r="AB128" s="8">
        <f t="shared" si="96"/>
        <v>1</v>
      </c>
      <c r="AC128" s="8">
        <f t="shared" si="96"/>
        <v>1.0842220630177788</v>
      </c>
      <c r="AD128" s="8">
        <f t="shared" si="96"/>
        <v>0.99999999999999978</v>
      </c>
      <c r="AE128" s="8">
        <f t="shared" si="96"/>
        <v>0.43766822316462223</v>
      </c>
      <c r="AF128" s="8">
        <f t="shared" si="96"/>
        <v>0.87533644632924446</v>
      </c>
    </row>
    <row r="130" spans="3:25">
      <c r="C130" s="8" t="s">
        <v>118</v>
      </c>
      <c r="G130" s="8" t="s">
        <v>147</v>
      </c>
      <c r="H130" s="12" t="s">
        <v>230</v>
      </c>
    </row>
    <row r="131" spans="3:25">
      <c r="C131" s="8" t="s">
        <v>107</v>
      </c>
      <c r="D131" s="8" t="s">
        <v>108</v>
      </c>
      <c r="E131" s="8" t="s">
        <v>109</v>
      </c>
      <c r="F131" s="8" t="s">
        <v>110</v>
      </c>
      <c r="G131" s="8" t="s">
        <v>149</v>
      </c>
      <c r="H131" s="8" t="s">
        <v>231</v>
      </c>
      <c r="O131" s="8" t="s">
        <v>232</v>
      </c>
      <c r="P131" s="8" t="s">
        <v>151</v>
      </c>
      <c r="Q131" s="8" t="s">
        <v>78</v>
      </c>
      <c r="R131" s="8" t="s">
        <v>210</v>
      </c>
      <c r="V131" s="8" t="s">
        <v>251</v>
      </c>
      <c r="X131" s="8" t="s">
        <v>214</v>
      </c>
      <c r="Y131" s="8" t="s">
        <v>215</v>
      </c>
    </row>
    <row r="132" spans="3:25">
      <c r="C132" s="8" t="s">
        <v>156</v>
      </c>
      <c r="D132" s="8" t="s">
        <v>157</v>
      </c>
      <c r="E132" s="8" t="s">
        <v>158</v>
      </c>
      <c r="F132" s="8">
        <v>228.37090000000001</v>
      </c>
      <c r="G132" s="8">
        <f>4.6+11.5</f>
        <v>16.100000000000001</v>
      </c>
      <c r="H132" s="8">
        <f>69</f>
        <v>69</v>
      </c>
      <c r="J132" s="8">
        <f>0.3+1.6</f>
        <v>1.9000000000000001</v>
      </c>
      <c r="K132" s="8">
        <f t="shared" ref="K132:L136" si="97">G132/G$141</f>
        <v>0.16100000000000003</v>
      </c>
      <c r="L132" s="8">
        <f t="shared" si="97"/>
        <v>3.0517470145953119E-2</v>
      </c>
      <c r="N132" s="8">
        <f>J132/J$141</f>
        <v>1.8889496445792117E-2</v>
      </c>
      <c r="O132" s="8">
        <f>AVERAGE(Lipid!$K132:$N132)</f>
        <v>7.0135655530581764E-2</v>
      </c>
      <c r="P132" s="15">
        <f>Lipid!$O132/$O$141</f>
        <v>6.5822882883978515E-2</v>
      </c>
      <c r="Q132" s="8">
        <f t="shared" ref="Q132:Q140" si="98">P132*F132</f>
        <v>15.03203100480877</v>
      </c>
      <c r="U132" s="8">
        <f>P132+P133+P134+P137+P138+P140</f>
        <v>0.86903986376211817</v>
      </c>
      <c r="V132" s="8" t="s">
        <v>252</v>
      </c>
      <c r="W132" s="8">
        <f>AVERAGE(0.6,1.1,0.4,0.5,0.9)</f>
        <v>0.7</v>
      </c>
      <c r="X132" s="15">
        <f>W132/$W$140*$U$132*0.5</f>
        <v>3.1558824685281317E-3</v>
      </c>
      <c r="Y132" s="15">
        <f>W132/$W$140*$U$132</f>
        <v>6.3117649370562634E-3</v>
      </c>
    </row>
    <row r="133" spans="3:25">
      <c r="C133" s="8" t="s">
        <v>161</v>
      </c>
      <c r="D133" s="8" t="s">
        <v>162</v>
      </c>
      <c r="E133" s="8" t="s">
        <v>163</v>
      </c>
      <c r="F133" s="8">
        <v>256.42410000000001</v>
      </c>
      <c r="G133" s="8">
        <v>22.1</v>
      </c>
      <c r="H133" s="8">
        <v>1089</v>
      </c>
      <c r="I133" s="8">
        <v>15.4</v>
      </c>
      <c r="J133" s="8">
        <v>10.6</v>
      </c>
      <c r="K133" s="8">
        <f t="shared" si="97"/>
        <v>0.22100000000000006</v>
      </c>
      <c r="L133" s="8">
        <f t="shared" si="97"/>
        <v>0.48164528969482528</v>
      </c>
      <c r="M133" s="8">
        <f>I133/I$141</f>
        <v>0.16322204557498676</v>
      </c>
      <c r="N133" s="8">
        <f>J133/J$141</f>
        <v>0.10538350648705073</v>
      </c>
      <c r="O133" s="8">
        <f>AVERAGE(Lipid!$K133:$N133)</f>
        <v>0.24281271043921571</v>
      </c>
      <c r="P133" s="15">
        <f>Lipid!$O133/$O$141</f>
        <v>0.22788170269561192</v>
      </c>
      <c r="Q133" s="8">
        <f t="shared" si="98"/>
        <v>58.434360520189863</v>
      </c>
      <c r="V133" s="8" t="s">
        <v>253</v>
      </c>
      <c r="W133" s="8">
        <f>AVERAGE(2.3,3.3,1.7,1.5,3)</f>
        <v>2.3600000000000003</v>
      </c>
      <c r="X133" s="15">
        <f t="shared" ref="X133:X139" si="99">W133/$W$140*$U$132*0.5</f>
        <v>1.0639832322466276E-2</v>
      </c>
      <c r="Y133" s="15">
        <f t="shared" ref="Y133:Y139" si="100">W133/$W$140*$U$132</f>
        <v>2.1279664644932552E-2</v>
      </c>
    </row>
    <row r="134" spans="3:25">
      <c r="C134" s="8" t="s">
        <v>164</v>
      </c>
      <c r="D134" s="8" t="s">
        <v>165</v>
      </c>
      <c r="E134" s="8" t="s">
        <v>166</v>
      </c>
      <c r="F134" s="8">
        <v>254.40819999999999</v>
      </c>
      <c r="G134" s="8">
        <v>17</v>
      </c>
      <c r="H134" s="8">
        <f>102+295</f>
        <v>397</v>
      </c>
      <c r="I134" s="8">
        <v>38.700000000000003</v>
      </c>
      <c r="J134" s="8">
        <v>43.1</v>
      </c>
      <c r="K134" s="8">
        <f t="shared" si="97"/>
        <v>0.17</v>
      </c>
      <c r="L134" s="8">
        <f t="shared" si="97"/>
        <v>0.17558602388323752</v>
      </c>
      <c r="M134" s="8">
        <f t="shared" ref="M134:M140" si="101">I134/I$141</f>
        <v>0.41017488076311609</v>
      </c>
      <c r="N134" s="8">
        <f>J134/J$141</f>
        <v>0.42849331411244218</v>
      </c>
      <c r="O134" s="8">
        <f>AVERAGE(Lipid!$K134:$N134)</f>
        <v>0.29606355468969892</v>
      </c>
      <c r="P134" s="15">
        <f>Lipid!$O134/$O$141</f>
        <v>0.27785805292797228</v>
      </c>
      <c r="Q134" s="8">
        <f t="shared" si="98"/>
        <v>70.689367100910161</v>
      </c>
      <c r="V134" s="8" t="s">
        <v>254</v>
      </c>
      <c r="W134" s="8">
        <f>AVERAGE(10.7,9.5,10.5,10.4,12.4)/3</f>
        <v>3.5666666666666664</v>
      </c>
      <c r="X134" s="15">
        <f t="shared" si="99"/>
        <v>1.6079972577738577E-2</v>
      </c>
      <c r="Y134" s="15">
        <f t="shared" si="100"/>
        <v>3.2159945155477154E-2</v>
      </c>
    </row>
    <row r="135" spans="3:25">
      <c r="C135" s="13" t="s">
        <v>167</v>
      </c>
      <c r="D135" s="13" t="s">
        <v>168</v>
      </c>
      <c r="E135" s="13" t="s">
        <v>246</v>
      </c>
      <c r="F135" s="13">
        <v>247.36</v>
      </c>
      <c r="G135" s="13">
        <v>20.9</v>
      </c>
      <c r="H135" s="13">
        <v>14</v>
      </c>
      <c r="I135" s="13">
        <v>1.8</v>
      </c>
      <c r="K135" s="8">
        <f t="shared" si="97"/>
        <v>0.20900000000000002</v>
      </c>
      <c r="L135" s="8">
        <f t="shared" si="97"/>
        <v>6.1919504643962852E-3</v>
      </c>
      <c r="M135" s="8">
        <f t="shared" si="101"/>
        <v>1.9077901430842609E-2</v>
      </c>
      <c r="O135" s="8">
        <f>AVERAGE(Lipid!$K135:$N135)</f>
        <v>7.8089950631746299E-2</v>
      </c>
      <c r="P135" s="15">
        <f>Lipid!$O135/$O$141</f>
        <v>7.3288053500944653E-2</v>
      </c>
      <c r="Q135" s="8">
        <f t="shared" si="98"/>
        <v>18.12853291399367</v>
      </c>
      <c r="V135" s="8" t="s">
        <v>255</v>
      </c>
      <c r="W135" s="8">
        <f>AVERAGE(10.7,9.5,10.5,10.4,12.4)/3</f>
        <v>3.5666666666666664</v>
      </c>
      <c r="X135" s="15">
        <f t="shared" si="99"/>
        <v>1.6079972577738577E-2</v>
      </c>
      <c r="Y135" s="15">
        <f>W135/$W$140*$U$132</f>
        <v>3.2159945155477154E-2</v>
      </c>
    </row>
    <row r="136" spans="3:25">
      <c r="C136" s="8" t="s">
        <v>169</v>
      </c>
      <c r="D136" s="8" t="s">
        <v>170</v>
      </c>
      <c r="E136" s="8" t="s">
        <v>171</v>
      </c>
      <c r="F136" s="8">
        <v>284.47719999999998</v>
      </c>
      <c r="G136" s="8">
        <v>0.6</v>
      </c>
      <c r="H136" s="8">
        <v>209</v>
      </c>
      <c r="I136" s="8">
        <v>2.6</v>
      </c>
      <c r="J136" s="8">
        <v>0.2</v>
      </c>
      <c r="K136" s="8">
        <f t="shared" si="97"/>
        <v>6.000000000000001E-3</v>
      </c>
      <c r="L136" s="8">
        <f t="shared" si="97"/>
        <v>9.2436974789915971E-2</v>
      </c>
      <c r="M136" s="8">
        <f t="shared" si="101"/>
        <v>2.7556968733439324E-2</v>
      </c>
      <c r="N136" s="8">
        <f>J136/J$141</f>
        <v>1.988368046925486E-3</v>
      </c>
      <c r="O136" s="8">
        <f>AVERAGE(Lipid!$K136:$N136)</f>
        <v>3.1995577892570196E-2</v>
      </c>
      <c r="P136" s="15">
        <f>Lipid!$O136/$O$141</f>
        <v>3.0028109960554196E-2</v>
      </c>
      <c r="Q136" s="8">
        <f t="shared" si="98"/>
        <v>8.5423126428705682</v>
      </c>
      <c r="V136" s="8" t="s">
        <v>255</v>
      </c>
      <c r="W136" s="8">
        <f>AVERAGE(10.7,9.5,10.5,10.4,12.4)/3</f>
        <v>3.5666666666666664</v>
      </c>
      <c r="X136" s="15">
        <f t="shared" si="99"/>
        <v>1.6079972577738577E-2</v>
      </c>
      <c r="Y136" s="15">
        <f t="shared" si="100"/>
        <v>3.2159945155477154E-2</v>
      </c>
    </row>
    <row r="137" spans="3:25">
      <c r="C137" s="8" t="s">
        <v>172</v>
      </c>
      <c r="D137" s="8" t="s">
        <v>173</v>
      </c>
      <c r="E137" s="8" t="s">
        <v>174</v>
      </c>
      <c r="F137" s="8">
        <v>282.46140000000003</v>
      </c>
      <c r="H137" s="8">
        <v>383</v>
      </c>
      <c r="I137" s="8">
        <v>5</v>
      </c>
      <c r="J137" s="8">
        <v>3.1</v>
      </c>
      <c r="L137" s="8">
        <f>H137/H$141</f>
        <v>0.16939407341884122</v>
      </c>
      <c r="M137" s="8">
        <f t="shared" si="101"/>
        <v>5.2994170641229466E-2</v>
      </c>
      <c r="N137" s="8">
        <f>J137/J$141</f>
        <v>3.0819704727345031E-2</v>
      </c>
      <c r="O137" s="8">
        <f>AVERAGE(Lipid!$K137:$N137)</f>
        <v>8.4402649595805235E-2</v>
      </c>
      <c r="P137" s="15">
        <f>Lipid!$O137/$O$141</f>
        <v>7.921257279786463E-2</v>
      </c>
      <c r="Q137" s="8">
        <f t="shared" si="98"/>
        <v>22.374494210086763</v>
      </c>
      <c r="V137" s="8" t="s">
        <v>245</v>
      </c>
      <c r="W137" s="8">
        <f>AVERAGE(36.8,33.5,34.2,26.4,20.7)</f>
        <v>30.32</v>
      </c>
      <c r="X137" s="15">
        <f>W137/$W$140*$U$132*0.5</f>
        <v>0.13669479492253281</v>
      </c>
      <c r="Y137" s="15">
        <f t="shared" si="100"/>
        <v>0.27338958984506562</v>
      </c>
    </row>
    <row r="138" spans="3:25">
      <c r="C138" s="8" t="s">
        <v>175</v>
      </c>
      <c r="D138" s="8" t="s">
        <v>176</v>
      </c>
      <c r="E138" s="8" t="s">
        <v>177</v>
      </c>
      <c r="F138" s="8">
        <v>280.44549999999998</v>
      </c>
      <c r="G138" s="8">
        <f>8.3</f>
        <v>8.3000000000000007</v>
      </c>
      <c r="H138" s="8">
        <f>87</f>
        <v>87</v>
      </c>
      <c r="I138" s="8">
        <f>AVERAGE(18.7,11.7)</f>
        <v>15.2</v>
      </c>
      <c r="J138" s="8">
        <f>AVERAGE(2.9,2.3,2.1,2.3,3.9)+AVERAGE(18.3,17.5,15.7,12.9,9.9)</f>
        <v>17.560000000000002</v>
      </c>
      <c r="K138" s="8">
        <f>G138/G$141</f>
        <v>8.3000000000000018E-2</v>
      </c>
      <c r="L138" s="8">
        <f>H138/H$141</f>
        <v>3.847854931446263E-2</v>
      </c>
      <c r="M138" s="8">
        <f t="shared" si="101"/>
        <v>0.16110227874933758</v>
      </c>
      <c r="N138" s="8">
        <f>J138/J$141</f>
        <v>0.17457871452005766</v>
      </c>
      <c r="O138" s="8">
        <f>AVERAGE(Lipid!$K138:$N138)</f>
        <v>0.11428988564596448</v>
      </c>
      <c r="P138" s="15">
        <f>Lipid!$O138/$O$141</f>
        <v>0.10726198679952963</v>
      </c>
      <c r="Q138" s="8">
        <f t="shared" si="98"/>
        <v>30.081141518987483</v>
      </c>
      <c r="V138" s="8" t="s">
        <v>256</v>
      </c>
      <c r="W138" s="8">
        <f>AVERAGE(0,1,1.7,2.7,2.4)</f>
        <v>1.56</v>
      </c>
      <c r="X138" s="15">
        <f t="shared" si="99"/>
        <v>7.0331095012912664E-3</v>
      </c>
      <c r="Y138" s="15">
        <f t="shared" si="100"/>
        <v>1.4066219002582533E-2</v>
      </c>
    </row>
    <row r="139" spans="3:25">
      <c r="C139" s="8" t="s">
        <v>178</v>
      </c>
      <c r="E139" s="8" t="s">
        <v>180</v>
      </c>
      <c r="F139" s="8">
        <v>278.42959999999999</v>
      </c>
      <c r="G139" s="8">
        <f>15/2</f>
        <v>7.5</v>
      </c>
      <c r="I139" s="8">
        <f>AVERAGE(0.4,1.7)</f>
        <v>1.05</v>
      </c>
      <c r="J139" s="8">
        <f>AVERAGE(0.5,0.4, 0,0)</f>
        <v>0.22500000000000001</v>
      </c>
      <c r="K139" s="8">
        <f>G139/G$141</f>
        <v>7.5000000000000011E-2</v>
      </c>
      <c r="M139" s="8">
        <f t="shared" si="101"/>
        <v>1.1128775834658189E-2</v>
      </c>
      <c r="N139" s="8">
        <f>J139/J$141</f>
        <v>2.2369140527911716E-3</v>
      </c>
      <c r="O139" s="8">
        <f>AVERAGE(Lipid!$K139:$N139)</f>
        <v>2.945522996248312E-2</v>
      </c>
      <c r="P139" s="15">
        <f>Lipid!$O139/$O$141</f>
        <v>2.7643972776383047E-2</v>
      </c>
      <c r="Q139" s="8">
        <f t="shared" si="98"/>
        <v>7.6969002825392208</v>
      </c>
      <c r="V139" s="8" t="s">
        <v>257</v>
      </c>
      <c r="W139" s="8">
        <f>AVERAGE(45.5,45.6,48.4,56.6,57.6)</f>
        <v>50.739999999999995</v>
      </c>
      <c r="X139" s="15">
        <f t="shared" si="99"/>
        <v>0.22875639493302488</v>
      </c>
      <c r="Y139" s="15">
        <f t="shared" si="100"/>
        <v>0.45751278986604976</v>
      </c>
    </row>
    <row r="140" spans="3:25">
      <c r="C140" s="8" t="s">
        <v>181</v>
      </c>
      <c r="D140" s="8" t="s">
        <v>182</v>
      </c>
      <c r="E140" s="8" t="s">
        <v>180</v>
      </c>
      <c r="F140" s="8">
        <v>278.42959999999999</v>
      </c>
      <c r="G140" s="8">
        <f>15/2</f>
        <v>7.5</v>
      </c>
      <c r="H140" s="8">
        <v>13</v>
      </c>
      <c r="I140" s="8">
        <f>AVERAGE(16,13.2)</f>
        <v>14.6</v>
      </c>
      <c r="J140" s="8">
        <f>AVERAGE(21.5,21.4,21.2,26.9,28.5)</f>
        <v>23.9</v>
      </c>
      <c r="K140" s="8">
        <f>G140/G$141</f>
        <v>7.5000000000000011E-2</v>
      </c>
      <c r="L140" s="8">
        <f>H140/H$141</f>
        <v>5.7496682883679791E-3</v>
      </c>
      <c r="M140" s="8">
        <f t="shared" si="101"/>
        <v>0.15474297827239003</v>
      </c>
      <c r="N140" s="8">
        <f>J140/J$141</f>
        <v>0.23760998160759553</v>
      </c>
      <c r="O140" s="8">
        <f>AVERAGE(Lipid!$K140:$N140)</f>
        <v>0.11827565704208839</v>
      </c>
      <c r="P140" s="15">
        <f>Lipid!$O140/$O$141</f>
        <v>0.11100266565716116</v>
      </c>
      <c r="Q140" s="8">
        <f t="shared" si="98"/>
        <v>30.906427797857116</v>
      </c>
      <c r="W140" s="8">
        <f>SUM(W132:W139)</f>
        <v>96.38</v>
      </c>
      <c r="X140" s="8">
        <f>SUM(X132:X139)</f>
        <v>0.43451993188105908</v>
      </c>
      <c r="Y140" s="8">
        <f>SUM(Y132:Y139)</f>
        <v>0.86903986376211817</v>
      </c>
    </row>
    <row r="141" spans="3:25">
      <c r="C141" s="8" t="s">
        <v>125</v>
      </c>
      <c r="D141" s="8" t="s">
        <v>13</v>
      </c>
      <c r="E141" s="8" t="s">
        <v>13</v>
      </c>
      <c r="F141" s="8">
        <f t="shared" ref="F141:Q141" si="102">SUM(F132:F140)</f>
        <v>2390.8065000000001</v>
      </c>
      <c r="G141" s="8">
        <f t="shared" si="102"/>
        <v>99.999999999999986</v>
      </c>
      <c r="H141" s="8">
        <f t="shared" si="102"/>
        <v>2261</v>
      </c>
      <c r="I141" s="8">
        <f t="shared" si="102"/>
        <v>94.35</v>
      </c>
      <c r="J141" s="8">
        <f t="shared" si="102"/>
        <v>100.58500000000001</v>
      </c>
      <c r="K141" s="8">
        <f t="shared" si="102"/>
        <v>1</v>
      </c>
      <c r="L141" s="8">
        <f t="shared" si="102"/>
        <v>1</v>
      </c>
      <c r="M141" s="8">
        <f t="shared" si="102"/>
        <v>1.0000000000000002</v>
      </c>
      <c r="N141" s="8">
        <f t="shared" si="102"/>
        <v>0.99999999999999989</v>
      </c>
      <c r="O141" s="8">
        <f t="shared" si="102"/>
        <v>1.0655208714301541</v>
      </c>
      <c r="P141" s="8">
        <f t="shared" si="102"/>
        <v>1</v>
      </c>
      <c r="Q141" s="8">
        <f t="shared" si="102"/>
        <v>261.88556799224364</v>
      </c>
    </row>
    <row r="142" spans="3:25">
      <c r="V142" s="8" t="s">
        <v>251</v>
      </c>
    </row>
    <row r="143" spans="3:25">
      <c r="U143" s="8">
        <f>P146+P147+P148+P151+P152+P153+P154+P155</f>
        <v>0.89482380126511774</v>
      </c>
      <c r="V143" s="8" t="s">
        <v>252</v>
      </c>
      <c r="W143" s="8">
        <f>AVERAGE(1.8,2,1.7,2.2,2.2)</f>
        <v>1.98</v>
      </c>
      <c r="X143" s="15">
        <f>W143/$W$159*$U$143*0.25</f>
        <v>4.541088595716971E-3</v>
      </c>
      <c r="Y143" s="15">
        <f>W143/$W$159*$U$143</f>
        <v>1.8164354382867884E-2</v>
      </c>
    </row>
    <row r="144" spans="3:25">
      <c r="C144" s="8" t="s">
        <v>119</v>
      </c>
      <c r="G144" s="8" t="s">
        <v>147</v>
      </c>
      <c r="H144" s="12" t="s">
        <v>230</v>
      </c>
      <c r="I144" s="8" t="s">
        <v>258</v>
      </c>
      <c r="V144" s="8" t="s">
        <v>253</v>
      </c>
      <c r="W144" s="8">
        <f>AVERAGE(3.1,3.3,2.4,2.8,4.2)</f>
        <v>3.16</v>
      </c>
      <c r="X144" s="15">
        <f t="shared" ref="X144:X158" si="103">W144/$W$159*$U$143*0.25</f>
        <v>7.2473939204371852E-3</v>
      </c>
      <c r="Y144" s="15">
        <f t="shared" ref="Y144:Y158" si="104">W144/$W$159*$U$143</f>
        <v>2.8989575681748741E-2</v>
      </c>
    </row>
    <row r="145" spans="3:25">
      <c r="C145" s="8" t="s">
        <v>107</v>
      </c>
      <c r="D145" s="8" t="s">
        <v>108</v>
      </c>
      <c r="E145" s="8" t="s">
        <v>109</v>
      </c>
      <c r="F145" s="8" t="s">
        <v>110</v>
      </c>
      <c r="G145" s="8" t="s">
        <v>149</v>
      </c>
      <c r="H145" s="8" t="s">
        <v>231</v>
      </c>
      <c r="I145" s="8" t="s">
        <v>259</v>
      </c>
      <c r="O145" s="8" t="s">
        <v>232</v>
      </c>
      <c r="P145" s="8" t="s">
        <v>151</v>
      </c>
      <c r="Q145" s="8" t="s">
        <v>78</v>
      </c>
      <c r="R145" s="8" t="s">
        <v>210</v>
      </c>
      <c r="V145" s="8" t="s">
        <v>260</v>
      </c>
      <c r="W145" s="8">
        <f>AVERAGE(2,1,3,1.1,3.2)</f>
        <v>2.06</v>
      </c>
      <c r="X145" s="15">
        <f t="shared" si="103"/>
        <v>4.7245669228166464E-3</v>
      </c>
      <c r="Y145" s="15">
        <f t="shared" si="104"/>
        <v>1.8898267691266585E-2</v>
      </c>
    </row>
    <row r="146" spans="3:25">
      <c r="C146" s="8" t="s">
        <v>156</v>
      </c>
      <c r="D146" s="8" t="s">
        <v>157</v>
      </c>
      <c r="E146" s="8" t="s">
        <v>158</v>
      </c>
      <c r="F146" s="8">
        <v>228.37090000000001</v>
      </c>
      <c r="G146" s="8">
        <f>2.5+1.9</f>
        <v>4.4000000000000004</v>
      </c>
      <c r="H146" s="8">
        <v>99</v>
      </c>
      <c r="I146" s="8">
        <f>AVERAGE(1.6,0)</f>
        <v>0.8</v>
      </c>
      <c r="J146" s="8">
        <f>AVERAGE(0.5+0.8,0.4+0.5,0.5,0.3+0.7,0.6+1.3)</f>
        <v>1.1199999999999999</v>
      </c>
      <c r="K146" s="8">
        <f>G146/G$156</f>
        <v>4.4132397191574725E-2</v>
      </c>
      <c r="L146" s="8">
        <f>H146/H$156</f>
        <v>5.5183946488294312E-2</v>
      </c>
      <c r="M146" s="8">
        <f>I146/I$156</f>
        <v>8.0240722166499499E-3</v>
      </c>
      <c r="N146" s="8">
        <f>J146/J$156</f>
        <v>1.1267605633802816E-2</v>
      </c>
      <c r="O146" s="8">
        <f>AVERAGE(Lipid!$K146:$N146)</f>
        <v>2.9652005382580452E-2</v>
      </c>
      <c r="P146" s="15">
        <f>Lipid!$O146/$O$156</f>
        <v>2.6862454906030789E-2</v>
      </c>
      <c r="Q146" s="8">
        <f>P146*F146</f>
        <v>6.1346030030996666</v>
      </c>
      <c r="S146" s="8" t="s">
        <v>156</v>
      </c>
      <c r="V146" s="8" t="s">
        <v>255</v>
      </c>
      <c r="W146" s="8">
        <f>AVERAGE(48.2,48.1,51.9,50.6,31.9)</f>
        <v>46.14</v>
      </c>
      <c r="X146" s="15">
        <f t="shared" si="103"/>
        <v>0.10582112515473789</v>
      </c>
      <c r="Y146" s="15">
        <f t="shared" si="104"/>
        <v>0.42328450061895156</v>
      </c>
    </row>
    <row r="147" spans="3:25">
      <c r="C147" s="8" t="s">
        <v>161</v>
      </c>
      <c r="D147" s="8" t="s">
        <v>162</v>
      </c>
      <c r="E147" s="8" t="s">
        <v>163</v>
      </c>
      <c r="F147" s="8">
        <v>256.42410000000001</v>
      </c>
      <c r="G147" s="8">
        <v>17.899999999999999</v>
      </c>
      <c r="H147" s="8">
        <v>874</v>
      </c>
      <c r="I147" s="8">
        <f>AVERAGE(49.3,37.9)</f>
        <v>43.599999999999994</v>
      </c>
      <c r="J147" s="8">
        <f>AVERAGE(34.2,33.1,30,25.2,31.4)</f>
        <v>30.78</v>
      </c>
      <c r="K147" s="8">
        <f t="shared" ref="K147:K154" si="105">G147/G$156</f>
        <v>0.1795386158475426</v>
      </c>
      <c r="L147" s="8">
        <f t="shared" ref="L147:L155" si="106">H147/H$156</f>
        <v>0.48717948717948717</v>
      </c>
      <c r="M147" s="8">
        <f t="shared" ref="M147:M155" si="107">I147/I$156</f>
        <v>0.43731193580742217</v>
      </c>
      <c r="N147" s="8">
        <f t="shared" ref="N147:N155" si="108">J147/J$156</f>
        <v>0.30965794768611671</v>
      </c>
      <c r="O147" s="8">
        <f>AVERAGE(Lipid!$K147:$N147)</f>
        <v>0.35342199663014218</v>
      </c>
      <c r="P147" s="15">
        <f>Lipid!$O147/$O$156</f>
        <v>0.3201733685389736</v>
      </c>
      <c r="Q147" s="8">
        <f t="shared" ref="Q147:Q155" si="109">P147*F147</f>
        <v>82.100167871574627</v>
      </c>
      <c r="S147" s="8" t="s">
        <v>161</v>
      </c>
      <c r="V147" s="8" t="s">
        <v>256</v>
      </c>
      <c r="W147" s="8">
        <f>AVERAGE(11.9,11.4,12.9,15.1,13.3)</f>
        <v>12.920000000000002</v>
      </c>
      <c r="X147" s="15">
        <f t="shared" si="103"/>
        <v>2.9631749826597609E-2</v>
      </c>
      <c r="Y147" s="15">
        <f t="shared" si="104"/>
        <v>0.11852699930639043</v>
      </c>
    </row>
    <row r="148" spans="3:25">
      <c r="C148" s="8" t="s">
        <v>164</v>
      </c>
      <c r="D148" s="8" t="s">
        <v>165</v>
      </c>
      <c r="E148" s="8" t="s">
        <v>166</v>
      </c>
      <c r="F148" s="8">
        <v>254.40819999999999</v>
      </c>
      <c r="G148" s="8">
        <v>2.5</v>
      </c>
      <c r="H148" s="8">
        <v>35</v>
      </c>
      <c r="I148" s="8">
        <f>AVERAGE(7.5,4.3)</f>
        <v>5.9</v>
      </c>
      <c r="J148" s="8">
        <f>AVERAGE(0.4,0.4,0,0,1.1)</f>
        <v>0.38</v>
      </c>
      <c r="K148" s="8">
        <f t="shared" si="105"/>
        <v>2.5075225677031094E-2</v>
      </c>
      <c r="L148" s="8">
        <f t="shared" si="106"/>
        <v>1.950947603121516E-2</v>
      </c>
      <c r="M148" s="8">
        <f t="shared" si="107"/>
        <v>5.9177532597793382E-2</v>
      </c>
      <c r="N148" s="8">
        <f t="shared" si="108"/>
        <v>3.822937625754527E-3</v>
      </c>
      <c r="O148" s="8">
        <f>AVERAGE(Lipid!$K148:$N148)</f>
        <v>2.6896292982948544E-2</v>
      </c>
      <c r="P148" s="15">
        <f>Lipid!$O148/$O$156</f>
        <v>2.4365989688450957E-2</v>
      </c>
      <c r="Q148" s="8">
        <f t="shared" si="109"/>
        <v>6.1989075778573683</v>
      </c>
      <c r="S148" s="8" t="s">
        <v>164</v>
      </c>
      <c r="V148" s="8" t="s">
        <v>257</v>
      </c>
      <c r="W148" s="8">
        <f>AVERAGE(2.3,1.8,1.2,0.4,2.4)</f>
        <v>1.6199999999999999</v>
      </c>
      <c r="X148" s="15">
        <f t="shared" si="103"/>
        <v>3.7154361237684299E-3</v>
      </c>
      <c r="Y148" s="15">
        <f>W148/$W$159*$U$143</f>
        <v>1.486174449507372E-2</v>
      </c>
    </row>
    <row r="149" spans="3:25">
      <c r="C149" s="13" t="s">
        <v>233</v>
      </c>
      <c r="D149" s="13" t="s">
        <v>234</v>
      </c>
      <c r="E149" s="13" t="s">
        <v>235</v>
      </c>
      <c r="F149" s="13">
        <v>252.39230000000001</v>
      </c>
      <c r="G149" s="13">
        <v>2.6</v>
      </c>
      <c r="H149" s="13"/>
      <c r="I149" s="8">
        <f>AVERAGE(0.3,0)</f>
        <v>0.15</v>
      </c>
      <c r="K149" s="8">
        <f t="shared" si="105"/>
        <v>2.6078234704112337E-2</v>
      </c>
      <c r="M149" s="8">
        <f t="shared" si="107"/>
        <v>1.5045135406218655E-3</v>
      </c>
      <c r="O149" s="8">
        <f>AVERAGE(Lipid!$K149:$N149)</f>
        <v>1.3791374122367101E-2</v>
      </c>
      <c r="P149" s="15">
        <f>Lipid!$O149/$O$156</f>
        <v>1.2493932895072415E-2</v>
      </c>
      <c r="Q149" s="8">
        <f t="shared" si="109"/>
        <v>3.1533724594329855</v>
      </c>
      <c r="S149" s="13" t="s">
        <v>233</v>
      </c>
      <c r="V149" s="8" t="s">
        <v>221</v>
      </c>
      <c r="W149" s="8">
        <f>AVERAGE(0.6,0.4,0,0,0.9)/2</f>
        <v>0.19</v>
      </c>
      <c r="X149" s="15">
        <f t="shared" si="103"/>
        <v>4.3576102686172953E-4</v>
      </c>
      <c r="Y149" s="15">
        <f t="shared" si="104"/>
        <v>1.7430441074469181E-3</v>
      </c>
    </row>
    <row r="150" spans="3:25">
      <c r="C150" s="13" t="s">
        <v>167</v>
      </c>
      <c r="D150" s="13" t="s">
        <v>168</v>
      </c>
      <c r="E150" s="13" t="s">
        <v>246</v>
      </c>
      <c r="F150" s="13">
        <v>247.36</v>
      </c>
      <c r="G150" s="13">
        <v>12.1</v>
      </c>
      <c r="H150" s="9"/>
      <c r="I150" s="8">
        <f>AVERAGE(8.9,7.7)</f>
        <v>8.3000000000000007</v>
      </c>
      <c r="K150" s="8">
        <f t="shared" si="105"/>
        <v>0.12136409227683048</v>
      </c>
      <c r="M150" s="8">
        <f t="shared" si="107"/>
        <v>8.324974924774324E-2</v>
      </c>
      <c r="O150" s="8">
        <f>AVERAGE(Lipid!$K150:$N150)</f>
        <v>0.10230692076228687</v>
      </c>
      <c r="P150" s="15">
        <f>Lipid!$O150/$O$156</f>
        <v>9.2682265839809916E-2</v>
      </c>
      <c r="Q150" s="8">
        <f t="shared" si="109"/>
        <v>22.925885278135382</v>
      </c>
      <c r="S150" s="13" t="s">
        <v>167</v>
      </c>
      <c r="V150" s="8" t="s">
        <v>261</v>
      </c>
      <c r="W150" s="8">
        <f>AVERAGE(0.6,0.4,0,0,0.9)/2</f>
        <v>0.19</v>
      </c>
      <c r="X150" s="15">
        <f t="shared" si="103"/>
        <v>4.3576102686172953E-4</v>
      </c>
      <c r="Y150" s="15">
        <f t="shared" si="104"/>
        <v>1.7430441074469181E-3</v>
      </c>
    </row>
    <row r="151" spans="3:25">
      <c r="C151" s="8" t="s">
        <v>169</v>
      </c>
      <c r="D151" s="8" t="s">
        <v>170</v>
      </c>
      <c r="E151" s="8" t="s">
        <v>171</v>
      </c>
      <c r="F151" s="8">
        <v>284.47719999999998</v>
      </c>
      <c r="H151" s="8">
        <v>248</v>
      </c>
      <c r="I151" s="8">
        <f>AVERAGE(13.4,8.3)</f>
        <v>10.850000000000001</v>
      </c>
      <c r="J151" s="8">
        <f>AVERAGE(1,2.1,3.9,4.1,0.6)</f>
        <v>2.34</v>
      </c>
      <c r="L151" s="8">
        <f t="shared" si="106"/>
        <v>0.13823857302118173</v>
      </c>
      <c r="M151" s="8">
        <f t="shared" si="107"/>
        <v>0.10882647943831496</v>
      </c>
      <c r="N151" s="8">
        <f t="shared" si="108"/>
        <v>2.3541247484909454E-2</v>
      </c>
      <c r="O151" s="8">
        <f>AVERAGE(Lipid!$K151:$N151)</f>
        <v>9.0202099981468706E-2</v>
      </c>
      <c r="P151" s="15">
        <f>Lipid!$O151/$O$156</f>
        <v>8.1716221615315887E-2</v>
      </c>
      <c r="Q151" s="8">
        <f t="shared" si="109"/>
        <v>23.246401919704539</v>
      </c>
      <c r="S151" s="8" t="s">
        <v>169</v>
      </c>
      <c r="V151" s="8" t="s">
        <v>262</v>
      </c>
      <c r="W151" s="8">
        <f>AVERAGE(2.3,4,3.9,3.7,9.6)/2</f>
        <v>2.35</v>
      </c>
      <c r="X151" s="15">
        <f t="shared" si="103"/>
        <v>5.3896758585529701E-3</v>
      </c>
      <c r="Y151" s="15">
        <f t="shared" si="104"/>
        <v>2.155870343421188E-2</v>
      </c>
    </row>
    <row r="152" spans="3:25">
      <c r="C152" s="8" t="s">
        <v>172</v>
      </c>
      <c r="D152" s="8" t="s">
        <v>173</v>
      </c>
      <c r="E152" s="8" t="s">
        <v>174</v>
      </c>
      <c r="F152" s="8">
        <v>282.46140000000003</v>
      </c>
      <c r="G152" s="8">
        <v>21.4</v>
      </c>
      <c r="H152" s="8">
        <v>347</v>
      </c>
      <c r="I152" s="8">
        <f>AVERAGE(7.8,11.2)</f>
        <v>9.5</v>
      </c>
      <c r="J152" s="8">
        <f>AVERAGE(5.8,7.9,12.8,15.1,10.9)</f>
        <v>10.5</v>
      </c>
      <c r="K152" s="8">
        <f t="shared" si="105"/>
        <v>0.21464393179538613</v>
      </c>
      <c r="L152" s="8">
        <f t="shared" si="106"/>
        <v>0.19342251950947603</v>
      </c>
      <c r="M152" s="8">
        <f t="shared" si="107"/>
        <v>9.5285857572718152E-2</v>
      </c>
      <c r="N152" s="8">
        <f t="shared" si="108"/>
        <v>0.10563380281690141</v>
      </c>
      <c r="O152" s="8">
        <f>AVERAGE(Lipid!$K152:$N152)</f>
        <v>0.15224652792362042</v>
      </c>
      <c r="P152" s="15">
        <f>Lipid!$O152/$O$156</f>
        <v>0.13792374034002369</v>
      </c>
      <c r="Q152" s="8">
        <f t="shared" si="109"/>
        <v>38.958132789679574</v>
      </c>
      <c r="S152" s="8" t="s">
        <v>172</v>
      </c>
      <c r="V152" s="8" t="s">
        <v>263</v>
      </c>
      <c r="W152" s="8">
        <f>AVERAGE(2.3,4,3.9,3.7,9.6)/2</f>
        <v>2.35</v>
      </c>
      <c r="X152" s="15">
        <f t="shared" si="103"/>
        <v>5.3896758585529701E-3</v>
      </c>
      <c r="Y152" s="15">
        <f t="shared" si="104"/>
        <v>2.155870343421188E-2</v>
      </c>
    </row>
    <row r="153" spans="3:25">
      <c r="C153" s="8" t="s">
        <v>175</v>
      </c>
      <c r="D153" s="8" t="s">
        <v>176</v>
      </c>
      <c r="E153" s="8" t="s">
        <v>177</v>
      </c>
      <c r="F153" s="8">
        <v>280.44549999999998</v>
      </c>
      <c r="G153" s="8">
        <v>1.4</v>
      </c>
      <c r="H153" s="8">
        <v>108</v>
      </c>
      <c r="I153" s="8">
        <f>AVERAGE(7.9,11.5)</f>
        <v>9.6999999999999993</v>
      </c>
      <c r="J153" s="8">
        <f>AVERAGE(36.4,35.1,32.4,31.6,25.7)</f>
        <v>32.239999999999995</v>
      </c>
      <c r="K153" s="8">
        <f t="shared" si="105"/>
        <v>1.4042126379137411E-2</v>
      </c>
      <c r="L153" s="8">
        <f t="shared" si="106"/>
        <v>6.0200668896321072E-2</v>
      </c>
      <c r="M153" s="8">
        <f t="shared" si="107"/>
        <v>9.7291875626880631E-2</v>
      </c>
      <c r="N153" s="8">
        <f t="shared" si="108"/>
        <v>0.32434607645875246</v>
      </c>
      <c r="O153" s="8">
        <f>AVERAGE(Lipid!$K153:$N153)</f>
        <v>0.12397018684027289</v>
      </c>
      <c r="P153" s="15">
        <f>Lipid!$O153/$O$156</f>
        <v>0.1123075323480613</v>
      </c>
      <c r="Q153" s="8">
        <f t="shared" si="109"/>
        <v>31.496142063118224</v>
      </c>
      <c r="S153" s="8" t="s">
        <v>175</v>
      </c>
      <c r="V153" s="8" t="s">
        <v>264</v>
      </c>
      <c r="W153" s="8">
        <f>AVERAGE(13.2,14.6,11.9,10.3,10)</f>
        <v>12</v>
      </c>
      <c r="X153" s="15">
        <f t="shared" si="103"/>
        <v>2.7521749064951334E-2</v>
      </c>
      <c r="Y153" s="15">
        <f t="shared" si="104"/>
        <v>0.11008699625980534</v>
      </c>
    </row>
    <row r="154" spans="3:25">
      <c r="C154" s="8" t="s">
        <v>178</v>
      </c>
      <c r="F154" s="8">
        <v>278.42959999999999</v>
      </c>
      <c r="G154" s="8">
        <f>37.4/2</f>
        <v>18.7</v>
      </c>
      <c r="I154" s="8">
        <f>AVERAGE(0.6,3.3)</f>
        <v>1.95</v>
      </c>
      <c r="J154" s="8">
        <f>AVERAGE(5,6,7,8.1,9.6)</f>
        <v>7.1400000000000006</v>
      </c>
      <c r="K154" s="8">
        <f t="shared" si="105"/>
        <v>0.18756268806419257</v>
      </c>
      <c r="M154" s="8">
        <f t="shared" si="107"/>
        <v>1.9558676028084251E-2</v>
      </c>
      <c r="N154" s="8">
        <f t="shared" si="108"/>
        <v>7.1830985915492959E-2</v>
      </c>
      <c r="O154" s="8">
        <f>AVERAGE(Lipid!$K154:$N154)</f>
        <v>9.29841166692566E-2</v>
      </c>
      <c r="P154" s="15">
        <f>Lipid!$O154/$O$156</f>
        <v>8.4236516511371373E-2</v>
      </c>
      <c r="Q154" s="8">
        <f t="shared" si="109"/>
        <v>23.453939597654525</v>
      </c>
      <c r="S154" s="8" t="s">
        <v>178</v>
      </c>
      <c r="V154" s="8" t="s">
        <v>265</v>
      </c>
      <c r="W154" s="8">
        <f>AVERAGE(2.9,3.4,4.7,6.2,7.2)/2</f>
        <v>2.44</v>
      </c>
      <c r="X154" s="15">
        <f t="shared" si="103"/>
        <v>5.5960889765401048E-3</v>
      </c>
      <c r="Y154" s="15">
        <f t="shared" si="104"/>
        <v>2.2384355906160419E-2</v>
      </c>
    </row>
    <row r="155" spans="3:25">
      <c r="C155" s="8" t="s">
        <v>181</v>
      </c>
      <c r="D155" s="8" t="s">
        <v>182</v>
      </c>
      <c r="E155" s="8" t="s">
        <v>180</v>
      </c>
      <c r="F155" s="8">
        <v>278.42959999999999</v>
      </c>
      <c r="G155" s="8">
        <f>37.4/2</f>
        <v>18.7</v>
      </c>
      <c r="H155" s="8">
        <v>83</v>
      </c>
      <c r="I155" s="8">
        <f>AVERAGE(7,10.9)</f>
        <v>8.9499999999999993</v>
      </c>
      <c r="J155" s="8">
        <f>AVERAGE(14.5,13.7,12.8,14.8,18.7)</f>
        <v>14.9</v>
      </c>
      <c r="K155" s="8">
        <f>G155/G$156</f>
        <v>0.18756268806419257</v>
      </c>
      <c r="L155" s="8">
        <f t="shared" si="106"/>
        <v>4.6265328874024528E-2</v>
      </c>
      <c r="M155" s="8">
        <f t="shared" si="107"/>
        <v>8.9769307923771302E-2</v>
      </c>
      <c r="N155" s="8">
        <f t="shared" si="108"/>
        <v>0.1498993963782696</v>
      </c>
      <c r="O155" s="8">
        <f>AVERAGE(Lipid!$K155:$N155)</f>
        <v>0.1183741803100645</v>
      </c>
      <c r="P155" s="15">
        <f>Lipid!$O155/$O$156</f>
        <v>0.10723797731689008</v>
      </c>
      <c r="Q155" s="8">
        <f t="shared" si="109"/>
        <v>29.858227129150777</v>
      </c>
      <c r="S155" s="8" t="s">
        <v>181</v>
      </c>
      <c r="V155" s="8" t="s">
        <v>266</v>
      </c>
      <c r="W155" s="8">
        <f>AVERAGE(2.9,3.4,4.7,6.2,7.2)/2</f>
        <v>2.44</v>
      </c>
      <c r="X155" s="15">
        <f t="shared" si="103"/>
        <v>5.5960889765401048E-3</v>
      </c>
      <c r="Y155" s="15">
        <f t="shared" si="104"/>
        <v>2.2384355906160419E-2</v>
      </c>
    </row>
    <row r="156" spans="3:25">
      <c r="C156" s="8" t="s">
        <v>125</v>
      </c>
      <c r="D156" s="8" t="s">
        <v>13</v>
      </c>
      <c r="E156" s="8" t="s">
        <v>13</v>
      </c>
      <c r="F156" s="8">
        <f t="shared" ref="F156:Q156" si="110">SUM(F146:F155)</f>
        <v>2643.1987999999997</v>
      </c>
      <c r="G156" s="8">
        <f t="shared" si="110"/>
        <v>99.7</v>
      </c>
      <c r="H156" s="8">
        <f t="shared" si="110"/>
        <v>1794</v>
      </c>
      <c r="I156" s="8">
        <f t="shared" si="110"/>
        <v>99.7</v>
      </c>
      <c r="J156" s="8">
        <f t="shared" si="110"/>
        <v>99.4</v>
      </c>
      <c r="K156" s="8">
        <f>SUM(K146:K155)</f>
        <v>0.99999999999999978</v>
      </c>
      <c r="L156" s="8">
        <f t="shared" si="110"/>
        <v>0.99999999999999989</v>
      </c>
      <c r="M156" s="8">
        <f t="shared" si="110"/>
        <v>0.99999999999999978</v>
      </c>
      <c r="N156" s="8">
        <f t="shared" si="110"/>
        <v>1</v>
      </c>
      <c r="O156" s="8">
        <f t="shared" si="110"/>
        <v>1.1038457016050083</v>
      </c>
      <c r="P156" s="8">
        <f t="shared" si="110"/>
        <v>1.0000000000000002</v>
      </c>
      <c r="Q156" s="8">
        <f t="shared" si="110"/>
        <v>267.52577968940761</v>
      </c>
      <c r="V156" s="8" t="s">
        <v>267</v>
      </c>
      <c r="W156" s="8">
        <f>AVERAGE(6,5.3,4.7,5.3,7.8)</f>
        <v>5.82</v>
      </c>
      <c r="X156" s="15">
        <f t="shared" si="103"/>
        <v>1.3348048296501399E-2</v>
      </c>
      <c r="Y156" s="15">
        <f t="shared" si="104"/>
        <v>5.3392193186005597E-2</v>
      </c>
    </row>
    <row r="157" spans="3:25">
      <c r="V157" s="8" t="s">
        <v>268</v>
      </c>
      <c r="W157" s="8">
        <f>AVERAGE(1,0.7,0.2,0.4,2.7)</f>
        <v>1</v>
      </c>
      <c r="X157" s="15">
        <f t="shared" si="103"/>
        <v>2.2934790887459448E-3</v>
      </c>
      <c r="Y157" s="15">
        <f t="shared" si="104"/>
        <v>9.1739163549837792E-3</v>
      </c>
    </row>
    <row r="158" spans="3:25">
      <c r="C158" s="8" t="s">
        <v>120</v>
      </c>
      <c r="G158" s="8" t="s">
        <v>147</v>
      </c>
      <c r="H158" s="12" t="s">
        <v>230</v>
      </c>
      <c r="V158" s="8" t="s">
        <v>250</v>
      </c>
      <c r="W158" s="8">
        <f>AVERAGE(1.1,0.8,0.8,0.2,1.5)</f>
        <v>0.88000000000000012</v>
      </c>
      <c r="X158" s="15">
        <f t="shared" si="103"/>
        <v>2.0182615980964317E-3</v>
      </c>
      <c r="Y158" s="15">
        <f t="shared" si="104"/>
        <v>8.0730463923857267E-3</v>
      </c>
    </row>
    <row r="159" spans="3:25">
      <c r="C159" s="8" t="s">
        <v>107</v>
      </c>
      <c r="D159" s="8" t="s">
        <v>108</v>
      </c>
      <c r="E159" s="8" t="s">
        <v>109</v>
      </c>
      <c r="F159" s="8" t="s">
        <v>110</v>
      </c>
      <c r="G159" s="8" t="s">
        <v>149</v>
      </c>
      <c r="H159" s="8" t="s">
        <v>231</v>
      </c>
      <c r="O159" s="8" t="s">
        <v>232</v>
      </c>
      <c r="P159" s="8" t="s">
        <v>151</v>
      </c>
      <c r="Q159" s="8" t="s">
        <v>78</v>
      </c>
      <c r="W159" s="8">
        <f>SUM(W143:W158)</f>
        <v>97.539999999999992</v>
      </c>
      <c r="X159" s="8">
        <f t="shared" ref="X159:Y159" si="111">SUM(X143:X158)</f>
        <v>0.22370595031627946</v>
      </c>
      <c r="Y159" s="8">
        <f t="shared" si="111"/>
        <v>0.89482380126511785</v>
      </c>
    </row>
    <row r="160" spans="3:25">
      <c r="C160" s="8" t="s">
        <v>156</v>
      </c>
      <c r="D160" s="8" t="s">
        <v>157</v>
      </c>
      <c r="E160" s="8" t="s">
        <v>158</v>
      </c>
      <c r="F160" s="8">
        <v>228.37090000000001</v>
      </c>
      <c r="G160" s="8">
        <f>15.2 + 3.2</f>
        <v>18.399999999999999</v>
      </c>
      <c r="H160" s="8">
        <v>45</v>
      </c>
      <c r="J160" s="8">
        <f>AVERAGE(0.9+3.4,0.7+2.6,0.7+2.4)</f>
        <v>3.5666666666666664</v>
      </c>
      <c r="K160" s="8">
        <f>G160/G$170</f>
        <v>0.18418418418418417</v>
      </c>
      <c r="L160" s="8">
        <f>H160/H$170</f>
        <v>4.1020966271649952E-2</v>
      </c>
      <c r="N160" s="8">
        <f>J160/J$170</f>
        <v>3.546569439840902E-2</v>
      </c>
      <c r="O160" s="8">
        <f>AVERAGE(Lipid!$K160:$N160)</f>
        <v>8.6890281618081044E-2</v>
      </c>
      <c r="P160" s="15">
        <f>Lipid!$O160/$O$170</f>
        <v>6.9003994556366632E-2</v>
      </c>
      <c r="Q160" s="8">
        <f>P160*F160</f>
        <v>15.758504340432548</v>
      </c>
      <c r="S160" s="8" t="s">
        <v>156</v>
      </c>
    </row>
    <row r="161" spans="3:25">
      <c r="C161" s="8" t="s">
        <v>161</v>
      </c>
      <c r="D161" s="8" t="s">
        <v>162</v>
      </c>
      <c r="E161" s="8" t="s">
        <v>163</v>
      </c>
      <c r="F161" s="8">
        <v>256.42410000000001</v>
      </c>
      <c r="G161" s="8">
        <v>19.600000000000001</v>
      </c>
      <c r="H161" s="8">
        <v>537</v>
      </c>
      <c r="I161" s="8">
        <f>AVERAGE(43.6,30.8)</f>
        <v>37.200000000000003</v>
      </c>
      <c r="J161" s="8">
        <f>AVERAGE(20.5,22.1,17.7)</f>
        <v>20.099999999999998</v>
      </c>
      <c r="K161" s="8">
        <f t="shared" ref="K161:K166" si="112">G161/G$170</f>
        <v>0.19619619619619619</v>
      </c>
      <c r="L161" s="8">
        <f t="shared" ref="L161:L168" si="113">H161/H$170</f>
        <v>0.48951686417502277</v>
      </c>
      <c r="M161" s="8">
        <f>I161/I$170</f>
        <v>0.39978506179473405</v>
      </c>
      <c r="N161" s="8">
        <f t="shared" ref="N161:N169" si="114">J161/J$170</f>
        <v>0.19986741796486576</v>
      </c>
      <c r="O161" s="8">
        <f>AVERAGE(Lipid!$K161:$N161)</f>
        <v>0.32134138503270471</v>
      </c>
      <c r="P161" s="15">
        <f>Lipid!$O161/$O$170</f>
        <v>0.25519354720238246</v>
      </c>
      <c r="Q161" s="8">
        <f t="shared" ref="Q161:Q169" si="115">P161*F161</f>
        <v>65.437775667178443</v>
      </c>
      <c r="S161" s="8" t="s">
        <v>161</v>
      </c>
    </row>
    <row r="162" spans="3:25">
      <c r="C162" s="8" t="s">
        <v>164</v>
      </c>
      <c r="D162" s="8" t="s">
        <v>165</v>
      </c>
      <c r="E162" s="8" t="s">
        <v>166</v>
      </c>
      <c r="F162" s="8">
        <v>254.40819999999999</v>
      </c>
      <c r="G162" s="8">
        <v>1</v>
      </c>
      <c r="H162" s="8">
        <v>66</v>
      </c>
      <c r="I162" s="8">
        <f>AVERAGE(5.8,18.5)</f>
        <v>12.15</v>
      </c>
      <c r="J162" s="8">
        <f>AVERAGE(0.6,1.1,0.6)</f>
        <v>0.76666666666666672</v>
      </c>
      <c r="K162" s="8">
        <f t="shared" si="112"/>
        <v>1.001001001001001E-2</v>
      </c>
      <c r="L162" s="8">
        <f t="shared" si="113"/>
        <v>6.01640838650866E-2</v>
      </c>
      <c r="M162" s="8">
        <f t="shared" ref="M162:M169" si="116">I162/I$170</f>
        <v>0.13057495969908653</v>
      </c>
      <c r="N162" s="8">
        <f t="shared" si="114"/>
        <v>7.6234670202187625E-3</v>
      </c>
      <c r="O162" s="8">
        <f>AVERAGE(Lipid!$K162:$N162)</f>
        <v>5.2093130148600481E-2</v>
      </c>
      <c r="P162" s="15">
        <f>Lipid!$O162/$O$170</f>
        <v>4.1369805716570687E-2</v>
      </c>
      <c r="Q162" s="8">
        <f t="shared" si="115"/>
        <v>10.524817806702458</v>
      </c>
      <c r="S162" s="8" t="s">
        <v>164</v>
      </c>
    </row>
    <row r="163" spans="3:25">
      <c r="C163" s="8" t="s">
        <v>233</v>
      </c>
      <c r="D163" s="8" t="s">
        <v>234</v>
      </c>
      <c r="E163" s="8" t="s">
        <v>235</v>
      </c>
      <c r="F163" s="8">
        <v>252.39230000000001</v>
      </c>
      <c r="G163" s="8">
        <v>6.5</v>
      </c>
      <c r="K163" s="8">
        <f t="shared" si="112"/>
        <v>6.5065065065065056E-2</v>
      </c>
      <c r="O163" s="8">
        <f>AVERAGE(Lipid!$K163:$N163)</f>
        <v>6.5065065065065056E-2</v>
      </c>
      <c r="P163" s="15">
        <f>Lipid!$O163/$O$170</f>
        <v>5.1671479387001042E-2</v>
      </c>
      <c r="Q163" s="8">
        <f t="shared" si="115"/>
        <v>13.041483526887783</v>
      </c>
      <c r="S163" s="8" t="s">
        <v>233</v>
      </c>
      <c r="U163" s="8">
        <f>P160+P161+P165+P166+P167+P168+P169</f>
        <v>0.79042610535755919</v>
      </c>
      <c r="V163" s="8" t="s">
        <v>251</v>
      </c>
    </row>
    <row r="164" spans="3:25">
      <c r="C164" s="13" t="s">
        <v>167</v>
      </c>
      <c r="D164" s="13" t="s">
        <v>168</v>
      </c>
      <c r="E164" s="13" t="s">
        <v>246</v>
      </c>
      <c r="F164" s="13">
        <v>247.36</v>
      </c>
      <c r="G164" s="13">
        <v>20.3</v>
      </c>
      <c r="H164" s="9"/>
      <c r="I164" s="8">
        <f>AVERAGE(7.5,9.3)</f>
        <v>8.4</v>
      </c>
      <c r="K164" s="8">
        <f t="shared" si="112"/>
        <v>0.2032032032032032</v>
      </c>
      <c r="M164" s="8">
        <f t="shared" si="116"/>
        <v>9.0274046211714143E-2</v>
      </c>
      <c r="O164" s="8">
        <f>AVERAGE(Lipid!$K164:$N164)</f>
        <v>0.14673862470745869</v>
      </c>
      <c r="P164" s="15">
        <f>Lipid!$O164/$O$170</f>
        <v>0.11653260953886901</v>
      </c>
      <c r="Q164" s="8">
        <f t="shared" si="115"/>
        <v>28.825506295534641</v>
      </c>
      <c r="S164" s="9" t="s">
        <v>167</v>
      </c>
      <c r="V164" s="8" t="s">
        <v>252</v>
      </c>
      <c r="W164" s="8">
        <f>AVERAGE(2.7,2.6,1.4)</f>
        <v>2.2333333333333338</v>
      </c>
      <c r="X164" s="15">
        <f t="shared" ref="X164:X178" si="117">W164/$W$179*$U$163*0.25</f>
        <v>4.6634861799010625E-3</v>
      </c>
      <c r="Y164" s="15">
        <f t="shared" ref="Y164:Y178" si="118">W164/$W$179*$U$163</f>
        <v>1.865394471960425E-2</v>
      </c>
    </row>
    <row r="165" spans="3:25">
      <c r="C165" s="8" t="s">
        <v>169</v>
      </c>
      <c r="D165" s="8" t="s">
        <v>170</v>
      </c>
      <c r="E165" s="8" t="s">
        <v>171</v>
      </c>
      <c r="F165" s="8">
        <v>284.47719999999998</v>
      </c>
      <c r="H165" s="8">
        <v>126</v>
      </c>
      <c r="I165" s="8">
        <f>AVERAGE(19.7,8)</f>
        <v>13.85</v>
      </c>
      <c r="J165" s="8">
        <f>AVERAGE(0.6,0.4,0.3)</f>
        <v>0.43333333333333335</v>
      </c>
      <c r="L165" s="8">
        <f t="shared" si="113"/>
        <v>0.11485870556061988</v>
      </c>
      <c r="M165" s="8">
        <f t="shared" si="116"/>
        <v>0.14884470714669532</v>
      </c>
      <c r="N165" s="8">
        <f t="shared" si="114"/>
        <v>4.3089161418627788E-3</v>
      </c>
      <c r="O165" s="8">
        <f>AVERAGE(Lipid!$K165:$N165)</f>
        <v>8.9337442949725995E-2</v>
      </c>
      <c r="P165" s="15">
        <f>Lipid!$O165/$O$170</f>
        <v>7.094740990803515E-2</v>
      </c>
      <c r="Q165" s="8">
        <f t="shared" si="115"/>
        <v>20.182920517890096</v>
      </c>
      <c r="S165" s="8" t="s">
        <v>169</v>
      </c>
      <c r="V165" s="8" t="s">
        <v>253</v>
      </c>
      <c r="W165" s="8">
        <f>AVERAGE(12.5,10.5,7.4)</f>
        <v>10.133333333333333</v>
      </c>
      <c r="X165" s="15">
        <f t="shared" si="117"/>
        <v>2.1159698487909294E-2</v>
      </c>
      <c r="Y165" s="15">
        <f t="shared" si="118"/>
        <v>8.4638793951637176E-2</v>
      </c>
    </row>
    <row r="166" spans="3:25">
      <c r="C166" s="8" t="s">
        <v>172</v>
      </c>
      <c r="D166" s="8" t="s">
        <v>173</v>
      </c>
      <c r="E166" s="8" t="s">
        <v>174</v>
      </c>
      <c r="F166" s="8">
        <v>282.46140000000003</v>
      </c>
      <c r="G166" s="8">
        <v>34.1</v>
      </c>
      <c r="H166" s="8">
        <v>256</v>
      </c>
      <c r="I166" s="8">
        <f>AVERAGE(5.9,4.8)</f>
        <v>5.35</v>
      </c>
      <c r="J166" s="8">
        <f>AVERAGE(26.9,30.6,23.5)</f>
        <v>27</v>
      </c>
      <c r="K166" s="8">
        <f t="shared" si="112"/>
        <v>0.34134134134134131</v>
      </c>
      <c r="L166" s="8">
        <f t="shared" si="113"/>
        <v>0.23336371923427529</v>
      </c>
      <c r="M166" s="8">
        <f t="shared" si="116"/>
        <v>5.7495969908651259E-2</v>
      </c>
      <c r="N166" s="8">
        <f t="shared" si="114"/>
        <v>0.26847862114683463</v>
      </c>
      <c r="O166" s="8">
        <f>AVERAGE(Lipid!$K166:$N166)</f>
        <v>0.2251699129077756</v>
      </c>
      <c r="P166" s="15">
        <f>Lipid!$O166/$O$170</f>
        <v>0.17881888693651632</v>
      </c>
      <c r="Q166" s="8">
        <f t="shared" si="115"/>
        <v>50.509433150530114</v>
      </c>
      <c r="S166" s="8" t="s">
        <v>172</v>
      </c>
      <c r="V166" s="8" t="s">
        <v>260</v>
      </c>
      <c r="W166" s="8">
        <f>AVERAGE(6.4,5,3.8)</f>
        <v>5.0666666666666664</v>
      </c>
      <c r="X166" s="15">
        <f t="shared" si="117"/>
        <v>1.0579849243954647E-2</v>
      </c>
      <c r="Y166" s="15">
        <f t="shared" si="118"/>
        <v>4.2319396975818588E-2</v>
      </c>
    </row>
    <row r="167" spans="3:25">
      <c r="C167" s="8" t="s">
        <v>175</v>
      </c>
      <c r="D167" s="8" t="s">
        <v>176</v>
      </c>
      <c r="E167" s="8" t="s">
        <v>177</v>
      </c>
      <c r="F167" s="8">
        <v>280.44549999999998</v>
      </c>
      <c r="H167" s="8">
        <v>49</v>
      </c>
      <c r="I167" s="8">
        <f>AVERAGE(5.7,7.1)</f>
        <v>6.4</v>
      </c>
      <c r="J167" s="8">
        <f>AVERAGE(1+28,26.5,2.6+27.5)</f>
        <v>28.533333333333331</v>
      </c>
      <c r="L167" s="8">
        <f t="shared" si="113"/>
        <v>4.4667274384685506E-2</v>
      </c>
      <c r="M167" s="8">
        <f t="shared" si="116"/>
        <v>6.8780225685115534E-2</v>
      </c>
      <c r="N167" s="8">
        <f t="shared" si="114"/>
        <v>0.28372555518727216</v>
      </c>
      <c r="O167" s="8">
        <f>AVERAGE(Lipid!$K167:$N167)</f>
        <v>0.1323910184190244</v>
      </c>
      <c r="P167" s="15">
        <f>Lipid!$O167/$O$170</f>
        <v>0.10513844522282204</v>
      </c>
      <c r="Q167" s="8">
        <f t="shared" si="115"/>
        <v>29.485603839736935</v>
      </c>
      <c r="S167" s="8" t="s">
        <v>175</v>
      </c>
      <c r="V167" s="8" t="s">
        <v>255</v>
      </c>
      <c r="W167" s="8">
        <f>AVERAGE(6.9,8.5,9.6)</f>
        <v>8.3333333333333339</v>
      </c>
      <c r="X167" s="15">
        <f t="shared" si="117"/>
        <v>1.7401067835451724E-2</v>
      </c>
      <c r="Y167" s="15">
        <f t="shared" si="118"/>
        <v>6.9604271341806898E-2</v>
      </c>
    </row>
    <row r="168" spans="3:25">
      <c r="C168" s="8" t="s">
        <v>178</v>
      </c>
      <c r="F168" s="8">
        <v>278.42959999999999</v>
      </c>
      <c r="H168" s="8">
        <v>18</v>
      </c>
      <c r="I168" s="8">
        <f>AVERAGE(0.9,5.7)</f>
        <v>3.3000000000000003</v>
      </c>
      <c r="J168" s="8">
        <f>AVERAGE(6,5.2,10.1)</f>
        <v>7.0999999999999988</v>
      </c>
      <c r="L168" s="8">
        <f t="shared" si="113"/>
        <v>1.6408386508659983E-2</v>
      </c>
      <c r="M168" s="8">
        <f>I168/I$170</f>
        <v>3.5464803868887701E-2</v>
      </c>
      <c r="N168" s="8">
        <f t="shared" si="114"/>
        <v>7.0599933708982432E-2</v>
      </c>
      <c r="O168" s="8">
        <f>AVERAGE(Lipid!$K168:$N168)</f>
        <v>4.0824374695510042E-2</v>
      </c>
      <c r="P168" s="15">
        <f>Lipid!$O168/$O$170</f>
        <v>3.2420713534318274E-2</v>
      </c>
      <c r="Q168" s="8">
        <f t="shared" si="115"/>
        <v>9.026886301074823</v>
      </c>
      <c r="S168" s="8" t="s">
        <v>178</v>
      </c>
      <c r="V168" s="8" t="s">
        <v>256</v>
      </c>
      <c r="W168" s="8">
        <f>AVERAGE(0.5,0.7,1.2)</f>
        <v>0.79999999999999993</v>
      </c>
      <c r="X168" s="15">
        <f t="shared" si="117"/>
        <v>1.6705025122033651E-3</v>
      </c>
      <c r="Y168" s="15">
        <f t="shared" si="118"/>
        <v>6.6820100488134606E-3</v>
      </c>
    </row>
    <row r="169" spans="3:25">
      <c r="C169" s="8" t="s">
        <v>181</v>
      </c>
      <c r="D169" s="8" t="s">
        <v>182</v>
      </c>
      <c r="E169" s="8" t="s">
        <v>180</v>
      </c>
      <c r="F169" s="8">
        <v>278.42959999999999</v>
      </c>
      <c r="I169" s="8">
        <f>AVERAGE(4.9,7.9)</f>
        <v>6.4</v>
      </c>
      <c r="J169" s="8">
        <f>AVERAGE(12.4,10.3,16.5)</f>
        <v>13.066666666666668</v>
      </c>
      <c r="M169" s="8">
        <f t="shared" si="116"/>
        <v>6.8780225685115534E-2</v>
      </c>
      <c r="N169" s="8">
        <f t="shared" si="114"/>
        <v>0.12993039443155457</v>
      </c>
      <c r="O169" s="8">
        <f>AVERAGE(Lipid!$K169:$N169)</f>
        <v>9.9355310058335061E-2</v>
      </c>
      <c r="P169" s="15">
        <f>Lipid!$O169/$O$170</f>
        <v>7.8903107997118305E-2</v>
      </c>
      <c r="Q169" s="8">
        <f t="shared" si="115"/>
        <v>21.968960798394452</v>
      </c>
      <c r="S169" s="8" t="s">
        <v>181</v>
      </c>
      <c r="V169" s="8" t="s">
        <v>221</v>
      </c>
      <c r="W169" s="8">
        <f>AVERAGE(5.8,8,7.3)/2</f>
        <v>3.5166666666666671</v>
      </c>
      <c r="X169" s="15">
        <f t="shared" si="117"/>
        <v>7.3432506265606271E-3</v>
      </c>
      <c r="Y169" s="15">
        <f t="shared" si="118"/>
        <v>2.9373002506242508E-2</v>
      </c>
    </row>
    <row r="170" spans="3:25">
      <c r="C170" s="8" t="s">
        <v>125</v>
      </c>
      <c r="D170" s="8" t="s">
        <v>13</v>
      </c>
      <c r="E170" s="8" t="s">
        <v>13</v>
      </c>
      <c r="F170" s="8">
        <f>SUM(F160:F169)</f>
        <v>2643.1987999999997</v>
      </c>
      <c r="G170" s="8">
        <f>SUM(G160:G169)</f>
        <v>99.9</v>
      </c>
      <c r="H170" s="8">
        <f>SUM(H160:H169)</f>
        <v>1097</v>
      </c>
      <c r="I170" s="8">
        <f>SUM(I160:I169)</f>
        <v>93.05</v>
      </c>
      <c r="J170" s="8">
        <f>SUM(J160:J169)</f>
        <v>100.56666666666665</v>
      </c>
      <c r="K170" s="8">
        <f>G170/G$170</f>
        <v>1</v>
      </c>
      <c r="L170" s="8">
        <f t="shared" ref="L170" si="119">H170/H$170</f>
        <v>1</v>
      </c>
      <c r="M170" s="8">
        <f t="shared" ref="M170:N170" si="120">I170/I$170</f>
        <v>1</v>
      </c>
      <c r="N170" s="8">
        <f t="shared" si="120"/>
        <v>1</v>
      </c>
      <c r="O170" s="8">
        <f>SUM(O160:O169)</f>
        <v>1.2592065456022812</v>
      </c>
      <c r="P170" s="8">
        <f>SUM(P160:P169)</f>
        <v>1</v>
      </c>
      <c r="Q170" s="8">
        <f>SUM(Q160:Q169)</f>
        <v>264.76189224436234</v>
      </c>
      <c r="V170" s="8" t="s">
        <v>261</v>
      </c>
      <c r="W170" s="8">
        <f>AVERAGE(5.8,8,7.3)/2</f>
        <v>3.5166666666666671</v>
      </c>
      <c r="X170" s="15">
        <f t="shared" si="117"/>
        <v>7.3432506265606271E-3</v>
      </c>
      <c r="Y170" s="15">
        <f t="shared" si="118"/>
        <v>2.9373002506242508E-2</v>
      </c>
    </row>
    <row r="171" spans="3:25">
      <c r="V171" s="8" t="s">
        <v>262</v>
      </c>
      <c r="W171" s="8">
        <f>AVERAGE(18.7,19.9,21.4)/2</f>
        <v>9.9999999999999982</v>
      </c>
      <c r="X171" s="15">
        <f t="shared" si="117"/>
        <v>2.0881281402542064E-2</v>
      </c>
      <c r="Y171" s="15">
        <f t="shared" si="118"/>
        <v>8.3525125610168255E-2</v>
      </c>
    </row>
    <row r="172" spans="3:25">
      <c r="V172" s="8" t="s">
        <v>263</v>
      </c>
      <c r="W172" s="8">
        <f>AVERAGE(18.7,19.9,21.4)/2</f>
        <v>9.9999999999999982</v>
      </c>
      <c r="X172" s="15">
        <f t="shared" si="117"/>
        <v>2.0881281402542064E-2</v>
      </c>
      <c r="Y172" s="15">
        <f t="shared" si="118"/>
        <v>8.3525125610168255E-2</v>
      </c>
    </row>
    <row r="173" spans="3:25">
      <c r="C173" s="8" t="s">
        <v>121</v>
      </c>
      <c r="G173" s="8" t="s">
        <v>147</v>
      </c>
      <c r="H173" s="12" t="s">
        <v>230</v>
      </c>
      <c r="V173" s="8" t="s">
        <v>264</v>
      </c>
      <c r="W173" s="8">
        <f>AVERAGE(28,25.9,27.8)/3</f>
        <v>9.0777777777777775</v>
      </c>
      <c r="X173" s="15">
        <f t="shared" si="117"/>
        <v>1.8955563228752078E-2</v>
      </c>
      <c r="Y173" s="15">
        <f t="shared" si="118"/>
        <v>7.5822252915008312E-2</v>
      </c>
    </row>
    <row r="174" spans="3:25">
      <c r="C174" s="8" t="s">
        <v>107</v>
      </c>
      <c r="D174" s="8" t="s">
        <v>108</v>
      </c>
      <c r="E174" s="8" t="s">
        <v>109</v>
      </c>
      <c r="F174" s="8" t="s">
        <v>110</v>
      </c>
      <c r="G174" s="8" t="s">
        <v>149</v>
      </c>
      <c r="H174" s="8" t="s">
        <v>231</v>
      </c>
      <c r="K174" s="8" t="s">
        <v>232</v>
      </c>
      <c r="L174" s="8" t="s">
        <v>151</v>
      </c>
      <c r="M174" s="8" t="s">
        <v>78</v>
      </c>
      <c r="N174" s="8" t="s">
        <v>210</v>
      </c>
      <c r="V174" s="8" t="s">
        <v>265</v>
      </c>
      <c r="W174" s="8">
        <f>AVERAGE(28,25.9,27.8)/3</f>
        <v>9.0777777777777775</v>
      </c>
      <c r="X174" s="15">
        <f t="shared" si="117"/>
        <v>1.8955563228752078E-2</v>
      </c>
      <c r="Y174" s="15">
        <f t="shared" si="118"/>
        <v>7.5822252915008312E-2</v>
      </c>
    </row>
    <row r="175" spans="3:25">
      <c r="C175" s="8" t="s">
        <v>156</v>
      </c>
      <c r="D175" s="8" t="s">
        <v>157</v>
      </c>
      <c r="E175" s="8" t="s">
        <v>158</v>
      </c>
      <c r="F175" s="8">
        <v>228.37090000000001</v>
      </c>
      <c r="G175" s="8">
        <f>1.3+1.6+0.9</f>
        <v>3.8000000000000003</v>
      </c>
      <c r="H175" s="8">
        <v>11</v>
      </c>
      <c r="I175" s="8">
        <f>G175/$G$184</f>
        <v>3.8000000000000006E-2</v>
      </c>
      <c r="J175" s="8">
        <f>H175/$H$184</f>
        <v>1.0805500982318271E-2</v>
      </c>
      <c r="K175" s="8">
        <f>AVERAGE(Lipid!$I175:$J175)</f>
        <v>2.4402750491159138E-2</v>
      </c>
      <c r="L175" s="15">
        <f>Lipid!$K175/$K$184</f>
        <v>1.9488545321537074E-2</v>
      </c>
      <c r="M175" s="8">
        <f t="shared" ref="M175:M183" si="121">L175*F175</f>
        <v>4.4506166347702107</v>
      </c>
      <c r="N175" s="8">
        <f t="shared" ref="N175:N183" si="122">L175/$M$184*1000*$O$11</f>
        <v>1.9937265595580266E-3</v>
      </c>
      <c r="V175" s="8" t="s">
        <v>266</v>
      </c>
      <c r="W175" s="8">
        <f>AVERAGE(28,25.9,27.8)/3</f>
        <v>9.0777777777777775</v>
      </c>
      <c r="X175" s="15">
        <f t="shared" si="117"/>
        <v>1.8955563228752078E-2</v>
      </c>
      <c r="Y175" s="15">
        <f t="shared" si="118"/>
        <v>7.5822252915008312E-2</v>
      </c>
    </row>
    <row r="176" spans="3:25">
      <c r="C176" s="8" t="s">
        <v>161</v>
      </c>
      <c r="D176" s="8" t="s">
        <v>162</v>
      </c>
      <c r="E176" s="8" t="s">
        <v>163</v>
      </c>
      <c r="F176" s="8">
        <v>256.42410000000001</v>
      </c>
      <c r="G176" s="8">
        <v>20.9</v>
      </c>
      <c r="H176" s="8">
        <v>477</v>
      </c>
      <c r="I176" s="8">
        <f>G176/$G$184</f>
        <v>0.20899999999999999</v>
      </c>
      <c r="J176" s="8">
        <f>H176/$H$184</f>
        <v>0.46856581532416502</v>
      </c>
      <c r="K176" s="8">
        <f>AVERAGE(Lipid!$I176:$J176)</f>
        <v>0.33878290766208252</v>
      </c>
      <c r="L176" s="15">
        <f>Lipid!$K176/$K$184</f>
        <v>0.27055909343197115</v>
      </c>
      <c r="M176" s="8">
        <f t="shared" si="121"/>
        <v>69.377872030109117</v>
      </c>
      <c r="N176" s="8">
        <f t="shared" si="122"/>
        <v>2.7678866821790986E-2</v>
      </c>
      <c r="V176" s="8" t="s">
        <v>267</v>
      </c>
      <c r="W176" s="8">
        <f>AVERAGE(8.7,7.2,9.5)</f>
        <v>8.4666666666666668</v>
      </c>
      <c r="X176" s="15">
        <f t="shared" si="117"/>
        <v>1.7679484920818951E-2</v>
      </c>
      <c r="Y176" s="15">
        <f t="shared" si="118"/>
        <v>7.0717939683275804E-2</v>
      </c>
    </row>
    <row r="177" spans="3:25">
      <c r="C177" s="8" t="s">
        <v>164</v>
      </c>
      <c r="D177" s="8" t="s">
        <v>165</v>
      </c>
      <c r="E177" s="8" t="s">
        <v>166</v>
      </c>
      <c r="F177" s="8">
        <v>254.40819999999999</v>
      </c>
      <c r="G177" s="8">
        <v>0.9</v>
      </c>
      <c r="H177" s="8">
        <v>9</v>
      </c>
      <c r="I177" s="8">
        <f>G177/$G$184</f>
        <v>9.0000000000000011E-3</v>
      </c>
      <c r="J177" s="8">
        <f>H177/$H$184</f>
        <v>8.840864440078585E-3</v>
      </c>
      <c r="K177" s="8">
        <f>AVERAGE(Lipid!$I177:$J177)</f>
        <v>8.9204322200392931E-3</v>
      </c>
      <c r="L177" s="15">
        <f>Lipid!$K177/$K$184</f>
        <v>7.1240431553368554E-3</v>
      </c>
      <c r="M177" s="8">
        <f t="shared" si="121"/>
        <v>1.8124149958715696</v>
      </c>
      <c r="N177" s="8">
        <f t="shared" si="122"/>
        <v>7.2880729761478291E-4</v>
      </c>
      <c r="V177" s="8" t="s">
        <v>269</v>
      </c>
      <c r="W177" s="8">
        <f>AVERAGE(2,3.9,6.6)</f>
        <v>4.166666666666667</v>
      </c>
      <c r="X177" s="15">
        <f t="shared" si="117"/>
        <v>8.7005339177258622E-3</v>
      </c>
      <c r="Y177" s="15">
        <f t="shared" si="118"/>
        <v>3.4802135670903449E-2</v>
      </c>
    </row>
    <row r="178" spans="3:25">
      <c r="C178" s="13" t="s">
        <v>167</v>
      </c>
      <c r="D178" s="13" t="s">
        <v>168</v>
      </c>
      <c r="E178" s="13" t="s">
        <v>246</v>
      </c>
      <c r="F178" s="13">
        <v>247.36</v>
      </c>
      <c r="G178" s="13">
        <v>14.2</v>
      </c>
      <c r="H178" s="9"/>
      <c r="I178" s="8">
        <f>G178/$G$184</f>
        <v>0.14199999999999999</v>
      </c>
      <c r="K178" s="8">
        <f>AVERAGE(Lipid!$I178:$J178)</f>
        <v>0.14199999999999999</v>
      </c>
      <c r="L178" s="15">
        <f>Lipid!$K178/$K$184</f>
        <v>0.11340416059496469</v>
      </c>
      <c r="M178" s="8">
        <f t="shared" si="121"/>
        <v>28.051653164770467</v>
      </c>
      <c r="N178" s="8">
        <f t="shared" si="122"/>
        <v>1.1601527113093552E-2</v>
      </c>
      <c r="R178" s="16"/>
      <c r="V178" s="8" t="s">
        <v>250</v>
      </c>
      <c r="W178" s="8">
        <f>AVERAGE(1.1,1.3,1.1)</f>
        <v>1.1666666666666667</v>
      </c>
      <c r="X178" s="15">
        <f t="shared" si="117"/>
        <v>2.4361494969632413E-3</v>
      </c>
      <c r="Y178" s="15">
        <f t="shared" si="118"/>
        <v>9.744597987852965E-3</v>
      </c>
    </row>
    <row r="179" spans="3:25">
      <c r="C179" s="8" t="s">
        <v>169</v>
      </c>
      <c r="D179" s="8" t="s">
        <v>170</v>
      </c>
      <c r="E179" s="8" t="s">
        <v>171</v>
      </c>
      <c r="F179" s="8">
        <v>284.47719999999998</v>
      </c>
      <c r="H179" s="8">
        <v>180</v>
      </c>
      <c r="J179" s="8">
        <f>H179/$H$184</f>
        <v>0.17681728880157171</v>
      </c>
      <c r="K179" s="8">
        <f>AVERAGE(Lipid!$I179:$J179)</f>
        <v>0.17681728880157171</v>
      </c>
      <c r="L179" s="15">
        <f>Lipid!$K179/$K$184</f>
        <v>0.14120997334661756</v>
      </c>
      <c r="M179" s="8">
        <f t="shared" si="121"/>
        <v>40.171017829720391</v>
      </c>
      <c r="N179" s="8">
        <f t="shared" si="122"/>
        <v>1.4446130775317798E-2</v>
      </c>
      <c r="W179" s="8">
        <f>SUM(W164:W178)</f>
        <v>94.633333333333354</v>
      </c>
      <c r="X179" s="8">
        <f>SUM(X164:X178)</f>
        <v>0.19760652633938977</v>
      </c>
      <c r="Y179" s="8">
        <f>SUM(Y164:Y178)</f>
        <v>0.79042610535755908</v>
      </c>
    </row>
    <row r="180" spans="3:25">
      <c r="C180" s="8" t="s">
        <v>172</v>
      </c>
      <c r="D180" s="8" t="s">
        <v>173</v>
      </c>
      <c r="E180" s="8" t="s">
        <v>174</v>
      </c>
      <c r="F180" s="8">
        <v>282.46140000000003</v>
      </c>
      <c r="G180" s="8">
        <v>19</v>
      </c>
      <c r="H180" s="8">
        <v>274</v>
      </c>
      <c r="I180" s="8">
        <f>G180/$G$184</f>
        <v>0.19</v>
      </c>
      <c r="J180" s="8">
        <f>H180/$H$184</f>
        <v>0.26915520628683692</v>
      </c>
      <c r="K180" s="8">
        <f>AVERAGE(Lipid!$I180:$J180)</f>
        <v>0.22957760314341846</v>
      </c>
      <c r="L180" s="15">
        <f>Lipid!$K180/$K$184</f>
        <v>0.18334546039354438</v>
      </c>
      <c r="M180" s="8">
        <f t="shared" si="121"/>
        <v>51.788015426405103</v>
      </c>
      <c r="N180" s="8">
        <f t="shared" si="122"/>
        <v>1.8756695686108462E-2</v>
      </c>
    </row>
    <row r="181" spans="3:25">
      <c r="C181" s="8" t="s">
        <v>175</v>
      </c>
      <c r="D181" s="8" t="s">
        <v>176</v>
      </c>
      <c r="E181" s="8" t="s">
        <v>177</v>
      </c>
      <c r="F181" s="8">
        <v>280.44549999999998</v>
      </c>
      <c r="G181" s="8">
        <v>4.0999999999999996</v>
      </c>
      <c r="H181" s="8">
        <v>52</v>
      </c>
      <c r="I181" s="8">
        <f>G181/$G$184</f>
        <v>4.0999999999999995E-2</v>
      </c>
      <c r="J181" s="8">
        <f>H181/$H$184</f>
        <v>5.1080550098231828E-2</v>
      </c>
      <c r="K181" s="8">
        <f>AVERAGE(Lipid!$I181:$J181)</f>
        <v>4.6040275049115911E-2</v>
      </c>
      <c r="L181" s="15">
        <f>Lipid!$K181/$K$184</f>
        <v>3.6768723559903432E-2</v>
      </c>
      <c r="M181" s="8">
        <f t="shared" si="121"/>
        <v>10.311623063118898</v>
      </c>
      <c r="N181" s="8">
        <f t="shared" si="122"/>
        <v>3.7615316850464989E-3</v>
      </c>
    </row>
    <row r="182" spans="3:25">
      <c r="C182" s="8" t="s">
        <v>178</v>
      </c>
      <c r="F182" s="8">
        <v>278.42959999999999</v>
      </c>
      <c r="G182" s="8">
        <f>37.1/2</f>
        <v>18.55</v>
      </c>
      <c r="H182" s="8">
        <v>15</v>
      </c>
      <c r="I182" s="8">
        <f>G182/$G$184</f>
        <v>0.1855</v>
      </c>
      <c r="J182" s="8">
        <f>H182/$H$184</f>
        <v>1.4734774066797643E-2</v>
      </c>
      <c r="K182" s="8">
        <f>AVERAGE(Lipid!$I182:$J182)</f>
        <v>0.10011738703339881</v>
      </c>
      <c r="L182" s="15">
        <f>Lipid!$K182/$K$184</f>
        <v>7.9955832658336584E-2</v>
      </c>
      <c r="M182" s="8">
        <f t="shared" si="121"/>
        <v>22.262070504727593</v>
      </c>
      <c r="N182" s="8">
        <f t="shared" si="122"/>
        <v>8.1796801419722343E-3</v>
      </c>
    </row>
    <row r="183" spans="3:25">
      <c r="C183" s="8" t="s">
        <v>181</v>
      </c>
      <c r="D183" s="8" t="s">
        <v>182</v>
      </c>
      <c r="E183" s="8" t="s">
        <v>180</v>
      </c>
      <c r="F183" s="8">
        <v>278.42959999999999</v>
      </c>
      <c r="G183" s="8">
        <f>37.1/2</f>
        <v>18.55</v>
      </c>
      <c r="I183" s="8">
        <f>G183/$G$184</f>
        <v>0.1855</v>
      </c>
      <c r="K183" s="8">
        <f>AVERAGE(Lipid!$I183:$J183)</f>
        <v>0.1855</v>
      </c>
      <c r="L183" s="15">
        <f>Lipid!$K183/$K$184</f>
        <v>0.14814416753778839</v>
      </c>
      <c r="M183" s="8">
        <f t="shared" si="121"/>
        <v>41.247721309879402</v>
      </c>
      <c r="N183" s="8">
        <f t="shared" si="122"/>
        <v>1.5155516052667985E-2</v>
      </c>
    </row>
    <row r="184" spans="3:25">
      <c r="C184" s="8" t="s">
        <v>125</v>
      </c>
      <c r="D184" s="8" t="s">
        <v>13</v>
      </c>
      <c r="E184" s="8" t="s">
        <v>13</v>
      </c>
      <c r="F184" s="8">
        <f>SUM(F175:F183)</f>
        <v>2390.8065000000001</v>
      </c>
      <c r="G184" s="8">
        <f>SUM(G175:G183)</f>
        <v>100</v>
      </c>
      <c r="H184" s="8">
        <f t="shared" ref="H184" si="123">SUM(H175:H183)</f>
        <v>1018</v>
      </c>
      <c r="I184" s="8">
        <f t="shared" ref="I184:N184" si="124">SUM(I175:I183)</f>
        <v>1</v>
      </c>
      <c r="J184" s="8">
        <f t="shared" si="124"/>
        <v>1</v>
      </c>
      <c r="K184" s="8">
        <f t="shared" si="124"/>
        <v>1.2521586444007857</v>
      </c>
      <c r="L184" s="8">
        <f t="shared" si="124"/>
        <v>1.0000000000000002</v>
      </c>
      <c r="M184" s="8">
        <f t="shared" si="124"/>
        <v>269.47300495937276</v>
      </c>
      <c r="N184" s="8">
        <f t="shared" si="124"/>
        <v>0.10230248213317034</v>
      </c>
    </row>
    <row r="186" spans="3:25">
      <c r="C186" s="8" t="s">
        <v>124</v>
      </c>
      <c r="G186" s="8" t="s">
        <v>147</v>
      </c>
      <c r="H186" s="12" t="s">
        <v>230</v>
      </c>
    </row>
    <row r="187" spans="3:25">
      <c r="C187" s="8" t="s">
        <v>107</v>
      </c>
      <c r="D187" s="8" t="s">
        <v>108</v>
      </c>
      <c r="E187" s="8" t="s">
        <v>109</v>
      </c>
      <c r="F187" s="8" t="s">
        <v>110</v>
      </c>
      <c r="G187" s="8" t="s">
        <v>149</v>
      </c>
      <c r="H187" s="8" t="s">
        <v>231</v>
      </c>
      <c r="M187" s="8" t="s">
        <v>232</v>
      </c>
      <c r="N187" s="8" t="s">
        <v>151</v>
      </c>
      <c r="O187" s="8" t="s">
        <v>78</v>
      </c>
      <c r="P187" s="8" t="s">
        <v>210</v>
      </c>
    </row>
    <row r="188" spans="3:25">
      <c r="C188" s="8" t="s">
        <v>156</v>
      </c>
      <c r="D188" s="8" t="s">
        <v>157</v>
      </c>
      <c r="E188" s="8" t="s">
        <v>158</v>
      </c>
      <c r="F188" s="8">
        <v>228.37090000000001</v>
      </c>
      <c r="G188" s="8">
        <f>0+8.5</f>
        <v>8.5</v>
      </c>
      <c r="H188" s="8">
        <v>29</v>
      </c>
      <c r="I188" s="8">
        <f>AVERAGE(2,0)</f>
        <v>1</v>
      </c>
      <c r="J188" s="8">
        <f>G188/G$198</f>
        <v>8.5000000000000006E-2</v>
      </c>
      <c r="K188" s="8">
        <f>H188/H$198</f>
        <v>1.6237402015677492E-2</v>
      </c>
      <c r="L188" s="8">
        <f>I188/I$198</f>
        <v>5.2534804307853957E-3</v>
      </c>
      <c r="M188" s="8">
        <f>AVERAGE(Lipid!$J188:$L188)</f>
        <v>3.549696081548763E-2</v>
      </c>
      <c r="N188" s="15">
        <f>Lipid!$M188/$M$198</f>
        <v>2.5331201970426064E-2</v>
      </c>
      <c r="O188" s="8">
        <f t="shared" ref="O188:O197" si="125">N188*F188</f>
        <v>5.7849093920679735</v>
      </c>
      <c r="Q188" s="8" t="s">
        <v>156</v>
      </c>
    </row>
    <row r="189" spans="3:25">
      <c r="C189" s="8" t="s">
        <v>161</v>
      </c>
      <c r="D189" s="8" t="s">
        <v>162</v>
      </c>
      <c r="E189" s="8" t="s">
        <v>163</v>
      </c>
      <c r="F189" s="8">
        <v>256.42410000000001</v>
      </c>
      <c r="G189" s="8">
        <v>47.1</v>
      </c>
      <c r="H189" s="8">
        <v>902</v>
      </c>
      <c r="I189" s="8">
        <f>SUM(AVERAGE(2,0),AVERAGE(21.2,20),AVERAGE(13,11.5),AVERAGE(45.8,43))</f>
        <v>78.25</v>
      </c>
      <c r="J189" s="8">
        <f>G189/G$198</f>
        <v>0.47100000000000003</v>
      </c>
      <c r="K189" s="8">
        <f>H189/H$198</f>
        <v>0.50503919372900341</v>
      </c>
      <c r="L189" s="8">
        <f t="shared" ref="L189:L197" si="126">I189/I$198</f>
        <v>0.4110848437089572</v>
      </c>
      <c r="M189" s="8">
        <f>AVERAGE(Lipid!$J189:$L189)</f>
        <v>0.46237467914598684</v>
      </c>
      <c r="N189" s="15">
        <f>Lipid!$M189/$M$198</f>
        <v>0.32995800525964109</v>
      </c>
      <c r="O189" s="8">
        <f t="shared" si="125"/>
        <v>84.609184536498731</v>
      </c>
      <c r="Q189" s="8" t="s">
        <v>161</v>
      </c>
      <c r="R189" s="8">
        <f>N188+N193+N194+N196+N195+N197</f>
        <v>0.41668031765158003</v>
      </c>
      <c r="S189" s="8" t="s">
        <v>270</v>
      </c>
      <c r="T189" s="8">
        <f>AVERAGE(2,0)</f>
        <v>1</v>
      </c>
      <c r="U189" s="8">
        <f t="shared" ref="U189:U196" si="127">T189/$T$197</f>
        <v>1.0005002501250625E-2</v>
      </c>
      <c r="V189" s="15">
        <f>U189*$R$189*0.25</f>
        <v>1.0422219050814907E-3</v>
      </c>
      <c r="W189" s="15">
        <f>U189*$R$189</f>
        <v>4.1688876203259629E-3</v>
      </c>
    </row>
    <row r="190" spans="3:25">
      <c r="C190" s="8" t="s">
        <v>164</v>
      </c>
      <c r="D190" s="8" t="s">
        <v>165</v>
      </c>
      <c r="E190" s="8" t="s">
        <v>166</v>
      </c>
      <c r="F190" s="8">
        <v>254.40819999999999</v>
      </c>
      <c r="H190" s="8">
        <v>9</v>
      </c>
      <c r="K190" s="8">
        <f>H190/H$198</f>
        <v>5.0391937290033594E-3</v>
      </c>
      <c r="M190" s="8">
        <f>AVERAGE(Lipid!$J190:$L190)</f>
        <v>5.0391937290033594E-3</v>
      </c>
      <c r="N190" s="15">
        <f>Lipid!$M190/$M$198</f>
        <v>3.5960496669279439E-3</v>
      </c>
      <c r="O190" s="8">
        <f t="shared" si="125"/>
        <v>0.91486452287373776</v>
      </c>
      <c r="Q190" s="8" t="s">
        <v>164</v>
      </c>
      <c r="S190" s="8" t="s">
        <v>268</v>
      </c>
      <c r="T190" s="8">
        <f>AVERAGE(4.5,9.2)</f>
        <v>6.85</v>
      </c>
      <c r="U190" s="8">
        <f t="shared" si="127"/>
        <v>6.8534267133566779E-2</v>
      </c>
      <c r="V190" s="15">
        <f t="shared" ref="V190:V196" si="128">U190*$R$189*0.25</f>
        <v>7.1392200498082113E-3</v>
      </c>
      <c r="W190" s="15">
        <f t="shared" ref="W190:W196" si="129">U190*$R$189</f>
        <v>2.8556880199232845E-2</v>
      </c>
    </row>
    <row r="191" spans="3:25">
      <c r="C191" s="13" t="s">
        <v>233</v>
      </c>
      <c r="D191" s="13" t="s">
        <v>234</v>
      </c>
      <c r="E191" s="13" t="s">
        <v>235</v>
      </c>
      <c r="F191" s="13">
        <v>252.39230000000001</v>
      </c>
      <c r="G191" s="13">
        <v>10.7</v>
      </c>
      <c r="H191" s="13"/>
      <c r="J191" s="8">
        <f>G191/G$198</f>
        <v>0.107</v>
      </c>
      <c r="M191" s="8">
        <f>AVERAGE(Lipid!$J191:$L191)</f>
        <v>0.107</v>
      </c>
      <c r="N191" s="15">
        <f>Lipid!$M191/$M$198</f>
        <v>7.635692038325155E-2</v>
      </c>
      <c r="O191" s="8">
        <f t="shared" si="125"/>
        <v>19.27189875644574</v>
      </c>
      <c r="Q191" s="13" t="s">
        <v>233</v>
      </c>
      <c r="S191" s="8" t="s">
        <v>250</v>
      </c>
      <c r="T191" s="8">
        <f>AVERAGE(4,3)</f>
        <v>3.5</v>
      </c>
      <c r="U191" s="8">
        <f t="shared" si="127"/>
        <v>3.5017508754377188E-2</v>
      </c>
      <c r="V191" s="15">
        <f t="shared" si="128"/>
        <v>3.6477766677852179E-3</v>
      </c>
      <c r="W191" s="15">
        <f>U191*$R$189</f>
        <v>1.4591106671140872E-2</v>
      </c>
    </row>
    <row r="192" spans="3:25">
      <c r="C192" s="13" t="s">
        <v>167</v>
      </c>
      <c r="D192" s="13" t="s">
        <v>168</v>
      </c>
      <c r="E192" s="13" t="s">
        <v>246</v>
      </c>
      <c r="F192" s="13">
        <v>247.36</v>
      </c>
      <c r="G192" s="13">
        <v>24.3</v>
      </c>
      <c r="H192" s="9"/>
      <c r="J192" s="8">
        <f>G192/G$198</f>
        <v>0.24299999999999999</v>
      </c>
      <c r="M192" s="8">
        <f>AVERAGE(Lipid!$J192:$L192)</f>
        <v>0.24299999999999999</v>
      </c>
      <c r="N192" s="15">
        <f>Lipid!$M192/$M$198</f>
        <v>0.17340870703859931</v>
      </c>
      <c r="O192" s="8">
        <f t="shared" si="125"/>
        <v>42.89437777306793</v>
      </c>
      <c r="Q192" s="13" t="s">
        <v>167</v>
      </c>
      <c r="S192" s="8" t="s">
        <v>263</v>
      </c>
      <c r="T192" s="8">
        <f>AVERAGE(1.4,2.2)</f>
        <v>1.8</v>
      </c>
      <c r="U192" s="8">
        <f t="shared" si="127"/>
        <v>1.8009004502251125E-2</v>
      </c>
      <c r="V192" s="15">
        <f t="shared" si="128"/>
        <v>1.8759994291466834E-3</v>
      </c>
      <c r="W192" s="15">
        <f t="shared" si="129"/>
        <v>7.5039977165867336E-3</v>
      </c>
    </row>
    <row r="193" spans="3:23">
      <c r="C193" s="8" t="s">
        <v>169</v>
      </c>
      <c r="D193" s="8" t="s">
        <v>170</v>
      </c>
      <c r="E193" s="8" t="s">
        <v>171</v>
      </c>
      <c r="F193" s="8">
        <v>284.47719999999998</v>
      </c>
      <c r="H193" s="8">
        <v>212</v>
      </c>
      <c r="I193" s="8">
        <f>AVERAGE(1.4,2.2)</f>
        <v>1.8</v>
      </c>
      <c r="K193" s="8">
        <f>H193/H$198</f>
        <v>0.11870100783874581</v>
      </c>
      <c r="L193" s="8">
        <f t="shared" si="126"/>
        <v>9.4562647754137114E-3</v>
      </c>
      <c r="M193" s="8">
        <f>AVERAGE(Lipid!$J193:$L193)</f>
        <v>6.4078636307079759E-2</v>
      </c>
      <c r="N193" s="15">
        <f>Lipid!$M193/$M$198</f>
        <v>4.5727545147355338E-2</v>
      </c>
      <c r="O193" s="8">
        <f t="shared" si="125"/>
        <v>13.008444006393233</v>
      </c>
      <c r="Q193" s="8" t="s">
        <v>169</v>
      </c>
      <c r="S193" s="8" t="s">
        <v>262</v>
      </c>
      <c r="T193" s="8">
        <f>AVERAGE(8,11.1)</f>
        <v>9.5500000000000007</v>
      </c>
      <c r="U193" s="8">
        <f t="shared" si="127"/>
        <v>9.554777388694348E-2</v>
      </c>
      <c r="V193" s="15">
        <f t="shared" si="128"/>
        <v>9.9532191935282378E-3</v>
      </c>
      <c r="W193" s="15">
        <f t="shared" si="129"/>
        <v>3.9812876774112951E-2</v>
      </c>
    </row>
    <row r="194" spans="3:23">
      <c r="C194" s="8" t="s">
        <v>172</v>
      </c>
      <c r="D194" s="8" t="s">
        <v>173</v>
      </c>
      <c r="E194" s="8" t="s">
        <v>174</v>
      </c>
      <c r="F194" s="8">
        <v>282.46140000000003</v>
      </c>
      <c r="H194" s="8">
        <v>420</v>
      </c>
      <c r="I194" s="8">
        <f>AVERAGE(8,11.1)</f>
        <v>9.5500000000000007</v>
      </c>
      <c r="K194" s="8">
        <f>H194/H$198</f>
        <v>0.23516237402015677</v>
      </c>
      <c r="L194" s="8">
        <f t="shared" si="126"/>
        <v>5.0170738114000531E-2</v>
      </c>
      <c r="M194" s="8">
        <f>AVERAGE(Lipid!$J194:$L194)</f>
        <v>0.14266655606707865</v>
      </c>
      <c r="N194" s="15">
        <f>Lipid!$M194/$M$198</f>
        <v>0.10180914825202446</v>
      </c>
      <c r="O194" s="8">
        <f t="shared" si="125"/>
        <v>28.757154548074386</v>
      </c>
      <c r="Q194" s="8" t="s">
        <v>172</v>
      </c>
      <c r="S194" s="8" t="s">
        <v>271</v>
      </c>
      <c r="T194" s="8">
        <f>AVERAGE(21.2,20)</f>
        <v>20.6</v>
      </c>
      <c r="U194" s="8">
        <f t="shared" si="127"/>
        <v>0.20610305152576289</v>
      </c>
      <c r="V194" s="15">
        <f t="shared" si="128"/>
        <v>2.1469771244678713E-2</v>
      </c>
      <c r="W194" s="15">
        <f t="shared" si="129"/>
        <v>8.5879084978714854E-2</v>
      </c>
    </row>
    <row r="195" spans="3:23">
      <c r="C195" s="8" t="s">
        <v>175</v>
      </c>
      <c r="D195" s="8" t="s">
        <v>176</v>
      </c>
      <c r="E195" s="8" t="s">
        <v>177</v>
      </c>
      <c r="F195" s="8">
        <v>280.44549999999998</v>
      </c>
      <c r="H195" s="8">
        <v>199</v>
      </c>
      <c r="I195" s="8">
        <f>SUM(AVERAGE(4.5,9.2),AVERAGE(45.8,43))</f>
        <v>51.25</v>
      </c>
      <c r="K195" s="8">
        <f>H195/H$198</f>
        <v>0.11142217245240761</v>
      </c>
      <c r="L195" s="8">
        <f t="shared" si="126"/>
        <v>0.26924087207775149</v>
      </c>
      <c r="M195" s="8">
        <f>AVERAGE(Lipid!$J195:$L195)</f>
        <v>0.19033152226507954</v>
      </c>
      <c r="N195" s="15">
        <f>Lipid!$M195/$M$198</f>
        <v>0.13582363450483875</v>
      </c>
      <c r="O195" s="8">
        <f t="shared" si="125"/>
        <v>38.091127090526754</v>
      </c>
      <c r="Q195" s="8" t="s">
        <v>175</v>
      </c>
      <c r="S195" s="8" t="s">
        <v>256</v>
      </c>
      <c r="T195" s="8">
        <f>AVERAGE(13,11.5)</f>
        <v>12.25</v>
      </c>
      <c r="U195" s="8">
        <f t="shared" si="127"/>
        <v>0.12256128064032015</v>
      </c>
      <c r="V195" s="15">
        <f t="shared" si="128"/>
        <v>1.2767218337248263E-2</v>
      </c>
      <c r="W195" s="15">
        <f t="shared" si="129"/>
        <v>5.106887334899305E-2</v>
      </c>
    </row>
    <row r="196" spans="3:23">
      <c r="C196" s="8" t="s">
        <v>178</v>
      </c>
      <c r="F196" s="8">
        <v>278.42959999999999</v>
      </c>
      <c r="G196" s="8">
        <f>9.4/2</f>
        <v>4.7</v>
      </c>
      <c r="H196" s="8">
        <v>15</v>
      </c>
      <c r="I196" s="8">
        <f>AVERAGE(21.2,20)</f>
        <v>20.6</v>
      </c>
      <c r="J196" s="8">
        <f>G196/G$198</f>
        <v>4.7E-2</v>
      </c>
      <c r="K196" s="8">
        <f>H196/H$198</f>
        <v>8.3986562150055993E-3</v>
      </c>
      <c r="L196" s="8">
        <f t="shared" si="126"/>
        <v>0.10822169687417915</v>
      </c>
      <c r="M196" s="8">
        <f>AVERAGE(Lipid!$J196:$L196)</f>
        <v>5.454011769639492E-2</v>
      </c>
      <c r="N196" s="15">
        <f>Lipid!$M196/$M$198</f>
        <v>3.8920704903147627E-2</v>
      </c>
      <c r="O196" s="8">
        <f t="shared" si="125"/>
        <v>10.836676297901432</v>
      </c>
      <c r="Q196" s="8" t="s">
        <v>178</v>
      </c>
      <c r="S196" s="8" t="s">
        <v>255</v>
      </c>
      <c r="T196" s="8">
        <f>AVERAGE(45.8,43)</f>
        <v>44.4</v>
      </c>
      <c r="U196" s="8">
        <f t="shared" si="127"/>
        <v>0.44422211105552772</v>
      </c>
      <c r="V196" s="15">
        <f t="shared" si="128"/>
        <v>4.6274652585618185E-2</v>
      </c>
      <c r="W196" s="15">
        <f t="shared" si="129"/>
        <v>0.18509861034247274</v>
      </c>
    </row>
    <row r="197" spans="3:23">
      <c r="C197" s="8" t="s">
        <v>181</v>
      </c>
      <c r="D197" s="8" t="s">
        <v>182</v>
      </c>
      <c r="E197" s="8" t="s">
        <v>180</v>
      </c>
      <c r="F197" s="8">
        <v>278.42959999999999</v>
      </c>
      <c r="G197" s="8">
        <f>9.4/2</f>
        <v>4.7</v>
      </c>
      <c r="I197" s="8">
        <f>SUM(AVERAGE(4.5,9.2),AVERAGE(4,3)*2,AVERAGE(1.4,2.2),AVERAGE(13,11.5))</f>
        <v>27.9</v>
      </c>
      <c r="J197" s="8">
        <f>G197/G$198</f>
        <v>4.7E-2</v>
      </c>
      <c r="L197" s="8">
        <f t="shared" si="126"/>
        <v>0.14657210401891252</v>
      </c>
      <c r="M197" s="8">
        <f>AVERAGE(Lipid!$J197:$L197)</f>
        <v>9.6786052009456253E-2</v>
      </c>
      <c r="N197" s="15">
        <f>Lipid!$M197/$M$198</f>
        <v>6.9068082873787795E-2</v>
      </c>
      <c r="O197" s="8">
        <f t="shared" si="125"/>
        <v>19.230598687315585</v>
      </c>
      <c r="Q197" s="8" t="s">
        <v>181</v>
      </c>
      <c r="T197" s="8">
        <f>SUM(T189:T196)</f>
        <v>99.95</v>
      </c>
      <c r="U197" s="8">
        <f>SUM(U189:U196)</f>
        <v>1</v>
      </c>
      <c r="V197" s="8">
        <f t="shared" ref="V197:W197" si="130">SUM(V189:V196)</f>
        <v>0.10417007941289499</v>
      </c>
      <c r="W197" s="8">
        <f t="shared" si="130"/>
        <v>0.41668031765157998</v>
      </c>
    </row>
    <row r="198" spans="3:23">
      <c r="C198" s="8" t="s">
        <v>125</v>
      </c>
      <c r="D198" s="8" t="s">
        <v>13</v>
      </c>
      <c r="E198" s="8" t="s">
        <v>13</v>
      </c>
      <c r="F198" s="8">
        <f>SUM(F188:F197)</f>
        <v>2643.1987999999997</v>
      </c>
      <c r="G198" s="8">
        <f>SUM(G188:G197)</f>
        <v>100</v>
      </c>
      <c r="H198" s="8">
        <f t="shared" ref="H198:I198" si="131">SUM(H188:H197)</f>
        <v>1786</v>
      </c>
      <c r="I198" s="8">
        <f t="shared" si="131"/>
        <v>190.35</v>
      </c>
      <c r="J198" s="8">
        <f t="shared" ref="J198:P198" si="132">SUM(J188:J197)</f>
        <v>1</v>
      </c>
      <c r="K198" s="8">
        <f t="shared" si="132"/>
        <v>1</v>
      </c>
      <c r="L198" s="8">
        <f t="shared" si="132"/>
        <v>1</v>
      </c>
      <c r="M198" s="8">
        <f t="shared" si="132"/>
        <v>1.401313718035567</v>
      </c>
      <c r="N198" s="8">
        <f>SUM(N188:N197)</f>
        <v>1</v>
      </c>
      <c r="O198" s="8">
        <f t="shared" si="132"/>
        <v>263.39923561116547</v>
      </c>
      <c r="P198" s="8">
        <f t="shared" si="132"/>
        <v>0</v>
      </c>
    </row>
    <row r="201" spans="3:23">
      <c r="C201" s="8" t="s">
        <v>146</v>
      </c>
      <c r="G201" s="8" t="s">
        <v>147</v>
      </c>
    </row>
    <row r="202" spans="3:23">
      <c r="C202" s="8" t="s">
        <v>107</v>
      </c>
      <c r="D202" s="8" t="s">
        <v>108</v>
      </c>
      <c r="E202" s="8" t="s">
        <v>109</v>
      </c>
      <c r="F202" s="8" t="s">
        <v>110</v>
      </c>
      <c r="G202" s="8" t="s">
        <v>149</v>
      </c>
      <c r="H202" s="8" t="s">
        <v>151</v>
      </c>
      <c r="I202" s="8" t="s">
        <v>78</v>
      </c>
    </row>
    <row r="203" spans="3:23">
      <c r="C203" s="8" t="s">
        <v>156</v>
      </c>
      <c r="D203" s="8" t="s">
        <v>157</v>
      </c>
      <c r="E203" s="8" t="s">
        <v>158</v>
      </c>
      <c r="F203" s="8">
        <v>228.37090000000001</v>
      </c>
      <c r="G203" s="8">
        <f>6.4+2.4+1.6</f>
        <v>10.4</v>
      </c>
      <c r="H203" s="15">
        <f>G203/$G$211</f>
        <v>0.10400000000000001</v>
      </c>
      <c r="I203" s="8">
        <f t="shared" ref="I203:I210" si="133">H203*F203</f>
        <v>23.750573600000003</v>
      </c>
    </row>
    <row r="204" spans="3:23">
      <c r="C204" s="8" t="s">
        <v>161</v>
      </c>
      <c r="D204" s="8" t="s">
        <v>162</v>
      </c>
      <c r="E204" s="8" t="s">
        <v>163</v>
      </c>
      <c r="F204" s="8">
        <v>256.42410000000001</v>
      </c>
      <c r="G204" s="8">
        <v>18.7</v>
      </c>
      <c r="H204" s="15">
        <f t="shared" ref="H204:H210" si="134">G204/$G$211</f>
        <v>0.187</v>
      </c>
      <c r="I204" s="8">
        <f t="shared" si="133"/>
        <v>47.951306700000004</v>
      </c>
    </row>
    <row r="205" spans="3:23">
      <c r="C205" s="8" t="s">
        <v>164</v>
      </c>
      <c r="D205" s="8" t="s">
        <v>165</v>
      </c>
      <c r="E205" s="8" t="s">
        <v>166</v>
      </c>
      <c r="F205" s="8">
        <v>254.40819999999999</v>
      </c>
      <c r="G205" s="8">
        <v>19.2</v>
      </c>
      <c r="H205" s="15">
        <f t="shared" si="134"/>
        <v>0.192</v>
      </c>
      <c r="I205" s="8">
        <f t="shared" si="133"/>
        <v>48.846374400000002</v>
      </c>
      <c r="S205" s="8" t="e">
        <f>AVERAGE(Lipid!$Q205:$R205)</f>
        <v>#DIV/0!</v>
      </c>
      <c r="T205" s="8" t="e">
        <f>S205/#REF!</f>
        <v>#DIV/0!</v>
      </c>
      <c r="U205" s="8" t="e">
        <f>T205*P205</f>
        <v>#DIV/0!</v>
      </c>
    </row>
    <row r="206" spans="3:23">
      <c r="C206" s="8" t="s">
        <v>233</v>
      </c>
      <c r="D206" s="8" t="s">
        <v>234</v>
      </c>
      <c r="E206" s="8" t="s">
        <v>235</v>
      </c>
      <c r="F206" s="8">
        <v>252.39230000000001</v>
      </c>
      <c r="G206" s="8">
        <v>2.5</v>
      </c>
      <c r="H206" s="15">
        <f t="shared" si="134"/>
        <v>2.5000000000000001E-2</v>
      </c>
      <c r="I206" s="8">
        <f t="shared" si="133"/>
        <v>6.3098075000000007</v>
      </c>
      <c r="S206" s="8" t="e">
        <f>AVERAGE(Lipid!$Q206:$R206)</f>
        <v>#DIV/0!</v>
      </c>
      <c r="T206" s="8" t="e">
        <f>S206/#REF!</f>
        <v>#DIV/0!</v>
      </c>
      <c r="U206" s="8" t="e">
        <f>T206*P206</f>
        <v>#DIV/0!</v>
      </c>
    </row>
    <row r="207" spans="3:23">
      <c r="C207" s="8" t="s">
        <v>167</v>
      </c>
      <c r="D207" s="13" t="s">
        <v>168</v>
      </c>
      <c r="E207" s="13" t="s">
        <v>246</v>
      </c>
      <c r="F207" s="13">
        <v>247.36</v>
      </c>
      <c r="G207" s="8">
        <v>11.5</v>
      </c>
      <c r="H207" s="15">
        <f t="shared" si="134"/>
        <v>0.115</v>
      </c>
      <c r="I207" s="8">
        <f t="shared" si="133"/>
        <v>28.446400000000004</v>
      </c>
    </row>
    <row r="208" spans="3:23">
      <c r="C208" s="8" t="s">
        <v>169</v>
      </c>
      <c r="D208" s="8" t="s">
        <v>170</v>
      </c>
      <c r="E208" s="8" t="s">
        <v>171</v>
      </c>
      <c r="F208" s="8">
        <v>284.47719999999998</v>
      </c>
      <c r="G208" s="8">
        <v>4.2</v>
      </c>
      <c r="H208" s="15">
        <f t="shared" si="134"/>
        <v>4.2000000000000003E-2</v>
      </c>
      <c r="I208" s="8">
        <f t="shared" si="133"/>
        <v>11.9480424</v>
      </c>
    </row>
    <row r="209" spans="3:9">
      <c r="C209" s="8" t="s">
        <v>172</v>
      </c>
      <c r="D209" s="8" t="s">
        <v>173</v>
      </c>
      <c r="E209" s="8" t="s">
        <v>174</v>
      </c>
      <c r="F209" s="8">
        <v>282.46140000000003</v>
      </c>
      <c r="G209" s="8">
        <v>26.9</v>
      </c>
      <c r="H209" s="15">
        <f t="shared" si="134"/>
        <v>0.26899999999999996</v>
      </c>
      <c r="I209" s="8">
        <f t="shared" si="133"/>
        <v>75.982116599999998</v>
      </c>
    </row>
    <row r="210" spans="3:9">
      <c r="C210" s="8" t="s">
        <v>237</v>
      </c>
      <c r="D210" s="8" t="s">
        <v>182</v>
      </c>
      <c r="E210" s="8" t="s">
        <v>180</v>
      </c>
      <c r="F210" s="8">
        <v>278.42959999999999</v>
      </c>
      <c r="G210" s="8">
        <v>6.6</v>
      </c>
      <c r="H210" s="15">
        <f t="shared" si="134"/>
        <v>6.6000000000000003E-2</v>
      </c>
      <c r="I210" s="8">
        <f t="shared" si="133"/>
        <v>18.376353600000002</v>
      </c>
    </row>
    <row r="211" spans="3:9">
      <c r="C211" s="8" t="s">
        <v>125</v>
      </c>
      <c r="D211" s="8" t="s">
        <v>13</v>
      </c>
      <c r="E211" s="8" t="s">
        <v>13</v>
      </c>
      <c r="F211" s="8">
        <f t="shared" ref="F211:G211" si="135">SUM(F203:F210)</f>
        <v>2084.3236999999999</v>
      </c>
      <c r="G211" s="8">
        <f t="shared" si="135"/>
        <v>100</v>
      </c>
      <c r="H211" s="8">
        <f>SUM(H203:H210)</f>
        <v>1</v>
      </c>
      <c r="I211" s="8">
        <f>SUM(I203:I210)</f>
        <v>261.61097480000001</v>
      </c>
    </row>
    <row r="219" spans="3:9">
      <c r="C219" s="2" t="s">
        <v>438</v>
      </c>
    </row>
    <row r="220" spans="3:9">
      <c r="C220" s="2" t="s">
        <v>442</v>
      </c>
    </row>
    <row r="221" spans="3:9">
      <c r="C221" s="2" t="s">
        <v>445</v>
      </c>
    </row>
    <row r="222" spans="3:9">
      <c r="C222" s="2" t="s">
        <v>446</v>
      </c>
    </row>
  </sheetData>
  <sortState xmlns:xlrd2="http://schemas.microsoft.com/office/spreadsheetml/2017/richdata2" ref="X21:Y21">
    <sortCondition ref="X21"/>
  </sortState>
  <mergeCells count="2">
    <mergeCell ref="AA44:AB44"/>
    <mergeCell ref="AC44:AD44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6:K23"/>
  <sheetViews>
    <sheetView tabSelected="1" workbookViewId="0">
      <selection activeCell="K23" sqref="K23"/>
    </sheetView>
  </sheetViews>
  <sheetFormatPr defaultRowHeight="15"/>
  <cols>
    <col min="1" max="1" width="15.28515625" bestFit="1" customWidth="1"/>
    <col min="2" max="2" width="17" bestFit="1" customWidth="1"/>
    <col min="3" max="4" width="29.7109375" bestFit="1" customWidth="1"/>
    <col min="5" max="5" width="31.140625" customWidth="1"/>
    <col min="6" max="6" width="13.28515625" customWidth="1"/>
    <col min="7" max="7" width="12.85546875" customWidth="1"/>
    <col min="8" max="8" width="14.5703125" bestFit="1" customWidth="1"/>
    <col min="9" max="9" width="14" bestFit="1" customWidth="1"/>
    <col min="10" max="10" width="16" customWidth="1"/>
    <col min="11" max="11" width="15.28515625" customWidth="1"/>
    <col min="14" max="14" width="12" bestFit="1" customWidth="1"/>
  </cols>
  <sheetData>
    <row r="6" spans="2:11">
      <c r="B6" t="s">
        <v>424</v>
      </c>
      <c r="C6" t="s">
        <v>109</v>
      </c>
      <c r="D6" t="s">
        <v>110</v>
      </c>
      <c r="E6" t="s">
        <v>272</v>
      </c>
      <c r="F6" t="s">
        <v>210</v>
      </c>
      <c r="G6" t="s">
        <v>111</v>
      </c>
      <c r="H6" t="s">
        <v>112</v>
      </c>
      <c r="I6" t="s">
        <v>423</v>
      </c>
      <c r="J6" t="s">
        <v>113</v>
      </c>
      <c r="K6" t="s">
        <v>19</v>
      </c>
    </row>
    <row r="7" spans="2:11">
      <c r="B7" t="s">
        <v>273</v>
      </c>
      <c r="C7" t="s">
        <v>274</v>
      </c>
      <c r="D7">
        <v>564.29</v>
      </c>
      <c r="E7">
        <f>D7-E13-E15</f>
        <v>144.12999999999997</v>
      </c>
      <c r="F7">
        <v>0.69699640498975002</v>
      </c>
      <c r="G7">
        <f>F7*E7/1000</f>
        <v>0.10045809185117266</v>
      </c>
      <c r="H7">
        <f>G7/'Macromolecular Composition'!$H$9</f>
        <v>0.71755779893694738</v>
      </c>
      <c r="I7">
        <f>H7/$H$11</f>
        <v>0.19341309629407261</v>
      </c>
      <c r="J7">
        <f>I7/E7*1000</f>
        <v>1.3419350329152337</v>
      </c>
      <c r="K7">
        <f>J7*E7*'Macromolecular Composition'!$H$8/1000</f>
        <v>9.573948266556595E-2</v>
      </c>
    </row>
    <row r="8" spans="2:11">
      <c r="B8" t="s">
        <v>275</v>
      </c>
      <c r="C8" t="s">
        <v>276</v>
      </c>
      <c r="D8">
        <v>603.32000000000005</v>
      </c>
      <c r="E8">
        <f>D8-E14-E15</f>
        <v>144.12000000000003</v>
      </c>
      <c r="F8">
        <v>0.32836275079517102</v>
      </c>
      <c r="G8">
        <f t="shared" ref="G8:G10" si="0">F8*E8/1000</f>
        <v>4.7323639644600055E-2</v>
      </c>
      <c r="H8">
        <f>G8/'Macromolecular Composition'!$H$9</f>
        <v>0.33802599746142886</v>
      </c>
      <c r="I8">
        <f t="shared" ref="I8:I10" si="1">H8/$H$11</f>
        <v>9.1112736693496912E-2</v>
      </c>
      <c r="J8">
        <f>I8/E8*1000</f>
        <v>0.63220050439562092</v>
      </c>
      <c r="K8">
        <f>J8*E8*'Macromolecular Composition'!$H$8/1000</f>
        <v>4.5100804663280973E-2</v>
      </c>
    </row>
    <row r="9" spans="2:11">
      <c r="B9" t="s">
        <v>277</v>
      </c>
      <c r="D9">
        <v>48660.08</v>
      </c>
      <c r="E9">
        <f>D9</f>
        <v>48660.08</v>
      </c>
      <c r="F9">
        <v>6.4079275519584103E-3</v>
      </c>
      <c r="G9">
        <f t="shared" si="0"/>
        <v>0.31181026731250039</v>
      </c>
      <c r="H9">
        <f>G9/'Macromolecular Composition'!$H$9</f>
        <v>2.2272161950892877</v>
      </c>
      <c r="I9">
        <f t="shared" si="1"/>
        <v>0.60033182141801922</v>
      </c>
      <c r="J9">
        <f>I9/E9*1000</f>
        <v>1.2337255126132533E-2</v>
      </c>
      <c r="K9">
        <f>J9*E9*'Macromolecular Composition'!$H$8/1000</f>
        <v>0.29716425160191956</v>
      </c>
    </row>
    <row r="10" spans="2:11">
      <c r="B10" t="s">
        <v>278</v>
      </c>
      <c r="C10" t="s">
        <v>279</v>
      </c>
      <c r="D10">
        <v>534.26</v>
      </c>
      <c r="E10">
        <f>D10-E13-E15</f>
        <v>114.10000000000001</v>
      </c>
      <c r="F10">
        <v>0.524141412987151</v>
      </c>
      <c r="G10">
        <f t="shared" si="0"/>
        <v>5.9804535221833932E-2</v>
      </c>
      <c r="H10">
        <f>G10/'Macromolecular Composition'!$H$9</f>
        <v>0.42717525158452796</v>
      </c>
      <c r="I10">
        <f t="shared" si="1"/>
        <v>0.11514234559441118</v>
      </c>
      <c r="J10">
        <f t="shared" ref="J10" si="2">I10/E10*1000</f>
        <v>1.009135368925602</v>
      </c>
      <c r="K10">
        <f>J10*E10*'Macromolecular Composition'!$H$8/1000</f>
        <v>5.6995461069233547E-2</v>
      </c>
    </row>
    <row r="11" spans="2:11">
      <c r="F11">
        <f t="shared" ref="F11:K11" si="3">SUM(F7:F10)</f>
        <v>1.5559084963240304</v>
      </c>
      <c r="G11">
        <f t="shared" si="3"/>
        <v>0.51939653403010699</v>
      </c>
      <c r="H11">
        <f t="shared" si="3"/>
        <v>3.7099752430721922</v>
      </c>
      <c r="I11">
        <f t="shared" si="3"/>
        <v>0.99999999999999989</v>
      </c>
      <c r="J11">
        <f t="shared" si="3"/>
        <v>2.9956081613625889</v>
      </c>
      <c r="K11">
        <f t="shared" si="3"/>
        <v>0.49500000000000005</v>
      </c>
    </row>
    <row r="12" spans="2:11">
      <c r="B12" t="s">
        <v>125</v>
      </c>
    </row>
    <row r="13" spans="2:11">
      <c r="B13" t="s">
        <v>280</v>
      </c>
      <c r="C13" t="s">
        <v>281</v>
      </c>
      <c r="D13">
        <v>402.14</v>
      </c>
      <c r="E13">
        <v>402.14</v>
      </c>
      <c r="J13">
        <f>SUM(J7,J10)</f>
        <v>2.3510704018408357</v>
      </c>
      <c r="K13">
        <f>J13*E13*'Macromolecular Composition'!$H$8/1000</f>
        <v>0.46800242844115547</v>
      </c>
    </row>
    <row r="14" spans="2:11">
      <c r="B14" t="s">
        <v>282</v>
      </c>
      <c r="C14" t="s">
        <v>283</v>
      </c>
      <c r="D14">
        <v>441.18</v>
      </c>
      <c r="E14">
        <v>441.18</v>
      </c>
      <c r="J14">
        <f>SUM(J8)</f>
        <v>0.63220050439562092</v>
      </c>
      <c r="K14">
        <f>J14*E14*'Macromolecular Composition'!$H$8/1000</f>
        <v>0.13806253817198375</v>
      </c>
    </row>
    <row r="15" spans="2:11">
      <c r="B15" t="s">
        <v>284</v>
      </c>
      <c r="E15">
        <v>18.02</v>
      </c>
      <c r="J15">
        <f>J11-J9</f>
        <v>2.9832709062364562</v>
      </c>
    </row>
    <row r="19" spans="10:11">
      <c r="J19" t="s">
        <v>533</v>
      </c>
      <c r="K19">
        <v>72.739999999999995</v>
      </c>
    </row>
    <row r="20" spans="10:11">
      <c r="J20" t="s">
        <v>534</v>
      </c>
      <c r="K20">
        <f>SUM(K7:K8,K10)*100</f>
        <v>19.78357483980805</v>
      </c>
    </row>
    <row r="21" spans="10:11">
      <c r="K21">
        <f>K19-K20</f>
        <v>52.956425160191941</v>
      </c>
    </row>
    <row r="22" spans="10:11">
      <c r="K22">
        <f>K21-K9*100</f>
        <v>23.239999999999984</v>
      </c>
    </row>
    <row r="23" spans="10:11">
      <c r="K23">
        <f>K22/100</f>
        <v>0.23239999999999983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D2A6-AFED-4A94-A18F-DF29B86E4C0A}">
  <dimension ref="C6:L26"/>
  <sheetViews>
    <sheetView workbookViewId="0">
      <selection activeCell="K7" sqref="K7"/>
    </sheetView>
  </sheetViews>
  <sheetFormatPr defaultRowHeight="15"/>
  <cols>
    <col min="3" max="4" width="13.5703125" customWidth="1"/>
    <col min="5" max="5" width="13.28515625" customWidth="1"/>
    <col min="6" max="6" width="11.7109375" customWidth="1"/>
    <col min="7" max="7" width="11.42578125" bestFit="1" customWidth="1"/>
    <col min="8" max="8" width="15.28515625" customWidth="1"/>
    <col min="9" max="10" width="13.28515625" bestFit="1" customWidth="1"/>
    <col min="11" max="11" width="12" bestFit="1" customWidth="1"/>
  </cols>
  <sheetData>
    <row r="6" spans="3:12">
      <c r="C6" t="s">
        <v>424</v>
      </c>
      <c r="D6" t="s">
        <v>110</v>
      </c>
      <c r="E6" t="s">
        <v>148</v>
      </c>
      <c r="F6" t="s">
        <v>132</v>
      </c>
      <c r="G6" t="s">
        <v>285</v>
      </c>
      <c r="H6" t="s">
        <v>111</v>
      </c>
      <c r="I6" t="s">
        <v>422</v>
      </c>
      <c r="J6" t="s">
        <v>113</v>
      </c>
      <c r="K6" t="s">
        <v>210</v>
      </c>
    </row>
    <row r="7" spans="3:12">
      <c r="C7" s="5" t="s">
        <v>287</v>
      </c>
      <c r="D7" s="5">
        <v>60.052</v>
      </c>
      <c r="E7" s="5"/>
      <c r="F7" s="5"/>
      <c r="G7" s="5"/>
      <c r="H7" s="5">
        <f>K7*D7/1000</f>
        <v>2.2256563871472872E-3</v>
      </c>
      <c r="I7">
        <f>H7/$H$12*'Macromolecular Composition'!$G$11</f>
        <v>2.2256563871472872E-3</v>
      </c>
      <c r="J7" s="5">
        <f>K7/$I$12</f>
        <v>0.23638994621439388</v>
      </c>
      <c r="K7" s="5">
        <v>3.7062152586879497E-2</v>
      </c>
      <c r="L7" s="6"/>
    </row>
    <row r="8" spans="3:12">
      <c r="C8" s="5" t="s">
        <v>288</v>
      </c>
      <c r="D8" s="5">
        <v>74.078500000000005</v>
      </c>
      <c r="F8" s="5"/>
      <c r="G8" s="5"/>
      <c r="H8" s="5">
        <f>K8*D8/1000</f>
        <v>2.2257640856624614E-3</v>
      </c>
      <c r="I8">
        <f>H8/$H$12*'Macromolecular Composition'!$G$11</f>
        <v>2.2257640856624614E-3</v>
      </c>
      <c r="J8" s="5">
        <f>K8/$I$12</f>
        <v>0.19163962516922309</v>
      </c>
      <c r="K8" s="5">
        <v>3.0046019906753801E-2</v>
      </c>
    </row>
    <row r="9" spans="3:12">
      <c r="C9" s="5" t="s">
        <v>289</v>
      </c>
      <c r="D9" s="5">
        <v>88.105099999999993</v>
      </c>
      <c r="E9" s="5"/>
      <c r="F9" s="5"/>
      <c r="G9" s="5"/>
      <c r="H9" s="5">
        <f>K9*D9/1000</f>
        <v>2.2258425526988524E-3</v>
      </c>
      <c r="I9">
        <f>H9/$H$12*'Macromolecular Composition'!$G$11</f>
        <v>2.2258425526988524E-3</v>
      </c>
      <c r="J9" s="5">
        <f>K9/$I$12</f>
        <v>0.16113569420854831</v>
      </c>
      <c r="K9" s="5">
        <v>2.52634927228827E-2</v>
      </c>
    </row>
    <row r="10" spans="3:12">
      <c r="C10" s="5" t="s">
        <v>286</v>
      </c>
      <c r="D10" s="5">
        <v>92.09</v>
      </c>
      <c r="H10" s="5">
        <f>K10*D10/1000</f>
        <v>0.15010669999999998</v>
      </c>
      <c r="I10">
        <f>H10/$H$12*'Macromolecular Composition'!$G$11</f>
        <v>0.15010669999999998</v>
      </c>
      <c r="J10" s="5">
        <f>K10/$I$12</f>
        <v>10.396471479259652</v>
      </c>
      <c r="K10" s="5">
        <v>1.63</v>
      </c>
    </row>
    <row r="12" spans="3:12">
      <c r="C12" t="s">
        <v>125</v>
      </c>
      <c r="E12">
        <f>SUM(E7:E9)</f>
        <v>0</v>
      </c>
      <c r="F12">
        <f t="shared" ref="F12:K12" si="0">SUM(F7:F10)</f>
        <v>0</v>
      </c>
      <c r="G12">
        <f t="shared" si="0"/>
        <v>0</v>
      </c>
      <c r="H12">
        <f t="shared" si="0"/>
        <v>0.15678396302550859</v>
      </c>
      <c r="I12">
        <f t="shared" si="0"/>
        <v>0.15678396302550859</v>
      </c>
      <c r="J12">
        <f t="shared" si="0"/>
        <v>10.985636744851817</v>
      </c>
      <c r="K12">
        <f t="shared" si="0"/>
        <v>1.722371665216516</v>
      </c>
    </row>
    <row r="19" spans="3:10">
      <c r="C19" s="5"/>
      <c r="D19" s="5"/>
      <c r="E19" s="13"/>
      <c r="F19" s="13"/>
      <c r="G19" s="13"/>
      <c r="H19" s="13"/>
      <c r="I19" s="8"/>
    </row>
    <row r="20" spans="3:10">
      <c r="C20" s="5"/>
      <c r="D20" s="5"/>
      <c r="E20" s="13"/>
      <c r="F20" s="13"/>
      <c r="G20" s="13"/>
      <c r="H20" s="13"/>
      <c r="I20" s="8"/>
    </row>
    <row r="21" spans="3:10">
      <c r="C21" s="5"/>
      <c r="D21" s="5"/>
      <c r="E21" s="13"/>
      <c r="F21" s="13"/>
      <c r="G21" s="13"/>
      <c r="H21" s="13"/>
      <c r="I21" s="8"/>
    </row>
    <row r="22" spans="3:10">
      <c r="E22" s="8"/>
      <c r="F22" s="8"/>
      <c r="G22" s="8"/>
      <c r="H22" s="8"/>
      <c r="I22" s="8"/>
    </row>
    <row r="23" spans="3:10">
      <c r="E23" s="8"/>
      <c r="F23" s="8"/>
      <c r="G23" s="8"/>
      <c r="H23" s="8"/>
      <c r="I23" s="8"/>
    </row>
    <row r="24" spans="3:10">
      <c r="J24" s="5"/>
    </row>
    <row r="25" spans="3:10">
      <c r="J25" s="5"/>
    </row>
    <row r="26" spans="3:10">
      <c r="J2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A2:T36"/>
  <sheetViews>
    <sheetView workbookViewId="0">
      <selection activeCell="O28" sqref="O28"/>
    </sheetView>
  </sheetViews>
  <sheetFormatPr defaultRowHeight="15"/>
  <cols>
    <col min="1" max="1" width="18.5703125" bestFit="1" customWidth="1"/>
    <col min="2" max="2" width="19.5703125" bestFit="1" customWidth="1"/>
    <col min="3" max="3" width="11.140625" customWidth="1"/>
    <col min="4" max="4" width="12" bestFit="1" customWidth="1"/>
    <col min="5" max="5" width="14" bestFit="1" customWidth="1"/>
    <col min="6" max="6" width="11" bestFit="1" customWidth="1"/>
    <col min="7" max="7" width="12" bestFit="1" customWidth="1"/>
    <col min="8" max="8" width="11" customWidth="1"/>
    <col min="9" max="10" width="12" customWidth="1"/>
    <col min="11" max="11" width="14.140625" bestFit="1" customWidth="1"/>
    <col min="12" max="14" width="12" customWidth="1"/>
    <col min="15" max="15" width="17.140625" customWidth="1"/>
    <col min="16" max="16" width="14.140625" bestFit="1" customWidth="1"/>
  </cols>
  <sheetData>
    <row r="2" spans="1:20">
      <c r="R2" t="s">
        <v>531</v>
      </c>
    </row>
    <row r="3" spans="1:20">
      <c r="B3" t="s">
        <v>107</v>
      </c>
      <c r="C3" t="s">
        <v>108</v>
      </c>
      <c r="D3" t="s">
        <v>110</v>
      </c>
      <c r="E3" t="s">
        <v>295</v>
      </c>
      <c r="F3" t="s">
        <v>426</v>
      </c>
      <c r="G3" t="s">
        <v>427</v>
      </c>
      <c r="H3" t="s">
        <v>210</v>
      </c>
      <c r="I3" t="s">
        <v>428</v>
      </c>
      <c r="J3" t="s">
        <v>429</v>
      </c>
      <c r="K3" t="s">
        <v>430</v>
      </c>
      <c r="L3" t="s">
        <v>132</v>
      </c>
      <c r="M3" t="s">
        <v>425</v>
      </c>
      <c r="N3" t="s">
        <v>296</v>
      </c>
      <c r="O3" t="s">
        <v>399</v>
      </c>
      <c r="P3" t="s">
        <v>19</v>
      </c>
      <c r="Q3" t="s">
        <v>530</v>
      </c>
      <c r="R3" t="s">
        <v>532</v>
      </c>
      <c r="S3" t="s">
        <v>112</v>
      </c>
      <c r="T3" t="s">
        <v>113</v>
      </c>
    </row>
    <row r="4" spans="1:20">
      <c r="B4" s="19" t="s">
        <v>297</v>
      </c>
      <c r="C4" t="s">
        <v>298</v>
      </c>
      <c r="D4">
        <v>893.48900000000003</v>
      </c>
      <c r="E4">
        <v>8.3040000000000003</v>
      </c>
      <c r="G4">
        <v>3.62</v>
      </c>
      <c r="H4">
        <f>E4/D4</f>
        <v>9.2939028908022372E-3</v>
      </c>
      <c r="J4">
        <f>G4/D4</f>
        <v>4.0515328112601277E-3</v>
      </c>
      <c r="K4">
        <f>AVERAGE(H4:J4)</f>
        <v>6.6727178510311829E-3</v>
      </c>
      <c r="L4">
        <f t="shared" ref="L4:L11" si="0">K4/$K$12</f>
        <v>0.30917917938433809</v>
      </c>
      <c r="M4">
        <f t="shared" ref="M4:M11" si="1">L4*D4</f>
        <v>276.24819580893285</v>
      </c>
      <c r="N4" s="19">
        <f t="shared" ref="N4:N11" si="2">L4/$M$12*1000</f>
        <v>0.41731015809006133</v>
      </c>
      <c r="O4" s="8">
        <f t="shared" ref="O4:O11" si="3">K4*D4</f>
        <v>5.9620000000000006</v>
      </c>
      <c r="P4">
        <f>N4*D4*'Macromolecular Composition'!$H$12/1000</f>
        <v>5.9620000000000012E-3</v>
      </c>
      <c r="Q4">
        <f>Table7[[#This Row],[mmol M/ gMM]]*Table7[[#This Row],[Mol.Weight]]</f>
        <v>372.8620358417308</v>
      </c>
      <c r="R4">
        <f>Table7[[#This Row],[g/gDW]]</f>
        <v>5.9620000000000012E-3</v>
      </c>
      <c r="S4">
        <f>Table7[[#This Row],[g/gDW2]]/$R$12</f>
        <v>0.52191293148529772</v>
      </c>
      <c r="T4" s="8">
        <f>Table7[[#This Row],[gM/gMM]]/Table7[[#This Row],[Mol.Weight]]*1000</f>
        <v>0.58412910677724939</v>
      </c>
    </row>
    <row r="5" spans="1:20">
      <c r="B5" s="19" t="s">
        <v>299</v>
      </c>
      <c r="C5" t="s">
        <v>300</v>
      </c>
      <c r="D5">
        <v>907.47249999999997</v>
      </c>
      <c r="E5">
        <v>3.2839999999999998</v>
      </c>
      <c r="F5">
        <f>AVERAGE(K19:K23)</f>
        <v>0.72244067796610045</v>
      </c>
      <c r="G5">
        <v>2.4500000000000002</v>
      </c>
      <c r="H5">
        <f>E5/D5</f>
        <v>3.6188424442613961E-3</v>
      </c>
      <c r="I5">
        <f>F5/D5/100*1000</f>
        <v>7.9610200635953209E-3</v>
      </c>
      <c r="J5">
        <f>G5/D5</f>
        <v>2.6998063302193735E-3</v>
      </c>
      <c r="K5">
        <f>AVERAGE(H5:J5)</f>
        <v>4.7598896126920297E-3</v>
      </c>
      <c r="L5">
        <f t="shared" si="0"/>
        <v>0.22054862760078048</v>
      </c>
      <c r="M5">
        <f t="shared" si="1"/>
        <v>200.14181446044927</v>
      </c>
      <c r="N5" s="19">
        <f t="shared" si="2"/>
        <v>0.29768234340326355</v>
      </c>
      <c r="O5" s="8">
        <f t="shared" si="3"/>
        <v>4.3194689265536681</v>
      </c>
      <c r="P5">
        <f>N5*D5*'Macromolecular Composition'!$H$12/1000</f>
        <v>4.3194689265536679E-3</v>
      </c>
      <c r="Q5">
        <f>Table7[[#This Row],[mmol M/ gMM]]*Table7[[#This Row],[Mol.Weight]]</f>
        <v>270.13854037401808</v>
      </c>
      <c r="R5">
        <f>Table7[[#This Row],[g/gDW]]</f>
        <v>4.3194689265536679E-3</v>
      </c>
      <c r="S5">
        <f>Table7[[#This Row],[g/gDW2]]/$R$12</f>
        <v>0.37812591243161292</v>
      </c>
      <c r="T5" s="8">
        <f>Table7[[#This Row],[gM/gMM]]/Table7[[#This Row],[Mol.Weight]]*1000</f>
        <v>0.4166802987766714</v>
      </c>
    </row>
    <row r="6" spans="1:20">
      <c r="B6" s="19" t="s">
        <v>301</v>
      </c>
      <c r="C6" t="s">
        <v>302</v>
      </c>
      <c r="D6">
        <v>600.88</v>
      </c>
      <c r="E6">
        <v>0.45400000000000001</v>
      </c>
      <c r="H6">
        <f>E6/D6</f>
        <v>7.5555851417920391E-4</v>
      </c>
      <c r="K6">
        <f>AVERAGE(H6:J6)</f>
        <v>7.5555851417920391E-4</v>
      </c>
      <c r="L6">
        <f t="shared" si="0"/>
        <v>3.5008667623294708E-2</v>
      </c>
      <c r="M6">
        <f t="shared" si="1"/>
        <v>21.036008201485323</v>
      </c>
      <c r="N6" s="19">
        <f t="shared" si="2"/>
        <v>4.7252446459981737E-2</v>
      </c>
      <c r="O6" s="8">
        <f t="shared" si="3"/>
        <v>0.45400000000000007</v>
      </c>
      <c r="P6">
        <f>N6*D6*'Macromolecular Composition'!$H$12/1000</f>
        <v>4.5400000000000003E-4</v>
      </c>
      <c r="Q6">
        <f>Table7[[#This Row],[mmol M/ gMM]]*Table7[[#This Row],[Mol.Weight]]</f>
        <v>28.393050028873827</v>
      </c>
      <c r="R6">
        <f>Table7[[#This Row],[g/gDW]]</f>
        <v>4.5400000000000003E-4</v>
      </c>
      <c r="S6">
        <f>Table7[[#This Row],[g/gDW2]]/$R$12</f>
        <v>3.9743118231185023E-2</v>
      </c>
      <c r="T6" s="8">
        <f>Table7[[#This Row],[gM/gMM]]/Table7[[#This Row],[Mol.Weight]]*1000</f>
        <v>6.6141522818507895E-2</v>
      </c>
    </row>
    <row r="7" spans="1:20">
      <c r="B7" s="19" t="s">
        <v>303</v>
      </c>
      <c r="C7" t="s">
        <v>304</v>
      </c>
      <c r="D7">
        <v>536.87</v>
      </c>
      <c r="F7">
        <f>AVERAGE(M19:M23)</f>
        <v>0.3532730560578658</v>
      </c>
      <c r="G7">
        <v>0.36</v>
      </c>
      <c r="I7">
        <f>F7/D7/100*1000</f>
        <v>6.5802346202593889E-3</v>
      </c>
      <c r="J7">
        <f>G7/D7</f>
        <v>6.7055339281390277E-4</v>
      </c>
      <c r="K7">
        <f>AVERAGE(H7:J7)/2</f>
        <v>1.8126970032683229E-3</v>
      </c>
      <c r="L7">
        <f t="shared" si="0"/>
        <v>8.3990989047489667E-2</v>
      </c>
      <c r="M7">
        <f t="shared" si="1"/>
        <v>45.092242289925778</v>
      </c>
      <c r="N7" s="19">
        <f t="shared" si="2"/>
        <v>0.11336563149997171</v>
      </c>
      <c r="O7" s="8">
        <f t="shared" si="3"/>
        <v>0.9731826401446646</v>
      </c>
      <c r="P7">
        <f>N7*D7*'Macromolecular Composition'!$H$12/1000</f>
        <v>9.7318264014466455E-4</v>
      </c>
      <c r="Q7">
        <f>Table7[[#This Row],[mmol M/ gMM]]*Table7[[#This Row],[Mol.Weight]]</f>
        <v>60.862606583389812</v>
      </c>
      <c r="T7" s="8">
        <f>Table7[[#This Row],[gM/gMM]]/Table7[[#This Row],[Mol.Weight]]*1000</f>
        <v>0</v>
      </c>
    </row>
    <row r="8" spans="1:20">
      <c r="A8" t="s">
        <v>452</v>
      </c>
      <c r="B8" s="19" t="s">
        <v>451</v>
      </c>
      <c r="C8" t="s">
        <v>311</v>
      </c>
      <c r="D8">
        <v>536.87</v>
      </c>
      <c r="K8">
        <f>K7</f>
        <v>1.8126970032683229E-3</v>
      </c>
      <c r="L8">
        <f t="shared" si="0"/>
        <v>8.3990989047489667E-2</v>
      </c>
      <c r="M8">
        <f t="shared" si="1"/>
        <v>45.092242289925778</v>
      </c>
      <c r="N8" s="19">
        <f t="shared" si="2"/>
        <v>0.11336563149997171</v>
      </c>
      <c r="O8" s="8">
        <f t="shared" si="3"/>
        <v>0.9731826401446646</v>
      </c>
      <c r="P8">
        <f>N8*D8*'Macromolecular Composition'!$H$12/1000</f>
        <v>9.7318264014466455E-4</v>
      </c>
      <c r="Q8">
        <f>Table7[[#This Row],[mmol M/ gMM]]*Table7[[#This Row],[Mol.Weight]]</f>
        <v>60.862606583389812</v>
      </c>
      <c r="T8" s="8">
        <f>Table7[[#This Row],[gM/gMM]]/Table7[[#This Row],[Mol.Weight]]*1000</f>
        <v>0</v>
      </c>
    </row>
    <row r="9" spans="1:20">
      <c r="B9" s="19" t="s">
        <v>305</v>
      </c>
      <c r="C9" t="s">
        <v>306</v>
      </c>
      <c r="D9">
        <v>568.88</v>
      </c>
      <c r="E9">
        <v>0.159</v>
      </c>
      <c r="F9">
        <f>AVERAGE(Q19:Q23)</f>
        <v>2.227848101265819E-2</v>
      </c>
      <c r="H9">
        <f>E9/D9</f>
        <v>2.7949655463366615E-4</v>
      </c>
      <c r="I9">
        <f>F9/D9/100*1000</f>
        <v>3.916200431138059E-4</v>
      </c>
      <c r="K9">
        <f>AVERAGE(H9:J9)</f>
        <v>3.35558298873736E-4</v>
      </c>
      <c r="L9">
        <f t="shared" si="0"/>
        <v>1.554803331978937E-2</v>
      </c>
      <c r="M9">
        <f t="shared" si="1"/>
        <v>8.8449651949617767</v>
      </c>
      <c r="N9" s="19">
        <f t="shared" si="2"/>
        <v>2.0985734730233001E-2</v>
      </c>
      <c r="O9" s="8">
        <f t="shared" si="3"/>
        <v>0.19089240506329094</v>
      </c>
      <c r="P9">
        <f>N9*D9*'Macromolecular Composition'!$H$12/1000</f>
        <v>1.9089240506329098E-4</v>
      </c>
      <c r="Q9">
        <f>Table7[[#This Row],[mmol M/ gMM]]*Table7[[#This Row],[Mol.Weight]]</f>
        <v>11.93836477333495</v>
      </c>
      <c r="R9">
        <f>Table7[[#This Row],[g/gDW]]</f>
        <v>1.9089240506329098E-4</v>
      </c>
      <c r="S9">
        <f>Table7[[#This Row],[g/gDW2]]/$R$12</f>
        <v>1.6710703576796555E-2</v>
      </c>
      <c r="T9" s="8">
        <f>Table7[[#This Row],[gM/gMM]]/Table7[[#This Row],[Mol.Weight]]*1000</f>
        <v>2.9374742611440997E-2</v>
      </c>
    </row>
    <row r="10" spans="1:20">
      <c r="B10" s="19" t="s">
        <v>307</v>
      </c>
      <c r="C10" t="s">
        <v>308</v>
      </c>
      <c r="D10">
        <v>568.87139999999999</v>
      </c>
      <c r="E10">
        <v>2.1230000000000002</v>
      </c>
      <c r="F10">
        <f>AVERAGE(O19:O23)</f>
        <v>0.49273056057866144</v>
      </c>
      <c r="G10">
        <v>0.81</v>
      </c>
      <c r="H10">
        <f>E10/D10</f>
        <v>3.73195066582711E-3</v>
      </c>
      <c r="I10">
        <f>F10/D10/100*1000</f>
        <v>8.661545660032504E-3</v>
      </c>
      <c r="J10">
        <f>G10/D10</f>
        <v>1.4238718979368624E-3</v>
      </c>
      <c r="K10">
        <f>AVERAGE(H10:J10)</f>
        <v>4.6057894079321584E-3</v>
      </c>
      <c r="L10">
        <f t="shared" si="0"/>
        <v>0.21340842237791877</v>
      </c>
      <c r="M10">
        <f t="shared" si="1"/>
        <v>121.40194800991797</v>
      </c>
      <c r="N10" s="19">
        <f t="shared" si="2"/>
        <v>0.2880449539248347</v>
      </c>
      <c r="O10" s="8">
        <f t="shared" si="3"/>
        <v>2.6201018685955382</v>
      </c>
      <c r="P10">
        <f>N10*D10*'Macromolecular Composition'!$H$12/1000</f>
        <v>2.6201018685955381E-3</v>
      </c>
      <c r="Q10">
        <f>Table7[[#This Row],[mmol M/ gMM]]*Table7[[#This Row],[Mol.Weight]]</f>
        <v>163.8605362021562</v>
      </c>
      <c r="T10" s="8">
        <f>Table7[[#This Row],[gM/gMM]]/Table7[[#This Row],[Mol.Weight]]*1000</f>
        <v>0</v>
      </c>
    </row>
    <row r="11" spans="1:20">
      <c r="B11" s="19" t="s">
        <v>309</v>
      </c>
      <c r="C11" t="s">
        <v>310</v>
      </c>
      <c r="D11">
        <v>600.87019999999995</v>
      </c>
      <c r="E11">
        <v>0.497</v>
      </c>
      <c r="H11">
        <f>E11/D11</f>
        <v>8.2713371373717654E-4</v>
      </c>
      <c r="K11">
        <f>AVERAGE(H11:J11)</f>
        <v>8.2713371373717654E-4</v>
      </c>
      <c r="L11">
        <f t="shared" si="0"/>
        <v>3.8325091598899248E-2</v>
      </c>
      <c r="M11">
        <f t="shared" si="1"/>
        <v>23.028405454048908</v>
      </c>
      <c r="N11" s="19">
        <f t="shared" si="2"/>
        <v>5.172874210288074E-2</v>
      </c>
      <c r="O11" s="8">
        <f t="shared" si="3"/>
        <v>0.497</v>
      </c>
      <c r="P11">
        <f>N11*D11*'Macromolecular Composition'!$H$12/1000</f>
        <v>4.9700000000000005E-4</v>
      </c>
      <c r="Q11">
        <f>Table7[[#This Row],[mmol M/ gMM]]*Table7[[#This Row],[Mol.Weight]]</f>
        <v>31.08225961310637</v>
      </c>
      <c r="R11">
        <f>Table7[[#This Row],[g/gDW]]</f>
        <v>4.9700000000000005E-4</v>
      </c>
      <c r="S11">
        <f>Table7[[#This Row],[g/gDW2]]/$R$12</f>
        <v>4.3507334275107834E-2</v>
      </c>
      <c r="T11" s="8">
        <f>Table7[[#This Row],[gM/gMM]]/Table7[[#This Row],[Mol.Weight]]*1000</f>
        <v>7.2407209202765971E-2</v>
      </c>
    </row>
    <row r="12" spans="1:20">
      <c r="B12" t="s">
        <v>125</v>
      </c>
      <c r="E12">
        <f t="shared" ref="E12:Q12" si="4">SUM(E4:E11)</f>
        <v>14.821000000000002</v>
      </c>
      <c r="F12">
        <f t="shared" si="4"/>
        <v>1.5907227756152857</v>
      </c>
      <c r="G12">
        <f t="shared" si="4"/>
        <v>7.24</v>
      </c>
      <c r="H12">
        <f t="shared" si="4"/>
        <v>1.8506884783440789E-2</v>
      </c>
      <c r="I12">
        <f t="shared" si="4"/>
        <v>2.3594420387001019E-2</v>
      </c>
      <c r="J12">
        <f t="shared" si="4"/>
        <v>8.8457644322302662E-3</v>
      </c>
      <c r="K12">
        <f t="shared" si="4"/>
        <v>2.1582041404982134E-2</v>
      </c>
      <c r="L12">
        <f t="shared" si="4"/>
        <v>1</v>
      </c>
      <c r="M12">
        <f t="shared" si="4"/>
        <v>740.88582170964776</v>
      </c>
      <c r="N12">
        <f t="shared" si="4"/>
        <v>1.3497356417111983</v>
      </c>
      <c r="O12">
        <f t="shared" si="4"/>
        <v>15.989828480501826</v>
      </c>
      <c r="P12">
        <f t="shared" si="4"/>
        <v>1.5989828480501827E-2</v>
      </c>
      <c r="Q12">
        <f t="shared" si="4"/>
        <v>999.99999999999977</v>
      </c>
      <c r="R12">
        <f>SUM(R4:R11)</f>
        <v>1.142336133161696E-2</v>
      </c>
      <c r="S12">
        <f t="shared" ref="S12:T12" si="5">SUM(S4:S11)</f>
        <v>1.0000000000000002</v>
      </c>
      <c r="T12">
        <f t="shared" si="5"/>
        <v>1.1687328801866355</v>
      </c>
    </row>
    <row r="16" spans="1:20">
      <c r="B16" t="s">
        <v>2</v>
      </c>
      <c r="C16" t="s">
        <v>290</v>
      </c>
    </row>
    <row r="17" spans="2:19">
      <c r="B17" t="s">
        <v>291</v>
      </c>
      <c r="C17" s="4" t="s">
        <v>292</v>
      </c>
    </row>
    <row r="18" spans="2:19">
      <c r="B18" t="s">
        <v>293</v>
      </c>
      <c r="C18" t="s">
        <v>401</v>
      </c>
    </row>
    <row r="19" spans="2:19">
      <c r="B19" t="s">
        <v>400</v>
      </c>
      <c r="C19" t="s">
        <v>294</v>
      </c>
      <c r="K19">
        <v>0.58271186440677902</v>
      </c>
      <c r="M19">
        <v>0.18951175406871601</v>
      </c>
      <c r="O19">
        <v>0.44267631103074101</v>
      </c>
      <c r="Q19">
        <v>1.4466546112115701E-2</v>
      </c>
      <c r="S19">
        <v>4.3399638336347199E-3</v>
      </c>
    </row>
    <row r="20" spans="2:19">
      <c r="K20">
        <v>0.88169491525423704</v>
      </c>
      <c r="M20">
        <v>0.43978300180831797</v>
      </c>
      <c r="O20">
        <v>0.54972875226039697</v>
      </c>
      <c r="Q20">
        <v>8.6799276672694502E-3</v>
      </c>
      <c r="S20">
        <v>8.6799276672694502E-3</v>
      </c>
    </row>
    <row r="21" spans="2:19">
      <c r="K21">
        <v>0.69864406779661004</v>
      </c>
      <c r="M21">
        <v>0.25895117540687101</v>
      </c>
      <c r="O21">
        <v>0.40216998191681702</v>
      </c>
      <c r="Q21">
        <v>1.8806509945750401E-2</v>
      </c>
      <c r="S21">
        <v>1.15732368896926E-2</v>
      </c>
    </row>
    <row r="22" spans="2:19">
      <c r="K22">
        <v>0.225762711864406</v>
      </c>
      <c r="M22">
        <v>0.13743218806509899</v>
      </c>
      <c r="O22">
        <v>0.26907775768535203</v>
      </c>
      <c r="Q22">
        <v>4.6292947558770198E-2</v>
      </c>
      <c r="S22">
        <v>2.8933092224231499E-3</v>
      </c>
    </row>
    <row r="23" spans="2:19">
      <c r="K23">
        <v>1.2233898305084701</v>
      </c>
      <c r="M23">
        <v>0.74068716094032505</v>
      </c>
      <c r="O23">
        <v>0.8</v>
      </c>
      <c r="Q23">
        <v>2.3146473779385199E-2</v>
      </c>
      <c r="S23">
        <v>1.73598553345389E-2</v>
      </c>
    </row>
    <row r="27" spans="2:19">
      <c r="O27" s="1"/>
    </row>
    <row r="28" spans="2:19">
      <c r="O28" s="1"/>
    </row>
    <row r="36" spans="2:2">
      <c r="B36" s="1"/>
    </row>
  </sheetData>
  <phoneticPr fontId="5" type="noConversion"/>
  <hyperlinks>
    <hyperlink ref="C17" r:id="rId1" xr:uid="{31C10B41-B316-4A2D-AE77-BED37524A7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Macromolecular Composition</vt:lpstr>
      <vt:lpstr>Complete Table</vt:lpstr>
      <vt:lpstr>Protein</vt:lpstr>
      <vt:lpstr>RNA</vt:lpstr>
      <vt:lpstr>DNA</vt:lpstr>
      <vt:lpstr>Lipid</vt:lpstr>
      <vt:lpstr>Carbohydrates</vt:lpstr>
      <vt:lpstr>Acids</vt:lpstr>
      <vt:lpstr>Pigments</vt:lpstr>
      <vt:lpstr>Sterols</vt:lpstr>
      <vt:lpstr>Cofactors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BioSystems UM</dc:creator>
  <cp:keywords/>
  <dc:description/>
  <cp:lastModifiedBy>Emanuel Rodrigues da Cunha</cp:lastModifiedBy>
  <cp:revision/>
  <dcterms:created xsi:type="dcterms:W3CDTF">2015-06-05T18:17:20Z</dcterms:created>
  <dcterms:modified xsi:type="dcterms:W3CDTF">2024-10-02T09:48:22Z</dcterms:modified>
  <cp:category/>
  <cp:contentStatus/>
</cp:coreProperties>
</file>